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645" windowHeight="1125" tabRatio="909" firstSheet="3" activeTab="15"/>
  </bookViews>
  <sheets>
    <sheet name="inputPrYr" sheetId="1" r:id="rId1"/>
    <sheet name="inputOth" sheetId="2" r:id="rId2"/>
    <sheet name="inputBudSum" sheetId="3" r:id="rId3"/>
    <sheet name="cert" sheetId="4" r:id="rId4"/>
    <sheet name="computation" sheetId="5" r:id="rId5"/>
    <sheet name="mvalloc" sheetId="6" r:id="rId6"/>
    <sheet name="transfers" sheetId="7" r:id="rId7"/>
    <sheet name="debt" sheetId="8" r:id="rId8"/>
    <sheet name="lpform" sheetId="9" r:id="rId9"/>
    <sheet name="general" sheetId="10" r:id="rId10"/>
    <sheet name="GenDetail" sheetId="11" r:id="rId11"/>
    <sheet name="G.O. B&amp;I-G.O. Sewer B&amp;I" sheetId="12" r:id="rId12"/>
    <sheet name="Sp Hiway-Sp Hwy Impr" sheetId="13" r:id="rId13"/>
    <sheet name="Water &amp; Sewer" sheetId="14" r:id="rId14"/>
    <sheet name="NonBudA" sheetId="15" r:id="rId15"/>
    <sheet name="summ" sheetId="16" r:id="rId16"/>
    <sheet name="Sheet1" sheetId="17" r:id="rId17"/>
  </sheets>
  <definedNames>
    <definedName name="_xlnm.Print_Area" localSheetId="11">'G.O. B&amp;I-G.O. Sewer B&amp;I'!$B$1:$E$83</definedName>
    <definedName name="_xlnm.Print_Area" localSheetId="10">'GenDetail'!$A$1:$D$62</definedName>
    <definedName name="_xlnm.Print_Area" localSheetId="9">'general'!$B$1:$E$121</definedName>
    <definedName name="_xlnm.Print_Area" localSheetId="0">'inputPrYr'!$A$1:$E$118</definedName>
    <definedName name="_xlnm.Print_Area" localSheetId="8">'lpform'!$B$1:$I$38</definedName>
    <definedName name="_xlnm.Print_Area" localSheetId="15">'summ'!$A$2:$H$42</definedName>
  </definedNames>
  <calcPr fullCalcOnLoad="1" iterate="1" iterateCount="1" iterateDelta="0"/>
</workbook>
</file>

<file path=xl/sharedStrings.xml><?xml version="1.0" encoding="utf-8"?>
<sst xmlns="http://schemas.openxmlformats.org/spreadsheetml/2006/main" count="695" uniqueCount="388">
  <si>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</si>
  <si>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</si>
  <si>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</si>
  <si>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</si>
  <si>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</si>
  <si>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</si>
  <si>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</si>
  <si>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</si>
  <si>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</si>
  <si>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</si>
  <si>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</si>
  <si>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</si>
  <si>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</si>
  <si>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</si>
  <si>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</si>
  <si>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</si>
  <si>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</si>
  <si>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</si>
  <si>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</si>
  <si>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</si>
  <si>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</si>
  <si>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</si>
  <si>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</si>
  <si>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</si>
  <si>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</si>
  <si>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</si>
  <si>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</si>
  <si>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</si>
  <si>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</si>
  <si>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In Lieu of Taxes (IRB)</t>
  </si>
  <si>
    <t>Interest on Idle Funds</t>
  </si>
  <si>
    <t>Total Receipts</t>
  </si>
  <si>
    <t>Resources Available:</t>
  </si>
  <si>
    <t xml:space="preserve">Page No. </t>
  </si>
  <si>
    <t>Expenditures:</t>
  </si>
  <si>
    <t xml:space="preserve">  Commodities</t>
  </si>
  <si>
    <t xml:space="preserve">  Capital Outlay</t>
  </si>
  <si>
    <t>Total Expenditures</t>
  </si>
  <si>
    <t>Tax Required</t>
  </si>
  <si>
    <t>%</t>
  </si>
  <si>
    <t>Page No.</t>
  </si>
  <si>
    <t>Page Total</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</si>
  <si>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</si>
  <si>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</si>
  <si>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</si>
  <si>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</si>
  <si>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</si>
  <si>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</si>
  <si>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</si>
  <si>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</si>
  <si>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</si>
  <si>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</si>
  <si>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</si>
  <si>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</si>
  <si>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</si>
  <si>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</si>
  <si>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</si>
  <si>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</si>
  <si>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</si>
  <si>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</si>
  <si>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</si>
  <si>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</si>
  <si>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</si>
  <si>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</si>
  <si>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</si>
  <si>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</si>
  <si>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</si>
  <si>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</si>
  <si>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</si>
  <si>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</si>
  <si>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</si>
  <si>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</si>
  <si>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</si>
  <si>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</si>
  <si>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</si>
  <si>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</si>
  <si>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</si>
  <si>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</si>
  <si>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</si>
  <si>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</si>
  <si>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</si>
  <si>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</si>
  <si>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</si>
  <si>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</si>
  <si>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</si>
  <si>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</si>
  <si>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</si>
  <si>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</si>
  <si>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</si>
  <si>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</si>
  <si>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</si>
  <si>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</si>
  <si>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</si>
  <si>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</si>
  <si>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</si>
  <si>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</si>
  <si>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</si>
  <si>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</si>
  <si>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</si>
  <si>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</si>
  <si>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</si>
  <si>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</si>
  <si>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</si>
  <si>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</si>
  <si>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</si>
  <si>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</si>
  <si>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</si>
  <si>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</si>
  <si>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</si>
  <si>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</si>
  <si>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</si>
  <si>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</si>
  <si>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</si>
  <si>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</si>
  <si>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</si>
  <si>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</si>
  <si>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</si>
  <si>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</si>
  <si>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</si>
  <si>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</si>
  <si>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</si>
  <si>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</si>
  <si>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</si>
  <si>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</si>
  <si>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 xml:space="preserve">  3.</t>
  </si>
  <si>
    <t xml:space="preserve">  Real Estate</t>
  </si>
  <si>
    <t xml:space="preserve">  State Assessed</t>
  </si>
  <si>
    <t xml:space="preserve">  New Improvements</t>
  </si>
  <si>
    <t>14.</t>
  </si>
  <si>
    <t>15.</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</si>
  <si>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</si>
  <si>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</si>
  <si>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</si>
  <si>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</si>
  <si>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</si>
  <si>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</si>
  <si>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</si>
  <si>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</si>
  <si>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</si>
  <si>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Current</t>
  </si>
  <si>
    <t>Proposed</t>
  </si>
  <si>
    <t>Address:</t>
  </si>
  <si>
    <t>Territory Added: (Current Year Only)</t>
  </si>
  <si>
    <t>Neighborhood Revitalization</t>
  </si>
  <si>
    <t>16\20 M Vehicle Tax</t>
  </si>
  <si>
    <t>LAVTR</t>
  </si>
  <si>
    <t>City and County Revenue Sharing</t>
  </si>
  <si>
    <t xml:space="preserve">   </t>
  </si>
  <si>
    <t>Enter year being budgeted (YYYY)</t>
  </si>
  <si>
    <t>10-113</t>
  </si>
  <si>
    <t>Other (non-tax levy) fund names:</t>
  </si>
  <si>
    <t xml:space="preserve">  G.O. Bonds</t>
  </si>
  <si>
    <t xml:space="preserve">  Revenue Bonds</t>
  </si>
  <si>
    <t xml:space="preserve">  Other</t>
  </si>
  <si>
    <t xml:space="preserve">  Lease Purchase Principal</t>
  </si>
  <si>
    <t>Cash Balance Dec 31</t>
  </si>
  <si>
    <t xml:space="preserve">Unencumbered </t>
  </si>
  <si>
    <t>Amount of</t>
  </si>
  <si>
    <t>Valorem Tax</t>
  </si>
  <si>
    <t>NON-BUDGETED FUNDS (A)</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</si>
  <si>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</si>
  <si>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</si>
  <si>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</si>
  <si>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</si>
  <si>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</si>
  <si>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</si>
  <si>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</si>
  <si>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</si>
  <si>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</si>
  <si>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</si>
  <si>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</si>
  <si>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</si>
  <si>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</si>
  <si>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</si>
  <si>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</si>
  <si>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</si>
  <si>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</si>
  <si>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</si>
  <si>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Budgeted Funds</t>
  </si>
  <si>
    <t>Input sheet for City1.XLS budget form</t>
  </si>
  <si>
    <t>City Official Title:</t>
  </si>
  <si>
    <t>Estimate</t>
  </si>
  <si>
    <t>Non-Budgeted Funds-A</t>
  </si>
  <si>
    <r>
      <t>**</t>
    </r>
    <r>
      <rPr>
        <b/>
        <u val="single"/>
        <sz val="12"/>
        <rFont val="Times New Roman"/>
        <family val="1"/>
      </rPr>
      <t>Note</t>
    </r>
    <r>
      <rPr>
        <sz val="12"/>
        <rFont val="Times New Roman"/>
        <family val="1"/>
      </rPr>
      <t>: The delinquency rate can be up to 5% more than the actual delinquency rate from the previous year.</t>
    </r>
  </si>
  <si>
    <t>Single Non Tax Levy:</t>
  </si>
  <si>
    <t>Non-Budgeted (A):</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</si>
  <si>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</si>
  <si>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</si>
  <si>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Fund name for all other funds with a tax levy:</t>
  </si>
  <si>
    <t>Note:  All amounts are to be entered in as whole numbers only.</t>
  </si>
  <si>
    <t xml:space="preserve">The input for the following comes directly from </t>
  </si>
  <si>
    <t>Budget Summary</t>
  </si>
  <si>
    <t>Enter City Name ( City of )</t>
  </si>
  <si>
    <t>Enter County Name followed by "County"</t>
  </si>
  <si>
    <t>**</t>
  </si>
  <si>
    <t>**Note: These two block figures should agree.</t>
  </si>
  <si>
    <t>Outstanding Indebtedness, January 1:</t>
  </si>
  <si>
    <t>From the League of Municipalities' Budget Tips (Special City and County Highway Fund):</t>
  </si>
  <si>
    <t>Attest: _____________________,</t>
  </si>
  <si>
    <t>County Transfers Gas</t>
  </si>
  <si>
    <t>Funds</t>
  </si>
  <si>
    <t>Budget Authority</t>
  </si>
  <si>
    <t xml:space="preserve">expenditure amounts should reflect the amended </t>
  </si>
  <si>
    <t>expenditure amounts.</t>
  </si>
  <si>
    <t>Miscellaneous</t>
  </si>
  <si>
    <t>Neighborhood Revitalization Rebate</t>
  </si>
  <si>
    <t>Cash Balance Jan 1</t>
  </si>
  <si>
    <t>***If you are merely leasing/renting with no intent to purchase, do not list--such transactions are not lease-purchases.</t>
  </si>
  <si>
    <t>Debt Service</t>
  </si>
  <si>
    <t>(Note: Should agree with general sub-totals.)</t>
  </si>
  <si>
    <t>General Fund - Detail Expenditures</t>
  </si>
  <si>
    <t xml:space="preserve">Ad Valorem Tax </t>
  </si>
  <si>
    <t>Fund Names:</t>
  </si>
  <si>
    <t>Statute</t>
  </si>
  <si>
    <t>General</t>
  </si>
  <si>
    <t>Total</t>
  </si>
  <si>
    <t>Motor Vehicle Tax Estimate</t>
  </si>
  <si>
    <t>Recreational Vehicle Tax Estimate</t>
  </si>
  <si>
    <t>certify that: (1) the hearing mentioned in the attached publication was held;</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</si>
  <si>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</si>
  <si>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</si>
  <si>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</si>
  <si>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</si>
  <si>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</si>
  <si>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</si>
  <si>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</si>
  <si>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</si>
  <si>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</si>
  <si>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</si>
  <si>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</si>
  <si>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</si>
  <si>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</si>
  <si>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hearing and answering objections of taxpayers relating to the proposed use of all funds and the amount of ad valorem tax.</t>
  </si>
  <si>
    <t>*Note:</t>
  </si>
  <si>
    <t>Expenditure</t>
  </si>
  <si>
    <t xml:space="preserve">Fund Transferred </t>
  </si>
  <si>
    <t>Receipt</t>
  </si>
  <si>
    <t>Fund Transferred</t>
  </si>
  <si>
    <r>
      <t>Adjustments</t>
    </r>
    <r>
      <rPr>
        <b/>
        <sz val="12"/>
        <color indexed="10"/>
        <rFont val="Times New Roman"/>
        <family val="1"/>
      </rPr>
      <t>*</t>
    </r>
  </si>
  <si>
    <t>We, the undersigned, officers of</t>
  </si>
  <si>
    <t>Non-Appropriated Balance</t>
  </si>
  <si>
    <t>Total Expenditure/Non-Appr Balance</t>
  </si>
  <si>
    <t>Delinquent Comp Rate:</t>
  </si>
  <si>
    <t>Does miscellaneous exceed 10% of Total Exp</t>
  </si>
  <si>
    <t>Does miscellanous exceed 10% of Total Exp</t>
  </si>
  <si>
    <t xml:space="preserve"> Sub-Total detail page </t>
  </si>
  <si>
    <t>Official Title:</t>
  </si>
  <si>
    <t>for Expenditures</t>
  </si>
  <si>
    <t>Desired Carryover Amount:</t>
  </si>
  <si>
    <t>Estimated Mill Rate Impact:</t>
  </si>
  <si>
    <t>City Clerk, City Treasurer, Mayor</t>
  </si>
  <si>
    <t>The estimated value of one mill would be:</t>
  </si>
  <si>
    <t>Change in Ad Valorem Tax Revenue:</t>
  </si>
  <si>
    <t>What Mill Rate Would Be Desired?</t>
  </si>
  <si>
    <t>2012 Ad Valorem Tax:</t>
  </si>
  <si>
    <t>Franchise Tax</t>
  </si>
  <si>
    <t xml:space="preserve">Totals </t>
  </si>
  <si>
    <t>Does miscellaneous exceed 10% Total Rec</t>
  </si>
  <si>
    <t>Does miscellaneous exceed 10% Total Exp</t>
  </si>
  <si>
    <t xml:space="preserve">Amounts used in lieu of </t>
  </si>
  <si>
    <t>________________________    ___________________________</t>
  </si>
  <si>
    <t xml:space="preserve">Budget Tax Levy </t>
  </si>
  <si>
    <t>Allocation of MVT, RVT, and 16/20M Vehicle Tax</t>
  </si>
  <si>
    <t xml:space="preserve">Prior Year </t>
  </si>
  <si>
    <t>Current Year</t>
  </si>
  <si>
    <t>Proposed Budget</t>
  </si>
  <si>
    <t xml:space="preserve">Current Year </t>
  </si>
  <si>
    <t xml:space="preserve">Proposed Budget </t>
  </si>
  <si>
    <t>Expenditures Must Be Changed by:</t>
  </si>
  <si>
    <t>Delinquency % used in this budget will be shown on all fund pages with a tax levy**</t>
  </si>
  <si>
    <t>Email:</t>
  </si>
  <si>
    <t xml:space="preserve">Type of </t>
  </si>
  <si>
    <t xml:space="preserve"> Debt</t>
  </si>
  <si>
    <t>Mill Rate Comparison</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</si>
  <si>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</si>
  <si>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</si>
  <si>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</si>
  <si>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</si>
  <si>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</si>
  <si>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</si>
  <si>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</si>
  <si>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</si>
  <si>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</si>
  <si>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</si>
  <si>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</si>
  <si>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</si>
  <si>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</si>
  <si>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</si>
  <si>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</si>
  <si>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Allocation of Motor, Recreational, 16/20M Vehicle Tax </t>
  </si>
  <si>
    <t>Tax levy excluding debt service</t>
  </si>
  <si>
    <t>Increase in personal property (5a minus 5b)</t>
  </si>
  <si>
    <t>Real estate</t>
  </si>
  <si>
    <t>State assessed</t>
  </si>
  <si>
    <t>New improvements</t>
  </si>
  <si>
    <t>Total adjustment (sum of 6a, 6b, and 6c)</t>
  </si>
  <si>
    <t>Total valuation adjustment (sum of 4, 5c, 6d &amp;7)</t>
  </si>
  <si>
    <t>Total valuation less valuation adjustment (9 minus 8)</t>
  </si>
  <si>
    <t>Factor for increase (8 divided by 10)</t>
  </si>
  <si>
    <t>Amount of increase (11 times 3)</t>
  </si>
  <si>
    <t>16.</t>
  </si>
  <si>
    <t>17.</t>
  </si>
  <si>
    <t>Consumer Price Index adjustment (3 times 16)</t>
  </si>
  <si>
    <t>18.</t>
  </si>
  <si>
    <t>(15 plus 17)</t>
  </si>
  <si>
    <t xml:space="preserve">you must publish notice of vote by the governing body to adopt such budget in the official county newspaper and </t>
  </si>
  <si>
    <t>attach a copy of the published notice to this budget.</t>
  </si>
  <si>
    <t>Notice of the vote to adopt required to be published and attached to the budget?</t>
  </si>
  <si>
    <t>Vote publication required?</t>
  </si>
  <si>
    <t>In no event will published notice of the vote be required if the total budget year tax levy is $1,000 or less.</t>
  </si>
  <si>
    <t>City of Buffalo</t>
  </si>
  <si>
    <t>Wilson County</t>
  </si>
  <si>
    <t>G.O. Bond &amp; Interest</t>
  </si>
  <si>
    <t>G.O. Sewer B &amp; I</t>
  </si>
  <si>
    <t>Special Highway Impr</t>
  </si>
  <si>
    <t>Water Utility</t>
  </si>
  <si>
    <t>Sewer Utility</t>
  </si>
  <si>
    <t>Wtr Util Lease Purch P &amp; I</t>
  </si>
  <si>
    <t>Water Util Bond &amp; Interest</t>
  </si>
  <si>
    <t>Water Utility Bond Reserve</t>
  </si>
  <si>
    <t>City Clerk</t>
  </si>
  <si>
    <t>Buffalo City Hall</t>
  </si>
  <si>
    <t>Water Utility Bond &amp; Interest</t>
  </si>
  <si>
    <t>Water Utility Lease Purchase Principle &amp; Interest</t>
  </si>
  <si>
    <t>Special Highway Improvement Reserve</t>
  </si>
  <si>
    <t>G.O. Sewer Utility Bond &amp; Interest</t>
  </si>
  <si>
    <t>K.S.A 12-825d</t>
  </si>
  <si>
    <t>Paid by utility revenues</t>
  </si>
  <si>
    <t xml:space="preserve">   Sewer Utility System</t>
  </si>
  <si>
    <t>6/21, 12/21</t>
  </si>
  <si>
    <t>Waterworks Utility System</t>
  </si>
  <si>
    <t>None</t>
  </si>
  <si>
    <t>Capital Leases</t>
  </si>
  <si>
    <t xml:space="preserve">    Waterline Project</t>
  </si>
  <si>
    <t>Charges for Services</t>
  </si>
  <si>
    <t>Solid Waste Collections</t>
  </si>
  <si>
    <t>Community Building Rent</t>
  </si>
  <si>
    <t>Fire Building Rent</t>
  </si>
  <si>
    <t>Donations</t>
  </si>
  <si>
    <t>Reimbursed Expense</t>
  </si>
  <si>
    <t>Parks &amp; Recreation</t>
  </si>
  <si>
    <t>General Administration</t>
  </si>
  <si>
    <t xml:space="preserve">  Personal Services</t>
  </si>
  <si>
    <t xml:space="preserve">  Contractual Services</t>
  </si>
  <si>
    <t>Street Lights</t>
  </si>
  <si>
    <t>Parks &amp; Recreations</t>
  </si>
  <si>
    <t>Solid Waste</t>
  </si>
  <si>
    <t xml:space="preserve">  Personal Sevices</t>
  </si>
  <si>
    <t xml:space="preserve">Streets </t>
  </si>
  <si>
    <t>Community Building</t>
  </si>
  <si>
    <t>Demolition</t>
  </si>
  <si>
    <t xml:space="preserve">   Principal</t>
  </si>
  <si>
    <t xml:space="preserve">   Interest</t>
  </si>
  <si>
    <t xml:space="preserve">   Commission and Other</t>
  </si>
  <si>
    <t>Operating Transfers From</t>
  </si>
  <si>
    <t xml:space="preserve">   Sewer Utility Fund</t>
  </si>
  <si>
    <t>General Government</t>
  </si>
  <si>
    <t>Operating Transfer From</t>
  </si>
  <si>
    <t xml:space="preserve">    Water Utility Fund</t>
  </si>
  <si>
    <t xml:space="preserve">     General Fund</t>
  </si>
  <si>
    <t>Street Improvements</t>
  </si>
  <si>
    <t>Water Sales</t>
  </si>
  <si>
    <t xml:space="preserve"> Penalties</t>
  </si>
  <si>
    <t xml:space="preserve"> Sales Tax</t>
  </si>
  <si>
    <t xml:space="preserve">Operating Transfer to: </t>
  </si>
  <si>
    <t xml:space="preserve">   Water Utility Bond &amp; Interest</t>
  </si>
  <si>
    <t xml:space="preserve">   Water Utility Lease Purchase Prin &amp; Int</t>
  </si>
  <si>
    <t xml:space="preserve">   Special Highway Imp Res Fund</t>
  </si>
  <si>
    <t>User Fees</t>
  </si>
  <si>
    <t>Operating Expenditures</t>
  </si>
  <si>
    <t>Operating Transfers to:</t>
  </si>
  <si>
    <t xml:space="preserve">   G.O. Sewer Utility Bond &amp; Interest Fund</t>
  </si>
  <si>
    <t xml:space="preserve">Operating Transfers </t>
  </si>
  <si>
    <t xml:space="preserve">  Water Utility Fd</t>
  </si>
  <si>
    <t>Philip A. Jarred, CPA</t>
  </si>
  <si>
    <t>Jarred, Gilmore &amp; Phillips, PA</t>
  </si>
  <si>
    <t>1815 S Sante Fe</t>
  </si>
  <si>
    <t>Chanute, Ks  66720</t>
  </si>
  <si>
    <t>pjarred@jgppa.com</t>
  </si>
  <si>
    <t>See Accountants' Compilation Report</t>
  </si>
  <si>
    <t>August 12, 2014</t>
  </si>
  <si>
    <t>6:45 PM</t>
  </si>
  <si>
    <t>Transfers to:</t>
  </si>
  <si>
    <t xml:space="preserve">  Special Highway Improvement Fund</t>
  </si>
  <si>
    <t>Cash Basis Reserve</t>
  </si>
  <si>
    <t>Sale of Materials</t>
  </si>
  <si>
    <t>K.S.A 12-1,119</t>
  </si>
  <si>
    <t>K.S.A 68-590</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</si>
</sst>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0.000%"/>
    <numFmt numFmtId="182" formatCode="#,##0.000"/>
    <numFmt numFmtId="183" formatCode="&quot;Yes&quot;;&quot;Yes&quot;;&quot;No&quot;"/>
    <numFmt numFmtId="184" formatCode="&quot;True&quot;;&quot;True&quot;;&quot;False&quot;"/>
    <numFmt numFmtId="185" formatCode="&quot;On&quot;;&quot;On&quot;;&quot;Off&quot;"/>
    <numFmt numFmtId="186" formatCode="[$€-2]\ #,##0.00_);[Red]\([$€-2]\ #,##0.00\)"/>
    <numFmt numFmtId="187" formatCode="[$-409]mmmm\ d\,\ yyyy;@"/>
    <numFmt numFmtId="188" formatCode="[$-409]h:mm\ AM/PM;@"/>
    <numFmt numFmtId="189" formatCode="[$-409]dddd\,\ mmmm\ dd\,\ yyyy"/>
    <numFmt numFmtId="190" formatCode="\1\1\-\1\2\2\2"/>
    <numFmt numFmtId="191" formatCode="m/d/yy;@"/>
    <numFmt numFmtId="192" formatCode="0.0000000000"/>
    <numFmt numFmtId="193" formatCode="0_);\(0\)"/>
    <numFmt numFmtId="194" formatCode="&quot;$&quot;#,##0"/>
    <numFmt numFmtId="195" formatCode="&quot;$&quot;#,##0.00"/>
    <numFmt numFmtId="196" formatCode="#,###"/>
    <numFmt numFmtId="197" formatCode="0.0%"/>
    <numFmt numFmtId="198" formatCode="#,##0.000_);[Red]\(#,##0.000\)"/>
    <numFmt numFmtId="199" formatCode="[$-409]d\-mmm;@"/>
  </numFmts>
  <fonts count="55">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u val="single"/>
      <sz val="12"/>
      <color indexed="12"/>
      <name val="Courier"/>
      <family val="3"/>
    </font>
    <font>
      <u val="single"/>
      <sz val="12"/>
      <color indexed="36"/>
      <name val="Courier"/>
      <family val="3"/>
    </font>
    <font>
      <sz val="8"/>
      <name val="Courier"/>
      <family val="3"/>
    </font>
    <font>
      <b/>
      <u val="single"/>
      <sz val="12"/>
      <name val="Times New Roman"/>
      <family val="1"/>
    </font>
    <font>
      <sz val="8"/>
      <name val="Times New Roman"/>
      <family val="1"/>
    </font>
    <font>
      <b/>
      <u val="single"/>
      <sz val="12"/>
      <color indexed="10"/>
      <name val="Times New Roman"/>
      <family val="1"/>
    </font>
    <font>
      <b/>
      <u val="single"/>
      <sz val="12"/>
      <name val="Courier"/>
      <family val="3"/>
    </font>
    <font>
      <sz val="12"/>
      <color indexed="10"/>
      <name val="Times New Roman"/>
      <family val="1"/>
    </font>
    <font>
      <b/>
      <sz val="8"/>
      <name val="Times New Roman"/>
      <family val="1"/>
    </font>
    <font>
      <sz val="12"/>
      <color indexed="10"/>
      <name val="Courier"/>
      <family val="3"/>
    </font>
    <font>
      <i/>
      <sz val="12"/>
      <name val="Times New Roman"/>
      <family val="1"/>
    </font>
    <font>
      <b/>
      <sz val="12"/>
      <color indexed="10"/>
      <name val="Times New Roman"/>
      <family val="1"/>
    </font>
    <font>
      <b/>
      <u val="single"/>
      <sz val="8"/>
      <color indexed="10"/>
      <name val="Times New Roman"/>
      <family val="1"/>
    </font>
    <font>
      <sz val="12"/>
      <name val="Courier New"/>
      <family val="3"/>
    </font>
    <font>
      <u val="single"/>
      <sz val="12"/>
      <color indexed="12"/>
      <name val="Courier New"/>
      <family val="3"/>
    </font>
    <font>
      <sz val="10"/>
      <name val="Times New Roman"/>
      <family val="1"/>
    </font>
    <font>
      <b/>
      <u val="single"/>
      <sz val="10"/>
      <name val="Times New Roman"/>
      <family val="1"/>
    </font>
    <font>
      <b/>
      <sz val="10"/>
      <name val="Times New Roman"/>
      <family val="1"/>
    </font>
    <font>
      <sz val="8"/>
      <color indexed="10"/>
      <name val="Times New Roman"/>
      <family val="1"/>
    </font>
    <font>
      <b/>
      <u val="single"/>
      <sz val="8"/>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9"/>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indexed="34"/>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thin"/>
      <top style="thin"/>
      <bottom>
        <color indexed="63"/>
      </bottom>
    </border>
    <border>
      <left style="thin"/>
      <right>
        <color indexed="63"/>
      </right>
      <top style="thin"/>
      <bottom>
        <color indexed="63"/>
      </bottom>
    </border>
    <border>
      <left style="thin"/>
      <right style="thin"/>
      <top style="thin"/>
      <bottom style="double"/>
    </border>
    <border>
      <left>
        <color indexed="63"/>
      </left>
      <right style="thin"/>
      <top>
        <color indexed="63"/>
      </top>
      <bottom>
        <color indexed="63"/>
      </bottom>
    </border>
    <border>
      <left style="thin"/>
      <right style="thin"/>
      <top style="medium"/>
      <bottom>
        <color indexed="63"/>
      </bottom>
    </border>
    <border>
      <left style="thin"/>
      <right style="thin"/>
      <top style="medium"/>
      <bottom style="double"/>
    </border>
  </borders>
  <cellStyleXfs count="5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4"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6" borderId="0" applyNumberFormat="0" applyBorder="0" applyAlignment="0" applyProtection="0"/>
    <xf numFmtId="0" fontId="32" fillId="4" borderId="0" applyNumberFormat="0" applyBorder="0" applyAlignment="0" applyProtection="0"/>
    <xf numFmtId="0" fontId="33" fillId="6"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6" borderId="0" applyNumberFormat="0" applyBorder="0" applyAlignment="0" applyProtection="0"/>
    <xf numFmtId="0" fontId="33" fillId="3" borderId="0" applyNumberFormat="0" applyBorder="0" applyAlignment="0" applyProtection="0"/>
    <xf numFmtId="0" fontId="33" fillId="11"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4" fillId="15" borderId="0" applyNumberFormat="0" applyBorder="0" applyAlignment="0" applyProtection="0"/>
    <xf numFmtId="0" fontId="35" fillId="16" borderId="1" applyNumberFormat="0" applyAlignment="0" applyProtection="0"/>
    <xf numFmtId="0" fontId="3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1" fillId="0" borderId="0" applyNumberFormat="0" applyFill="0" applyBorder="0" applyAlignment="0" applyProtection="0"/>
    <xf numFmtId="0" fontId="38" fillId="6"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0" fillId="0" borderId="0" applyNumberFormat="0" applyFill="0" applyBorder="0" applyAlignment="0" applyProtection="0"/>
    <xf numFmtId="0" fontId="24"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4"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4" fillId="0" borderId="0" applyNumberFormat="0" applyFill="0" applyBorder="0" applyAlignment="0" applyProtection="0"/>
    <xf numFmtId="0" fontId="1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2" fillId="7" borderId="1" applyNumberFormat="0" applyAlignment="0" applyProtection="0"/>
    <xf numFmtId="0" fontId="43" fillId="0" borderId="6" applyNumberFormat="0" applyFill="0" applyAlignment="0" applyProtection="0"/>
    <xf numFmtId="0" fontId="44" fillId="7"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4" borderId="7" applyNumberFormat="0" applyFont="0" applyAlignment="0" applyProtection="0"/>
    <xf numFmtId="0" fontId="45" fillId="1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3" fillId="0" borderId="0" applyNumberFormat="0" applyFill="0" applyBorder="0" applyAlignment="0" applyProtection="0"/>
  </cellStyleXfs>
  <cellXfs count="610">
    <xf numFmtId="0" fontId="0" fillId="0" borderId="0" xfId="0" applyAlignment="1">
      <alignment/>
    </xf>
    <xf numFmtId="0" fontId="5" fillId="0" borderId="0" xfId="0" applyFont="1" applyAlignment="1">
      <alignment vertical="center"/>
    </xf>
    <xf numFmtId="0" fontId="5" fillId="14" borderId="0" xfId="0" applyFont="1" applyFill="1" applyAlignment="1">
      <alignment vertical="center"/>
    </xf>
    <xf numFmtId="37" fontId="13" fillId="4" borderId="0" xfId="0" applyNumberFormat="1" applyFont="1" applyFill="1" applyAlignment="1" applyProtection="1">
      <alignment horizontal="left" vertical="center"/>
      <protection/>
    </xf>
    <xf numFmtId="0" fontId="5" fillId="4" borderId="0" xfId="0" applyFont="1" applyFill="1" applyAlignment="1" applyProtection="1">
      <alignment vertical="center"/>
      <protection/>
    </xf>
    <xf numFmtId="0" fontId="5" fillId="0" borderId="0" xfId="0" applyFont="1" applyAlignment="1" applyProtection="1">
      <alignment vertical="center"/>
      <protection locked="0"/>
    </xf>
    <xf numFmtId="37" fontId="4" fillId="4" borderId="0" xfId="0" applyNumberFormat="1" applyFont="1" applyFill="1" applyAlignment="1" applyProtection="1">
      <alignment horizontal="left" vertical="center"/>
      <protection/>
    </xf>
    <xf numFmtId="37" fontId="5" fillId="4" borderId="0" xfId="0" applyNumberFormat="1" applyFont="1" applyFill="1" applyAlignment="1" applyProtection="1">
      <alignment horizontal="left" vertical="center"/>
      <protection/>
    </xf>
    <xf numFmtId="37" fontId="5" fillId="4" borderId="0" xfId="0" applyNumberFormat="1" applyFont="1" applyFill="1" applyAlignment="1" applyProtection="1">
      <alignment horizontal="left" vertical="center"/>
      <protection locked="0"/>
    </xf>
    <xf numFmtId="0" fontId="4" fillId="18" borderId="10" xfId="0" applyFont="1" applyFill="1" applyBorder="1" applyAlignment="1" applyProtection="1">
      <alignment horizontal="center" vertical="center"/>
      <protection locked="0"/>
    </xf>
    <xf numFmtId="37" fontId="4"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37" fontId="5"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4" fillId="19" borderId="0" xfId="0" applyFont="1" applyFill="1" applyAlignment="1" applyProtection="1">
      <alignment vertical="center"/>
      <protection/>
    </xf>
    <xf numFmtId="0" fontId="5" fillId="19" borderId="0" xfId="0" applyFont="1" applyFill="1" applyAlignment="1" applyProtection="1">
      <alignment vertical="center"/>
      <protection/>
    </xf>
    <xf numFmtId="37" fontId="4" fillId="20" borderId="0" xfId="0" applyNumberFormat="1" applyFont="1" applyFill="1" applyAlignment="1" applyProtection="1">
      <alignment horizontal="left" vertical="center"/>
      <protection/>
    </xf>
    <xf numFmtId="0" fontId="5" fillId="20" borderId="0" xfId="0" applyFont="1" applyFill="1" applyAlignment="1" applyProtection="1">
      <alignment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vertical="center"/>
      <protection/>
    </xf>
    <xf numFmtId="0" fontId="6" fillId="19" borderId="11" xfId="0" applyFont="1" applyFill="1" applyBorder="1" applyAlignment="1" applyProtection="1">
      <alignment horizontal="center" vertical="center"/>
      <protection locked="0"/>
    </xf>
    <xf numFmtId="0" fontId="6" fillId="21" borderId="11" xfId="0" applyFont="1" applyFill="1" applyBorder="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19" borderId="12" xfId="0" applyFont="1" applyFill="1" applyBorder="1" applyAlignment="1" applyProtection="1">
      <alignment horizontal="center" vertical="center"/>
      <protection locked="0"/>
    </xf>
    <xf numFmtId="37" fontId="5" fillId="21" borderId="12" xfId="0" applyNumberFormat="1" applyFont="1" applyFill="1" applyBorder="1" applyAlignment="1" applyProtection="1">
      <alignment horizontal="center" vertical="center" wrapText="1"/>
      <protection/>
    </xf>
    <xf numFmtId="37" fontId="5" fillId="4" borderId="10" xfId="0" applyNumberFormat="1" applyFont="1" applyFill="1" applyBorder="1" applyAlignment="1" applyProtection="1">
      <alignment horizontal="left" vertical="center"/>
      <protection/>
    </xf>
    <xf numFmtId="0" fontId="5" fillId="4" borderId="10" xfId="0" applyFont="1" applyFill="1" applyBorder="1" applyAlignment="1" applyProtection="1">
      <alignment vertical="center"/>
      <protection/>
    </xf>
    <xf numFmtId="3" fontId="5" fillId="18" borderId="10" xfId="0" applyNumberFormat="1" applyFont="1" applyFill="1" applyBorder="1" applyAlignment="1" applyProtection="1">
      <alignment vertical="center"/>
      <protection locked="0"/>
    </xf>
    <xf numFmtId="3" fontId="5" fillId="18" borderId="10" xfId="0" applyNumberFormat="1" applyFont="1" applyFill="1" applyBorder="1" applyAlignment="1" applyProtection="1">
      <alignment vertical="center"/>
      <protection locked="0"/>
    </xf>
    <xf numFmtId="3" fontId="5" fillId="4" borderId="0" xfId="0" applyNumberFormat="1" applyFont="1" applyFill="1" applyAlignment="1" applyProtection="1">
      <alignment vertical="center"/>
      <protection/>
    </xf>
    <xf numFmtId="178" fontId="5" fillId="4" borderId="0" xfId="0" applyNumberFormat="1" applyFont="1" applyFill="1" applyBorder="1" applyAlignment="1" applyProtection="1">
      <alignment vertical="center"/>
      <protection/>
    </xf>
    <xf numFmtId="0" fontId="5" fillId="18" borderId="10" xfId="0" applyFont="1" applyFill="1" applyBorder="1" applyAlignment="1" applyProtection="1">
      <alignment vertical="center"/>
      <protection locked="0"/>
    </xf>
    <xf numFmtId="37" fontId="5" fillId="4" borderId="13" xfId="0" applyNumberFormat="1" applyFont="1" applyFill="1" applyBorder="1" applyAlignment="1" applyProtection="1">
      <alignment horizontal="left" vertical="center"/>
      <protection/>
    </xf>
    <xf numFmtId="0" fontId="5" fillId="4" borderId="13" xfId="0" applyFont="1" applyFill="1" applyBorder="1" applyAlignment="1" applyProtection="1">
      <alignment vertical="center"/>
      <protection/>
    </xf>
    <xf numFmtId="3" fontId="5" fillId="4" borderId="14" xfId="0" applyNumberFormat="1"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 fontId="5" fillId="4" borderId="0" xfId="0" applyNumberFormat="1" applyFont="1" applyFill="1" applyBorder="1" applyAlignment="1" applyProtection="1">
      <alignment vertical="center"/>
      <protection/>
    </xf>
    <xf numFmtId="164" fontId="5" fillId="4" borderId="10" xfId="0" applyNumberFormat="1" applyFont="1" applyFill="1" applyBorder="1" applyAlignment="1" applyProtection="1">
      <alignment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horizontal="left" vertical="center"/>
      <protection/>
    </xf>
    <xf numFmtId="0" fontId="5" fillId="4" borderId="15" xfId="0" applyFont="1" applyFill="1" applyBorder="1" applyAlignment="1" applyProtection="1">
      <alignment vertical="center"/>
      <protection/>
    </xf>
    <xf numFmtId="3" fontId="5"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right" vertical="center"/>
      <protection/>
    </xf>
    <xf numFmtId="37" fontId="5" fillId="19" borderId="0" xfId="0" applyNumberFormat="1" applyFont="1" applyFill="1" applyAlignment="1" applyProtection="1">
      <alignment horizontal="center" vertical="center"/>
      <protection/>
    </xf>
    <xf numFmtId="37" fontId="4" fillId="19" borderId="0" xfId="0" applyNumberFormat="1" applyFont="1" applyFill="1" applyAlignment="1" applyProtection="1">
      <alignment horizontal="left" vertical="center"/>
      <protection/>
    </xf>
    <xf numFmtId="0" fontId="5" fillId="19" borderId="13" xfId="0" applyFont="1" applyFill="1" applyBorder="1" applyAlignment="1">
      <alignment horizontal="center" vertical="center"/>
    </xf>
    <xf numFmtId="37" fontId="5" fillId="4" borderId="10" xfId="0" applyNumberFormat="1" applyFont="1" applyFill="1" applyBorder="1" applyAlignment="1" applyProtection="1">
      <alignment vertical="center"/>
      <protection/>
    </xf>
    <xf numFmtId="0" fontId="5" fillId="4" borderId="12" xfId="0" applyFont="1" applyFill="1" applyBorder="1" applyAlignment="1" applyProtection="1">
      <alignment vertical="center"/>
      <protection/>
    </xf>
    <xf numFmtId="178" fontId="5" fillId="18" borderId="10" xfId="0" applyNumberFormat="1" applyFont="1" applyFill="1" applyBorder="1" applyAlignment="1" applyProtection="1">
      <alignment vertical="center"/>
      <protection locked="0"/>
    </xf>
    <xf numFmtId="178" fontId="5" fillId="7" borderId="10" xfId="0" applyNumberFormat="1" applyFont="1" applyFill="1" applyBorder="1" applyAlignment="1" applyProtection="1">
      <alignment vertical="center"/>
      <protection/>
    </xf>
    <xf numFmtId="37" fontId="5" fillId="19" borderId="13" xfId="0" applyNumberFormat="1" applyFont="1" applyFill="1" applyBorder="1" applyAlignment="1" applyProtection="1">
      <alignment horizontal="left" vertical="center"/>
      <protection/>
    </xf>
    <xf numFmtId="0" fontId="5" fillId="19" borderId="13" xfId="0" applyFont="1" applyFill="1" applyBorder="1" applyAlignment="1" applyProtection="1">
      <alignment vertical="center"/>
      <protection/>
    </xf>
    <xf numFmtId="0" fontId="5" fillId="4" borderId="16" xfId="0" applyFont="1" applyFill="1" applyBorder="1" applyAlignment="1" applyProtection="1">
      <alignment vertical="center"/>
      <protection/>
    </xf>
    <xf numFmtId="0" fontId="5" fillId="19" borderId="14" xfId="0" applyFont="1" applyFill="1" applyBorder="1" applyAlignment="1" applyProtection="1">
      <alignment vertical="center"/>
      <protection/>
    </xf>
    <xf numFmtId="0" fontId="5" fillId="4" borderId="14" xfId="0" applyFont="1" applyFill="1" applyBorder="1" applyAlignment="1" applyProtection="1">
      <alignment vertical="center"/>
      <protection/>
    </xf>
    <xf numFmtId="0" fontId="5" fillId="4" borderId="17" xfId="0" applyFont="1" applyFill="1" applyBorder="1" applyAlignment="1" applyProtection="1">
      <alignment vertical="center"/>
      <protection/>
    </xf>
    <xf numFmtId="0" fontId="5" fillId="4" borderId="0" xfId="0" applyFont="1" applyFill="1" applyAlignment="1" applyProtection="1">
      <alignment vertical="center"/>
      <protection locked="0"/>
    </xf>
    <xf numFmtId="0" fontId="5" fillId="4" borderId="13" xfId="0" applyFont="1" applyFill="1" applyBorder="1" applyAlignment="1" applyProtection="1">
      <alignment horizontal="center" vertical="center"/>
      <protection/>
    </xf>
    <xf numFmtId="0" fontId="5" fillId="4" borderId="13" xfId="0" applyFont="1" applyFill="1" applyBorder="1" applyAlignment="1" applyProtection="1">
      <alignment horizontal="center" vertical="center"/>
      <protection locked="0"/>
    </xf>
    <xf numFmtId="0" fontId="5" fillId="4" borderId="16" xfId="0" applyFont="1" applyFill="1" applyBorder="1" applyAlignment="1" applyProtection="1">
      <alignment vertical="center"/>
      <protection locked="0"/>
    </xf>
    <xf numFmtId="0" fontId="5" fillId="4" borderId="17" xfId="0" applyFont="1" applyFill="1" applyBorder="1" applyAlignment="1" applyProtection="1">
      <alignment vertical="center"/>
      <protection locked="0"/>
    </xf>
    <xf numFmtId="0" fontId="0" fillId="0" borderId="0" xfId="0" applyAlignment="1">
      <alignment vertical="center"/>
    </xf>
    <xf numFmtId="37" fontId="5" fillId="4" borderId="0" xfId="0" applyNumberFormat="1" applyFont="1" applyFill="1" applyAlignment="1">
      <alignment vertical="center"/>
    </xf>
    <xf numFmtId="0" fontId="0" fillId="4" borderId="0" xfId="0" applyFill="1" applyAlignment="1">
      <alignment vertical="center"/>
    </xf>
    <xf numFmtId="0" fontId="5" fillId="4" borderId="0" xfId="0" applyFont="1" applyFill="1" applyAlignment="1">
      <alignment vertical="center"/>
    </xf>
    <xf numFmtId="37" fontId="5" fillId="4" borderId="14" xfId="0" applyNumberFormat="1" applyFont="1" applyFill="1" applyBorder="1" applyAlignment="1" applyProtection="1">
      <alignment horizontal="left" vertical="center"/>
      <protection/>
    </xf>
    <xf numFmtId="37" fontId="5" fillId="18" borderId="10" xfId="0" applyNumberFormat="1" applyFont="1" applyFill="1" applyBorder="1" applyAlignment="1" applyProtection="1">
      <alignment vertical="center"/>
      <protection locked="0"/>
    </xf>
    <xf numFmtId="37" fontId="4" fillId="4" borderId="14" xfId="0" applyNumberFormat="1" applyFont="1" applyFill="1" applyBorder="1" applyAlignment="1" applyProtection="1">
      <alignment horizontal="left" vertical="center"/>
      <protection/>
    </xf>
    <xf numFmtId="0" fontId="0" fillId="4" borderId="0" xfId="0" applyFill="1" applyAlignment="1" applyProtection="1">
      <alignment vertical="center"/>
      <protection/>
    </xf>
    <xf numFmtId="0" fontId="13" fillId="4" borderId="0" xfId="0" applyFont="1" applyFill="1" applyBorder="1" applyAlignment="1" applyProtection="1">
      <alignment horizontal="center" vertical="center"/>
      <protection/>
    </xf>
    <xf numFmtId="178" fontId="5" fillId="18" borderId="13" xfId="0" applyNumberFormat="1" applyFont="1" applyFill="1" applyBorder="1" applyAlignment="1" applyProtection="1">
      <alignment vertical="center"/>
      <protection locked="0"/>
    </xf>
    <xf numFmtId="178" fontId="5" fillId="18" borderId="14" xfId="0" applyNumberFormat="1" applyFont="1" applyFill="1" applyBorder="1" applyAlignment="1" applyProtection="1">
      <alignment vertical="center"/>
      <protection locked="0"/>
    </xf>
    <xf numFmtId="0" fontId="5" fillId="4" borderId="18" xfId="0" applyFont="1" applyFill="1" applyBorder="1" applyAlignment="1" applyProtection="1">
      <alignment vertical="center"/>
      <protection/>
    </xf>
    <xf numFmtId="178" fontId="5" fillId="18" borderId="18" xfId="0" applyNumberFormat="1" applyFont="1" applyFill="1" applyBorder="1" applyAlignment="1" applyProtection="1">
      <alignment vertical="center"/>
      <protection locked="0"/>
    </xf>
    <xf numFmtId="0" fontId="0" fillId="4" borderId="16" xfId="0" applyFill="1" applyBorder="1" applyAlignment="1" applyProtection="1">
      <alignment vertical="center"/>
      <protection/>
    </xf>
    <xf numFmtId="0" fontId="0" fillId="4" borderId="13" xfId="0" applyFill="1" applyBorder="1" applyAlignment="1" applyProtection="1">
      <alignment vertical="center"/>
      <protection/>
    </xf>
    <xf numFmtId="3" fontId="5" fillId="19" borderId="0" xfId="0" applyNumberFormat="1" applyFont="1" applyFill="1" applyAlignment="1" applyProtection="1">
      <alignment vertical="center"/>
      <protection/>
    </xf>
    <xf numFmtId="3" fontId="5" fillId="4" borderId="16" xfId="0" applyNumberFormat="1" applyFont="1" applyFill="1" applyBorder="1" applyAlignment="1" applyProtection="1">
      <alignment vertical="center"/>
      <protection/>
    </xf>
    <xf numFmtId="3" fontId="5" fillId="4" borderId="17" xfId="0" applyNumberFormat="1" applyFont="1" applyFill="1" applyBorder="1" applyAlignment="1" applyProtection="1">
      <alignment vertical="center"/>
      <protection/>
    </xf>
    <xf numFmtId="37" fontId="5" fillId="14" borderId="0" xfId="0" applyNumberFormat="1" applyFont="1" applyFill="1" applyBorder="1" applyAlignment="1" applyProtection="1">
      <alignment horizontal="left" vertical="center"/>
      <protection/>
    </xf>
    <xf numFmtId="0" fontId="5" fillId="14" borderId="0" xfId="0" applyFont="1" applyFill="1" applyBorder="1" applyAlignment="1" applyProtection="1">
      <alignment vertical="center"/>
      <protection/>
    </xf>
    <xf numFmtId="181" fontId="5" fillId="14" borderId="0" xfId="0" applyNumberFormat="1" applyFont="1" applyFill="1" applyBorder="1" applyAlignment="1" applyProtection="1">
      <alignment vertical="center"/>
      <protection locked="0"/>
    </xf>
    <xf numFmtId="0" fontId="4" fillId="19" borderId="0" xfId="0" applyFont="1" applyFill="1" applyAlignment="1">
      <alignment vertical="center"/>
    </xf>
    <xf numFmtId="0" fontId="1" fillId="19" borderId="0" xfId="0" applyFont="1" applyFill="1" applyAlignment="1">
      <alignment vertical="center"/>
    </xf>
    <xf numFmtId="0" fontId="0" fillId="19" borderId="0" xfId="0" applyFill="1" applyAlignment="1" applyProtection="1">
      <alignment vertical="center"/>
      <protection locked="0"/>
    </xf>
    <xf numFmtId="0" fontId="5" fillId="4" borderId="13" xfId="0" applyFont="1" applyFill="1" applyBorder="1" applyAlignment="1">
      <alignment vertical="center"/>
    </xf>
    <xf numFmtId="0" fontId="0" fillId="4" borderId="13" xfId="0" applyFill="1" applyBorder="1" applyAlignment="1">
      <alignment vertical="center"/>
    </xf>
    <xf numFmtId="0" fontId="0" fillId="4" borderId="16" xfId="0" applyFill="1" applyBorder="1" applyAlignment="1">
      <alignment vertical="center"/>
    </xf>
    <xf numFmtId="0" fontId="5" fillId="4" borderId="14" xfId="0" applyFont="1" applyFill="1" applyBorder="1" applyAlignment="1">
      <alignment vertical="center"/>
    </xf>
    <xf numFmtId="0" fontId="0" fillId="4" borderId="14" xfId="0" applyFill="1" applyBorder="1" applyAlignment="1">
      <alignment vertical="center"/>
    </xf>
    <xf numFmtId="0" fontId="0" fillId="4" borderId="17" xfId="0" applyFill="1" applyBorder="1" applyAlignment="1">
      <alignment vertical="center"/>
    </xf>
    <xf numFmtId="0" fontId="0" fillId="14" borderId="0" xfId="0" applyFill="1" applyAlignment="1">
      <alignment vertical="center"/>
    </xf>
    <xf numFmtId="0" fontId="5" fillId="21" borderId="11" xfId="0" applyFont="1" applyFill="1" applyBorder="1" applyAlignment="1">
      <alignment horizontal="center" vertical="center"/>
    </xf>
    <xf numFmtId="0" fontId="5" fillId="21" borderId="12" xfId="0" applyFont="1" applyFill="1" applyBorder="1" applyAlignment="1">
      <alignment horizontal="center" vertical="center"/>
    </xf>
    <xf numFmtId="0" fontId="17" fillId="4" borderId="0" xfId="0" applyFont="1" applyFill="1" applyAlignment="1">
      <alignment vertical="center"/>
    </xf>
    <xf numFmtId="0" fontId="19" fillId="4" borderId="0" xfId="0" applyFont="1" applyFill="1" applyAlignment="1">
      <alignment vertical="center"/>
    </xf>
    <xf numFmtId="37" fontId="5" fillId="4" borderId="10" xfId="0" applyNumberFormat="1" applyFont="1" applyFill="1" applyBorder="1" applyAlignment="1">
      <alignment vertical="center"/>
    </xf>
    <xf numFmtId="0" fontId="5" fillId="4" borderId="0" xfId="0" applyFont="1" applyFill="1" applyAlignment="1" applyProtection="1">
      <alignment horizontal="right" vertical="center"/>
      <protection/>
    </xf>
    <xf numFmtId="37" fontId="5" fillId="4" borderId="19" xfId="0" applyNumberFormat="1" applyFont="1" applyFill="1" applyBorder="1" applyAlignment="1" applyProtection="1">
      <alignment horizontal="centerContinuous" vertical="center"/>
      <protection/>
    </xf>
    <xf numFmtId="0" fontId="5" fillId="4" borderId="14" xfId="0" applyFont="1" applyFill="1" applyBorder="1" applyAlignment="1" applyProtection="1">
      <alignment horizontal="centerContinuous" vertical="center"/>
      <protection/>
    </xf>
    <xf numFmtId="0" fontId="5" fillId="4" borderId="17" xfId="0" applyFont="1" applyFill="1" applyBorder="1" applyAlignment="1" applyProtection="1">
      <alignment horizontal="centerContinuous" vertical="center"/>
      <protection/>
    </xf>
    <xf numFmtId="37" fontId="5" fillId="4" borderId="13" xfId="0" applyNumberFormat="1" applyFont="1" applyFill="1" applyBorder="1" applyAlignment="1" applyProtection="1">
      <alignment horizontal="fill" vertical="center"/>
      <protection/>
    </xf>
    <xf numFmtId="37" fontId="5" fillId="4" borderId="11" xfId="0" applyNumberFormat="1" applyFont="1" applyFill="1" applyBorder="1" applyAlignment="1" applyProtection="1">
      <alignment horizontal="left" vertical="center"/>
      <protection/>
    </xf>
    <xf numFmtId="37" fontId="5" fillId="4" borderId="11"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37" fontId="4" fillId="4" borderId="13" xfId="0" applyNumberFormat="1" applyFont="1" applyFill="1" applyBorder="1" applyAlignment="1" applyProtection="1">
      <alignment horizontal="left" vertical="center"/>
      <protection/>
    </xf>
    <xf numFmtId="37" fontId="5" fillId="4" borderId="12" xfId="0" applyNumberFormat="1"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5" fillId="4" borderId="10" xfId="0" applyNumberFormat="1" applyFont="1" applyFill="1" applyBorder="1" applyAlignment="1" applyProtection="1">
      <alignment horizontal="center" vertical="center"/>
      <protection/>
    </xf>
    <xf numFmtId="0" fontId="5" fillId="4" borderId="11" xfId="0" applyFont="1" applyFill="1" applyBorder="1" applyAlignment="1" applyProtection="1">
      <alignment vertical="center"/>
      <protection/>
    </xf>
    <xf numFmtId="0" fontId="5" fillId="4" borderId="20" xfId="0" applyFont="1" applyFill="1" applyBorder="1" applyAlignment="1" applyProtection="1">
      <alignment vertical="center"/>
      <protection/>
    </xf>
    <xf numFmtId="37" fontId="13" fillId="4" borderId="19" xfId="0" applyNumberFormat="1" applyFont="1" applyFill="1" applyBorder="1" applyAlignment="1" applyProtection="1">
      <alignment horizontal="left" vertical="center"/>
      <protection/>
    </xf>
    <xf numFmtId="37" fontId="13" fillId="4" borderId="17" xfId="0" applyNumberFormat="1" applyFont="1" applyFill="1" applyBorder="1" applyAlignment="1" applyProtection="1">
      <alignment horizontal="center" vertical="center"/>
      <protection/>
    </xf>
    <xf numFmtId="0" fontId="5" fillId="4" borderId="10" xfId="0" applyFont="1" applyFill="1" applyBorder="1" applyAlignment="1" applyProtection="1">
      <alignment horizontal="center" vertical="center"/>
      <protection/>
    </xf>
    <xf numFmtId="37" fontId="5" fillId="7" borderId="10"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vertical="center"/>
      <protection/>
    </xf>
    <xf numFmtId="37" fontId="5" fillId="4"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vertical="center"/>
      <protection/>
    </xf>
    <xf numFmtId="37" fontId="5" fillId="4" borderId="21" xfId="0" applyNumberFormat="1" applyFont="1" applyFill="1" applyBorder="1" applyAlignment="1" applyProtection="1">
      <alignment horizontal="left" vertical="center"/>
      <protection/>
    </xf>
    <xf numFmtId="0" fontId="9" fillId="4" borderId="0" xfId="0" applyFont="1" applyFill="1" applyBorder="1" applyAlignment="1" applyProtection="1">
      <alignment vertical="center" shrinkToFit="1"/>
      <protection/>
    </xf>
    <xf numFmtId="0" fontId="5" fillId="22" borderId="10" xfId="0" applyFont="1" applyFill="1" applyBorder="1" applyAlignment="1" applyProtection="1">
      <alignment vertical="center"/>
      <protection/>
    </xf>
    <xf numFmtId="37" fontId="5" fillId="22" borderId="10" xfId="0" applyNumberFormat="1" applyFont="1" applyFill="1" applyBorder="1" applyAlignment="1" applyProtection="1">
      <alignment vertical="center"/>
      <protection/>
    </xf>
    <xf numFmtId="37" fontId="5" fillId="4" borderId="0" xfId="0" applyNumberFormat="1" applyFont="1" applyFill="1" applyAlignment="1" applyProtection="1">
      <alignment horizontal="right" vertical="center"/>
      <protection/>
    </xf>
    <xf numFmtId="0" fontId="5" fillId="4" borderId="0" xfId="0" applyFont="1" applyFill="1" applyBorder="1" applyAlignment="1" applyProtection="1">
      <alignment horizontal="right" vertical="center"/>
      <protection/>
    </xf>
    <xf numFmtId="0" fontId="5" fillId="4" borderId="0" xfId="0" applyFont="1" applyFill="1" applyAlignment="1" applyProtection="1">
      <alignment horizontal="left" vertical="center"/>
      <protection/>
    </xf>
    <xf numFmtId="0" fontId="5" fillId="4" borderId="0" xfId="0" applyFont="1" applyFill="1" applyAlignment="1" applyProtection="1">
      <alignment horizontal="center" vertical="center"/>
      <protection/>
    </xf>
    <xf numFmtId="37" fontId="5" fillId="4" borderId="0" xfId="0" applyNumberFormat="1" applyFont="1" applyFill="1" applyAlignment="1" applyProtection="1">
      <alignment vertical="center"/>
      <protection/>
    </xf>
    <xf numFmtId="0" fontId="4" fillId="4" borderId="0" xfId="0" applyFont="1" applyFill="1" applyAlignment="1" applyProtection="1">
      <alignment horizontal="center" vertical="center"/>
      <protection/>
    </xf>
    <xf numFmtId="0" fontId="4" fillId="4" borderId="0" xfId="0" applyFont="1" applyFill="1" applyAlignment="1" applyProtection="1">
      <alignment horizontal="center" vertical="center" wrapText="1"/>
      <protection/>
    </xf>
    <xf numFmtId="0" fontId="5" fillId="4" borderId="0" xfId="0" applyFont="1" applyFill="1" applyAlignment="1" applyProtection="1" quotePrefix="1">
      <alignment horizontal="right" vertical="center"/>
      <protection/>
    </xf>
    <xf numFmtId="3" fontId="5" fillId="4" borderId="0" xfId="0" applyNumberFormat="1" applyFont="1" applyFill="1" applyAlignment="1" applyProtection="1" quotePrefix="1">
      <alignment vertical="center"/>
      <protection/>
    </xf>
    <xf numFmtId="3" fontId="5" fillId="4" borderId="13" xfId="0" applyNumberFormat="1" applyFont="1" applyFill="1" applyBorder="1" applyAlignment="1" applyProtection="1">
      <alignment vertical="center"/>
      <protection/>
    </xf>
    <xf numFmtId="0" fontId="5" fillId="4" borderId="0" xfId="0" applyFont="1" applyFill="1" applyAlignment="1" applyProtection="1" quotePrefix="1">
      <alignment vertical="center"/>
      <protection/>
    </xf>
    <xf numFmtId="3" fontId="5" fillId="4" borderId="18" xfId="0" applyNumberFormat="1" applyFont="1" applyFill="1" applyBorder="1" applyAlignment="1" applyProtection="1">
      <alignment vertical="center"/>
      <protection/>
    </xf>
    <xf numFmtId="171" fontId="5" fillId="4" borderId="13" xfId="0" applyNumberFormat="1" applyFont="1" applyFill="1" applyBorder="1" applyAlignment="1" applyProtection="1">
      <alignment vertical="center"/>
      <protection/>
    </xf>
    <xf numFmtId="0" fontId="5" fillId="4" borderId="0" xfId="0" applyFont="1" applyFill="1" applyBorder="1" applyAlignment="1" applyProtection="1" quotePrefix="1">
      <alignment vertical="center"/>
      <protection/>
    </xf>
    <xf numFmtId="3" fontId="5" fillId="4" borderId="22" xfId="0" applyNumberFormat="1" applyFont="1" applyFill="1" applyBorder="1" applyAlignment="1" applyProtection="1">
      <alignment vertical="center"/>
      <protection/>
    </xf>
    <xf numFmtId="3" fontId="5" fillId="4" borderId="13" xfId="42" applyNumberFormat="1" applyFont="1" applyFill="1" applyBorder="1" applyAlignment="1" applyProtection="1">
      <alignment vertical="center"/>
      <protection/>
    </xf>
    <xf numFmtId="0" fontId="5" fillId="4" borderId="13" xfId="0" applyFont="1" applyFill="1" applyBorder="1" applyAlignment="1" applyProtection="1">
      <alignment horizontal="centerContinuous" vertical="center"/>
      <protection/>
    </xf>
    <xf numFmtId="0" fontId="5" fillId="4" borderId="0" xfId="0" applyFont="1" applyFill="1" applyBorder="1" applyAlignment="1" applyProtection="1">
      <alignment horizontal="centerContinuous" vertical="center"/>
      <protection/>
    </xf>
    <xf numFmtId="0" fontId="5" fillId="4" borderId="11" xfId="0" applyFont="1" applyFill="1" applyBorder="1" applyAlignment="1" applyProtection="1">
      <alignment horizontal="center" vertical="center"/>
      <protection/>
    </xf>
    <xf numFmtId="37" fontId="5" fillId="4" borderId="23" xfId="0" applyNumberFormat="1" applyFont="1" applyFill="1" applyBorder="1" applyAlignment="1" applyProtection="1">
      <alignment horizontal="center" vertical="center"/>
      <protection/>
    </xf>
    <xf numFmtId="0" fontId="5" fillId="4" borderId="20" xfId="0" applyNumberFormat="1" applyFont="1" applyFill="1" applyBorder="1" applyAlignment="1" applyProtection="1">
      <alignment horizontal="center" vertical="center"/>
      <protection/>
    </xf>
    <xf numFmtId="166" fontId="5" fillId="4" borderId="0" xfId="0" applyNumberFormat="1" applyFont="1" applyFill="1" applyAlignment="1" applyProtection="1">
      <alignmen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165" fontId="5" fillId="7" borderId="13" xfId="0" applyNumberFormat="1" applyFont="1" applyFill="1" applyBorder="1" applyAlignment="1" applyProtection="1">
      <alignment vertical="center"/>
      <protection/>
    </xf>
    <xf numFmtId="0" fontId="5" fillId="0" borderId="0" xfId="0" applyFont="1" applyAlignment="1" applyProtection="1">
      <alignment horizontal="center" vertical="center"/>
      <protection locked="0"/>
    </xf>
    <xf numFmtId="0" fontId="4" fillId="4" borderId="13" xfId="0"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4" borderId="12" xfId="0" applyFont="1" applyFill="1" applyBorder="1" applyAlignment="1" applyProtection="1">
      <alignment horizontal="center" vertical="center"/>
      <protection/>
    </xf>
    <xf numFmtId="1" fontId="5" fillId="4" borderId="12" xfId="0" applyNumberFormat="1" applyFont="1" applyFill="1" applyBorder="1" applyAlignment="1" applyProtection="1">
      <alignment horizontal="center" vertical="center"/>
      <protection/>
    </xf>
    <xf numFmtId="0" fontId="5" fillId="18" borderId="12" xfId="0" applyFont="1" applyFill="1" applyBorder="1" applyAlignment="1" applyProtection="1">
      <alignment horizontal="center" vertical="center"/>
      <protection locked="0"/>
    </xf>
    <xf numFmtId="0" fontId="5" fillId="18" borderId="10" xfId="0" applyFont="1" applyFill="1" applyBorder="1" applyAlignment="1" applyProtection="1">
      <alignment horizontal="center" vertical="center"/>
      <protection locked="0"/>
    </xf>
    <xf numFmtId="0" fontId="5" fillId="4" borderId="0" xfId="0" applyFont="1" applyFill="1" applyAlignment="1" applyProtection="1">
      <alignment horizontal="center" vertical="center"/>
      <protection locked="0"/>
    </xf>
    <xf numFmtId="0" fontId="4" fillId="4" borderId="10" xfId="0"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1" fontId="5" fillId="4" borderId="0" xfId="0" applyNumberFormat="1" applyFont="1" applyFill="1" applyBorder="1" applyAlignment="1" applyProtection="1">
      <alignment horizontal="right" vertical="center"/>
      <protection/>
    </xf>
    <xf numFmtId="0" fontId="4" fillId="4" borderId="0" xfId="572" applyFont="1" applyFill="1" applyAlignment="1" applyProtection="1">
      <alignment horizontal="centerContinuous" vertical="center"/>
      <protection/>
    </xf>
    <xf numFmtId="0" fontId="5" fillId="4" borderId="13" xfId="0" applyFont="1" applyFill="1" applyBorder="1" applyAlignment="1" applyProtection="1">
      <alignment horizontal="fill" vertical="center"/>
      <protection/>
    </xf>
    <xf numFmtId="0" fontId="5" fillId="4" borderId="24" xfId="0" applyFont="1" applyFill="1" applyBorder="1" applyAlignment="1" applyProtection="1">
      <alignment horizontal="centerContinuous" vertical="center"/>
      <protection/>
    </xf>
    <xf numFmtId="0" fontId="5" fillId="4" borderId="23" xfId="0" applyFont="1" applyFill="1" applyBorder="1" applyAlignment="1" applyProtection="1">
      <alignment horizontal="centerContinuous" vertical="center"/>
      <protection/>
    </xf>
    <xf numFmtId="1" fontId="5" fillId="4" borderId="21" xfId="0" applyNumberFormat="1" applyFont="1" applyFill="1" applyBorder="1" applyAlignment="1" applyProtection="1">
      <alignment horizontal="center" vertical="center"/>
      <protection/>
    </xf>
    <xf numFmtId="0" fontId="5" fillId="4" borderId="10" xfId="0" applyFont="1" applyFill="1" applyBorder="1" applyAlignment="1" applyProtection="1">
      <alignment horizontal="left" vertical="center"/>
      <protection/>
    </xf>
    <xf numFmtId="2" fontId="5" fillId="4" borderId="10" xfId="0" applyNumberFormat="1" applyFont="1" applyFill="1" applyBorder="1" applyAlignment="1" applyProtection="1">
      <alignment vertical="center"/>
      <protection/>
    </xf>
    <xf numFmtId="3" fontId="5" fillId="4" borderId="10" xfId="0" applyNumberFormat="1" applyFont="1" applyFill="1" applyBorder="1" applyAlignment="1" applyProtection="1">
      <alignment vertical="center"/>
      <protection/>
    </xf>
    <xf numFmtId="2" fontId="5" fillId="18" borderId="10" xfId="0" applyNumberFormat="1" applyFont="1" applyFill="1" applyBorder="1" applyAlignment="1" applyProtection="1">
      <alignment horizontal="center" vertical="center"/>
      <protection locked="0"/>
    </xf>
    <xf numFmtId="3" fontId="5" fillId="18" borderId="10" xfId="0" applyNumberFormat="1" applyFont="1" applyFill="1" applyBorder="1" applyAlignment="1" applyProtection="1">
      <alignment horizontal="center" vertical="center"/>
      <protection locked="0"/>
    </xf>
    <xf numFmtId="37" fontId="5" fillId="18" borderId="10" xfId="0" applyNumberFormat="1" applyFont="1" applyFill="1" applyBorder="1" applyAlignment="1" applyProtection="1">
      <alignment horizontal="center" vertical="center"/>
      <protection locked="0"/>
    </xf>
    <xf numFmtId="175" fontId="5" fillId="18" borderId="10" xfId="0" applyNumberFormat="1" applyFont="1" applyFill="1" applyBorder="1" applyAlignment="1" applyProtection="1">
      <alignment horizontal="center" vertical="center"/>
      <protection locked="0"/>
    </xf>
    <xf numFmtId="0" fontId="4" fillId="4" borderId="10" xfId="0" applyFont="1" applyFill="1" applyBorder="1" applyAlignment="1" applyProtection="1">
      <alignment horizontal="left" vertical="center"/>
      <protection/>
    </xf>
    <xf numFmtId="174" fontId="4" fillId="4" borderId="10" xfId="0" applyNumberFormat="1" applyFont="1" applyFill="1" applyBorder="1" applyAlignment="1" applyProtection="1">
      <alignment horizontal="center" vertical="center"/>
      <protection/>
    </xf>
    <xf numFmtId="2" fontId="4" fillId="4" borderId="10"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37" fontId="4" fillId="7" borderId="10" xfId="0" applyNumberFormat="1" applyFont="1" applyFill="1" applyBorder="1" applyAlignment="1" applyProtection="1">
      <alignment horizontal="center" vertical="center"/>
      <protection/>
    </xf>
    <xf numFmtId="175" fontId="4" fillId="4" borderId="10" xfId="0" applyNumberFormat="1" applyFont="1" applyFill="1" applyBorder="1" applyAlignment="1" applyProtection="1">
      <alignment horizontal="center" vertical="center"/>
      <protection/>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 fontId="4" fillId="4" borderId="10" xfId="0" applyNumberFormat="1" applyFont="1" applyFill="1" applyBorder="1" applyAlignment="1" applyProtection="1">
      <alignment horizontal="center" vertical="center"/>
      <protection/>
    </xf>
    <xf numFmtId="3" fontId="4" fillId="7"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4" borderId="0" xfId="0" applyNumberFormat="1" applyFont="1" applyFill="1" applyAlignment="1" applyProtection="1">
      <alignment horizontal="right" vertical="center"/>
      <protection/>
    </xf>
    <xf numFmtId="0" fontId="8" fillId="4" borderId="12" xfId="0" applyFont="1" applyFill="1" applyBorder="1" applyAlignment="1" applyProtection="1">
      <alignment horizontal="center" vertical="center"/>
      <protection/>
    </xf>
    <xf numFmtId="14" fontId="5" fillId="4" borderId="12" xfId="0" applyNumberFormat="1" applyFont="1" applyFill="1" applyBorder="1" applyAlignment="1" applyProtection="1" quotePrefix="1">
      <alignment horizontal="center" vertical="center"/>
      <protection/>
    </xf>
    <xf numFmtId="0" fontId="5" fillId="18" borderId="10" xfId="0" applyFont="1" applyFill="1" applyBorder="1" applyAlignment="1" applyProtection="1">
      <alignment horizontal="center" vertical="center"/>
      <protection locked="0"/>
    </xf>
    <xf numFmtId="1" fontId="5" fillId="18" borderId="10" xfId="0" applyNumberFormat="1" applyFont="1" applyFill="1" applyBorder="1" applyAlignment="1" applyProtection="1">
      <alignment horizontal="center" vertical="center"/>
      <protection locked="0"/>
    </xf>
    <xf numFmtId="0" fontId="4" fillId="4" borderId="0" xfId="0" applyFont="1" applyFill="1" applyAlignment="1" applyProtection="1">
      <alignment horizontal="left" vertical="center"/>
      <protection/>
    </xf>
    <xf numFmtId="3" fontId="4" fillId="7" borderId="25" xfId="0" applyNumberFormat="1" applyFont="1" applyFill="1" applyBorder="1" applyAlignment="1" applyProtection="1">
      <alignment horizontal="center" vertical="center"/>
      <protection/>
    </xf>
    <xf numFmtId="0" fontId="5" fillId="14" borderId="0" xfId="571" applyFont="1" applyFill="1" applyAlignment="1" applyProtection="1">
      <alignment vertical="center"/>
      <protection/>
    </xf>
    <xf numFmtId="0" fontId="5" fillId="14" borderId="0" xfId="0" applyFont="1" applyFill="1" applyAlignment="1" applyProtection="1">
      <alignment vertical="center"/>
      <protection/>
    </xf>
    <xf numFmtId="0" fontId="5" fillId="4" borderId="0" xfId="0" applyFont="1" applyFill="1" applyBorder="1" applyAlignment="1" applyProtection="1">
      <alignment horizontal="fill" vertical="center"/>
      <protection/>
    </xf>
    <xf numFmtId="0" fontId="5" fillId="4" borderId="12" xfId="0" applyNumberFormat="1" applyFont="1" applyFill="1" applyBorder="1" applyAlignment="1" applyProtection="1">
      <alignment horizontal="center" vertical="center"/>
      <protection/>
    </xf>
    <xf numFmtId="0" fontId="5" fillId="4" borderId="19" xfId="0" applyFont="1" applyFill="1" applyBorder="1" applyAlignment="1" applyProtection="1">
      <alignment horizontal="left" vertical="center"/>
      <protection/>
    </xf>
    <xf numFmtId="3" fontId="5" fillId="18" borderId="19" xfId="0" applyNumberFormat="1" applyFont="1" applyFill="1" applyBorder="1" applyAlignment="1" applyProtection="1">
      <alignment vertical="center"/>
      <protection locked="0"/>
    </xf>
    <xf numFmtId="3" fontId="5" fillId="18" borderId="17" xfId="0" applyNumberFormat="1" applyFont="1" applyFill="1" applyBorder="1" applyAlignment="1" applyProtection="1">
      <alignment vertical="center"/>
      <protection locked="0"/>
    </xf>
    <xf numFmtId="0" fontId="5" fillId="4" borderId="21" xfId="0" applyFont="1" applyFill="1" applyBorder="1" applyAlignment="1" applyProtection="1">
      <alignment horizontal="left" vertical="center"/>
      <protection/>
    </xf>
    <xf numFmtId="37" fontId="5" fillId="18" borderId="19" xfId="0" applyNumberFormat="1" applyFont="1" applyFill="1" applyBorder="1" applyAlignment="1" applyProtection="1">
      <alignment vertical="center"/>
      <protection locked="0"/>
    </xf>
    <xf numFmtId="37" fontId="5" fillId="4" borderId="10" xfId="0" applyNumberFormat="1" applyFont="1" applyFill="1" applyBorder="1" applyAlignment="1" applyProtection="1">
      <alignment horizontal="fill" vertical="center"/>
      <protection/>
    </xf>
    <xf numFmtId="37" fontId="5" fillId="18" borderId="10" xfId="0" applyNumberFormat="1" applyFont="1" applyFill="1" applyBorder="1" applyAlignment="1" applyProtection="1">
      <alignment vertical="center"/>
      <protection locked="0"/>
    </xf>
    <xf numFmtId="0" fontId="5" fillId="18" borderId="19" xfId="0" applyFont="1" applyFill="1" applyBorder="1" applyAlignment="1" applyProtection="1">
      <alignment horizontal="left" vertical="center"/>
      <protection locked="0"/>
    </xf>
    <xf numFmtId="37" fontId="17" fillId="22" borderId="17" xfId="0" applyNumberFormat="1" applyFont="1" applyFill="1" applyBorder="1" applyAlignment="1" applyProtection="1">
      <alignment horizontal="center" vertical="center"/>
      <protection/>
    </xf>
    <xf numFmtId="37" fontId="4" fillId="4" borderId="19" xfId="0" applyNumberFormat="1" applyFont="1" applyFill="1" applyBorder="1" applyAlignment="1" applyProtection="1">
      <alignment horizontal="left" vertical="center"/>
      <protection/>
    </xf>
    <xf numFmtId="3" fontId="4" fillId="7" borderId="10" xfId="0" applyNumberFormat="1" applyFont="1" applyFill="1" applyBorder="1" applyAlignment="1" applyProtection="1">
      <alignment vertical="center"/>
      <protection/>
    </xf>
    <xf numFmtId="0" fontId="4" fillId="4" borderId="19" xfId="0" applyFont="1" applyFill="1" applyBorder="1" applyAlignment="1" applyProtection="1">
      <alignment horizontal="left" vertical="center"/>
      <protection/>
    </xf>
    <xf numFmtId="0" fontId="5" fillId="7" borderId="19" xfId="0" applyFont="1" applyFill="1" applyBorder="1" applyAlignment="1" applyProtection="1">
      <alignment horizontal="left" vertical="center"/>
      <protection/>
    </xf>
    <xf numFmtId="0" fontId="5" fillId="7" borderId="19" xfId="0" applyFont="1" applyFill="1" applyBorder="1" applyAlignment="1" applyProtection="1">
      <alignment vertical="center"/>
      <protection/>
    </xf>
    <xf numFmtId="37" fontId="5" fillId="0" borderId="0" xfId="0" applyNumberFormat="1" applyFont="1" applyFill="1" applyBorder="1" applyAlignment="1" applyProtection="1">
      <alignment vertical="center"/>
      <protection locked="0"/>
    </xf>
    <xf numFmtId="0" fontId="5" fillId="18" borderId="19" xfId="0" applyFont="1" applyFill="1" applyBorder="1" applyAlignment="1" applyProtection="1">
      <alignment vertical="center"/>
      <protection locked="0"/>
    </xf>
    <xf numFmtId="0" fontId="5" fillId="4" borderId="19" xfId="0" applyFont="1" applyFill="1" applyBorder="1" applyAlignment="1" applyProtection="1">
      <alignment vertical="center"/>
      <protection/>
    </xf>
    <xf numFmtId="37" fontId="4" fillId="7" borderId="10" xfId="0" applyNumberFormat="1" applyFont="1" applyFill="1" applyBorder="1" applyAlignment="1" applyProtection="1">
      <alignment vertical="center"/>
      <protection/>
    </xf>
    <xf numFmtId="0" fontId="17" fillId="0" borderId="0" xfId="0" applyFont="1" applyAlignment="1" applyProtection="1">
      <alignment vertical="center"/>
      <protection/>
    </xf>
    <xf numFmtId="0" fontId="15" fillId="4" borderId="0" xfId="0" applyFont="1" applyFill="1" applyAlignment="1" applyProtection="1">
      <alignment horizontal="center" vertical="center"/>
      <protection/>
    </xf>
    <xf numFmtId="0" fontId="5" fillId="4" borderId="0" xfId="0" applyFont="1" applyFill="1" applyAlignment="1">
      <alignment horizontal="right" vertical="center"/>
    </xf>
    <xf numFmtId="0" fontId="5" fillId="4" borderId="0" xfId="0" applyFont="1" applyFill="1" applyAlignment="1" applyProtection="1">
      <alignment horizontal="fill" vertical="center"/>
      <protection/>
    </xf>
    <xf numFmtId="1" fontId="5" fillId="4" borderId="11" xfId="0" applyNumberFormat="1" applyFont="1" applyFill="1" applyBorder="1" applyAlignment="1" applyProtection="1">
      <alignment horizontal="center" vertical="center"/>
      <protection/>
    </xf>
    <xf numFmtId="0" fontId="5" fillId="18" borderId="10" xfId="0" applyFont="1" applyFill="1" applyBorder="1" applyAlignment="1" applyProtection="1">
      <alignment horizontal="left" vertical="center"/>
      <protection locked="0"/>
    </xf>
    <xf numFmtId="0" fontId="5" fillId="18" borderId="0" xfId="0" applyFont="1" applyFill="1" applyAlignment="1" applyProtection="1">
      <alignment horizontal="left" vertical="center"/>
      <protection locked="0"/>
    </xf>
    <xf numFmtId="37" fontId="4" fillId="22" borderId="25" xfId="0" applyNumberFormat="1" applyFont="1" applyFill="1" applyBorder="1" applyAlignment="1" applyProtection="1">
      <alignment vertical="center"/>
      <protection/>
    </xf>
    <xf numFmtId="0" fontId="17" fillId="4" borderId="0" xfId="0" applyFont="1" applyFill="1" applyAlignment="1" applyProtection="1">
      <alignment vertical="center"/>
      <protection/>
    </xf>
    <xf numFmtId="37" fontId="5" fillId="18" borderId="0" xfId="0" applyNumberFormat="1" applyFont="1" applyFill="1" applyAlignment="1" applyProtection="1">
      <alignment horizontal="left" vertical="center"/>
      <protection locked="0"/>
    </xf>
    <xf numFmtId="3" fontId="5" fillId="4" borderId="10" xfId="0" applyNumberFormat="1" applyFont="1" applyFill="1" applyBorder="1" applyAlignment="1" applyProtection="1">
      <alignment horizontal="fill" vertical="center"/>
      <protection/>
    </xf>
    <xf numFmtId="3" fontId="17" fillId="22" borderId="17" xfId="0" applyNumberFormat="1" applyFont="1" applyFill="1" applyBorder="1" applyAlignment="1" applyProtection="1">
      <alignment horizontal="center" vertical="center"/>
      <protection/>
    </xf>
    <xf numFmtId="3" fontId="5" fillId="22" borderId="10"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fill" vertical="center"/>
      <protection/>
    </xf>
    <xf numFmtId="3" fontId="4" fillId="4" borderId="10" xfId="0" applyNumberFormat="1" applyFont="1" applyFill="1" applyBorder="1" applyAlignment="1" applyProtection="1">
      <alignment vertical="center"/>
      <protection/>
    </xf>
    <xf numFmtId="3" fontId="5" fillId="22" borderId="25" xfId="0" applyNumberFormat="1" applyFont="1" applyFill="1" applyBorder="1" applyAlignment="1" applyProtection="1">
      <alignment vertical="center"/>
      <protection/>
    </xf>
    <xf numFmtId="3" fontId="5" fillId="4" borderId="13" xfId="0" applyNumberFormat="1" applyFont="1" applyFill="1" applyBorder="1" applyAlignment="1" applyProtection="1">
      <alignment horizontal="fill" vertical="center"/>
      <protection/>
    </xf>
    <xf numFmtId="37" fontId="5" fillId="18" borderId="19" xfId="0" applyNumberFormat="1" applyFont="1" applyFill="1" applyBorder="1" applyAlignment="1" applyProtection="1">
      <alignment horizontal="left" vertical="center"/>
      <protection locked="0"/>
    </xf>
    <xf numFmtId="0" fontId="5" fillId="4" borderId="0" xfId="0" applyFont="1" applyFill="1" applyAlignment="1">
      <alignment horizontal="center" vertical="center"/>
    </xf>
    <xf numFmtId="0" fontId="4" fillId="4" borderId="0" xfId="0" applyFont="1" applyFill="1" applyAlignment="1">
      <alignment horizontal="center" vertical="center"/>
    </xf>
    <xf numFmtId="0" fontId="20" fillId="4" borderId="0" xfId="0" applyFont="1" applyFill="1" applyAlignment="1">
      <alignment horizontal="center" vertical="center"/>
    </xf>
    <xf numFmtId="0" fontId="5" fillId="4" borderId="17" xfId="0" applyFont="1" applyFill="1" applyBorder="1" applyAlignment="1">
      <alignment vertical="center"/>
    </xf>
    <xf numFmtId="0" fontId="14" fillId="4" borderId="11" xfId="0" applyFont="1" applyFill="1" applyBorder="1" applyAlignment="1">
      <alignment vertical="center"/>
    </xf>
    <xf numFmtId="0" fontId="14" fillId="4" borderId="17" xfId="0" applyFont="1" applyFill="1" applyBorder="1" applyAlignment="1">
      <alignment horizontal="center" vertical="center"/>
    </xf>
    <xf numFmtId="0" fontId="14" fillId="4" borderId="23" xfId="0" applyFont="1" applyFill="1" applyBorder="1" applyAlignment="1">
      <alignment vertical="center"/>
    </xf>
    <xf numFmtId="0" fontId="14"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0" xfId="0" applyFont="1" applyFill="1" applyBorder="1" applyAlignment="1">
      <alignment horizontal="center" vertical="center"/>
    </xf>
    <xf numFmtId="0" fontId="14" fillId="4" borderId="21" xfId="0" applyFont="1" applyFill="1" applyBorder="1" applyAlignment="1">
      <alignment vertical="center"/>
    </xf>
    <xf numFmtId="3" fontId="14" fillId="18" borderId="10" xfId="0" applyNumberFormat="1" applyFont="1" applyFill="1" applyBorder="1" applyAlignment="1" applyProtection="1">
      <alignment horizontal="center" vertical="center"/>
      <protection locked="0"/>
    </xf>
    <xf numFmtId="0" fontId="14" fillId="4" borderId="13" xfId="0" applyFont="1" applyFill="1" applyBorder="1" applyAlignment="1">
      <alignment vertical="center"/>
    </xf>
    <xf numFmtId="3" fontId="14" fillId="7" borderId="10" xfId="0" applyNumberFormat="1" applyFont="1" applyFill="1" applyBorder="1" applyAlignment="1">
      <alignment horizontal="center" vertical="center"/>
    </xf>
    <xf numFmtId="0" fontId="14" fillId="4" borderId="0" xfId="0" applyFont="1" applyFill="1" applyAlignment="1">
      <alignment vertical="center"/>
    </xf>
    <xf numFmtId="3" fontId="14" fillId="4" borderId="0" xfId="0" applyNumberFormat="1" applyFont="1" applyFill="1" applyAlignment="1">
      <alignment horizontal="center" vertical="center"/>
    </xf>
    <xf numFmtId="0" fontId="14" fillId="4" borderId="0" xfId="0" applyFont="1" applyFill="1" applyAlignment="1">
      <alignment horizontal="center" vertical="center"/>
    </xf>
    <xf numFmtId="0" fontId="14" fillId="18" borderId="10" xfId="0" applyFont="1" applyFill="1" applyBorder="1" applyAlignment="1" applyProtection="1">
      <alignment vertical="center"/>
      <protection locked="0"/>
    </xf>
    <xf numFmtId="0" fontId="14" fillId="18" borderId="23" xfId="0" applyFont="1" applyFill="1" applyBorder="1" applyAlignment="1" applyProtection="1">
      <alignment vertical="center"/>
      <protection locked="0"/>
    </xf>
    <xf numFmtId="3" fontId="14" fillId="18" borderId="23" xfId="0" applyNumberFormat="1" applyFont="1" applyFill="1" applyBorder="1" applyAlignment="1" applyProtection="1">
      <alignment horizontal="center" vertical="center"/>
      <protection locked="0"/>
    </xf>
    <xf numFmtId="0" fontId="14" fillId="18" borderId="0" xfId="0" applyFont="1" applyFill="1" applyAlignment="1" applyProtection="1">
      <alignment vertical="center"/>
      <protection locked="0"/>
    </xf>
    <xf numFmtId="3" fontId="14" fillId="18" borderId="16" xfId="0" applyNumberFormat="1" applyFont="1" applyFill="1" applyBorder="1" applyAlignment="1" applyProtection="1">
      <alignment horizontal="center" vertical="center"/>
      <protection locked="0"/>
    </xf>
    <xf numFmtId="3" fontId="14" fillId="18" borderId="17" xfId="0" applyNumberFormat="1" applyFont="1" applyFill="1" applyBorder="1" applyAlignment="1" applyProtection="1">
      <alignment horizontal="center" vertical="center"/>
      <protection locked="0"/>
    </xf>
    <xf numFmtId="0" fontId="14" fillId="18" borderId="17" xfId="0" applyFont="1" applyFill="1" applyBorder="1" applyAlignment="1" applyProtection="1">
      <alignment vertical="center"/>
      <protection locked="0"/>
    </xf>
    <xf numFmtId="0" fontId="14" fillId="18" borderId="12" xfId="0" applyFont="1" applyFill="1" applyBorder="1" applyAlignment="1" applyProtection="1">
      <alignment vertical="center"/>
      <protection locked="0"/>
    </xf>
    <xf numFmtId="3" fontId="14" fillId="18" borderId="26" xfId="0" applyNumberFormat="1" applyFont="1" applyFill="1" applyBorder="1" applyAlignment="1" applyProtection="1">
      <alignment horizontal="center" vertical="center"/>
      <protection locked="0"/>
    </xf>
    <xf numFmtId="0" fontId="14" fillId="18" borderId="26" xfId="0" applyFont="1" applyFill="1" applyBorder="1" applyAlignment="1" applyProtection="1">
      <alignment vertical="center"/>
      <protection locked="0"/>
    </xf>
    <xf numFmtId="0" fontId="14" fillId="7" borderId="10" xfId="0" applyFont="1" applyFill="1" applyBorder="1" applyAlignment="1">
      <alignment horizontal="center" vertical="center"/>
    </xf>
    <xf numFmtId="0" fontId="14" fillId="7" borderId="12" xfId="0" applyFont="1" applyFill="1" applyBorder="1" applyAlignment="1">
      <alignment horizontal="center" vertical="center"/>
    </xf>
    <xf numFmtId="3" fontId="14" fillId="18" borderId="12" xfId="0" applyNumberFormat="1" applyFont="1" applyFill="1" applyBorder="1" applyAlignment="1" applyProtection="1">
      <alignment horizontal="center" vertical="center"/>
      <protection locked="0"/>
    </xf>
    <xf numFmtId="3" fontId="14" fillId="18" borderId="20" xfId="0" applyNumberFormat="1" applyFont="1" applyFill="1" applyBorder="1" applyAlignment="1" applyProtection="1">
      <alignment horizontal="center" vertical="center"/>
      <protection locked="0"/>
    </xf>
    <xf numFmtId="3" fontId="18" fillId="22" borderId="10" xfId="0" applyNumberFormat="1" applyFont="1" applyFill="1" applyBorder="1" applyAlignment="1">
      <alignment horizontal="center" vertical="center"/>
    </xf>
    <xf numFmtId="0" fontId="17" fillId="0" borderId="0" xfId="0" applyFont="1" applyAlignment="1">
      <alignment vertical="center"/>
    </xf>
    <xf numFmtId="3" fontId="5" fillId="4" borderId="0" xfId="0" applyNumberFormat="1" applyFont="1" applyFill="1" applyAlignment="1">
      <alignment vertical="center"/>
    </xf>
    <xf numFmtId="3" fontId="5" fillId="0" borderId="0" xfId="0" applyNumberFormat="1" applyFont="1" applyAlignment="1">
      <alignment vertical="center"/>
    </xf>
    <xf numFmtId="0" fontId="5" fillId="0" borderId="0" xfId="0" applyFont="1" applyAlignment="1">
      <alignment horizontal="centerContinuous" vertical="center"/>
    </xf>
    <xf numFmtId="1" fontId="5" fillId="4" borderId="19" xfId="0" applyNumberFormat="1" applyFont="1" applyFill="1" applyBorder="1" applyAlignment="1" applyProtection="1">
      <alignment horizontal="centerContinuous" vertical="center"/>
      <protection/>
    </xf>
    <xf numFmtId="37" fontId="5" fillId="4" borderId="12" xfId="0" applyNumberFormat="1" applyFont="1" applyFill="1" applyBorder="1" applyAlignment="1" applyProtection="1">
      <alignment horizontal="fill" vertical="center"/>
      <protection/>
    </xf>
    <xf numFmtId="1" fontId="6" fillId="4" borderId="0" xfId="0" applyNumberFormat="1" applyFont="1" applyFill="1" applyAlignment="1" applyProtection="1">
      <alignment horizontal="center" vertical="center"/>
      <protection/>
    </xf>
    <xf numFmtId="3" fontId="22" fillId="22" borderId="0" xfId="0" applyNumberFormat="1" applyFont="1" applyFill="1" applyAlignment="1">
      <alignment horizontal="center" vertical="center"/>
    </xf>
    <xf numFmtId="0" fontId="5" fillId="18" borderId="14" xfId="0" applyFont="1" applyFill="1" applyBorder="1" applyAlignment="1" applyProtection="1">
      <alignment vertical="center"/>
      <protection locked="0"/>
    </xf>
    <xf numFmtId="0" fontId="48" fillId="4" borderId="0" xfId="0" applyFont="1" applyFill="1" applyAlignment="1" applyProtection="1">
      <alignment horizontal="right" vertical="center"/>
      <protection locked="0"/>
    </xf>
    <xf numFmtId="0" fontId="8" fillId="4" borderId="0" xfId="0" applyFont="1" applyFill="1" applyAlignment="1" applyProtection="1">
      <alignment horizontal="left" vertical="center"/>
      <protection locked="0"/>
    </xf>
    <xf numFmtId="37" fontId="17" fillId="22" borderId="19" xfId="0" applyNumberFormat="1" applyFont="1" applyFill="1" applyBorder="1" applyAlignment="1" applyProtection="1">
      <alignment horizontal="center" vertical="center"/>
      <protection/>
    </xf>
    <xf numFmtId="14" fontId="5" fillId="18" borderId="10" xfId="0" applyNumberFormat="1" applyFont="1" applyFill="1" applyBorder="1" applyAlignment="1" applyProtection="1">
      <alignment horizontal="center" vertical="center"/>
      <protection locked="0"/>
    </xf>
    <xf numFmtId="3" fontId="5" fillId="4" borderId="19" xfId="0" applyNumberFormat="1" applyFont="1" applyFill="1" applyBorder="1" applyAlignment="1" applyProtection="1">
      <alignment vertical="center"/>
      <protection/>
    </xf>
    <xf numFmtId="0" fontId="5" fillId="4" borderId="21" xfId="0" applyNumberFormat="1" applyFont="1" applyFill="1" applyBorder="1" applyAlignment="1" applyProtection="1">
      <alignment horizontal="center" vertical="center"/>
      <protection/>
    </xf>
    <xf numFmtId="3" fontId="17" fillId="22" borderId="19" xfId="0" applyNumberFormat="1" applyFont="1" applyFill="1" applyBorder="1" applyAlignment="1" applyProtection="1">
      <alignment horizontal="center" vertical="center"/>
      <protection/>
    </xf>
    <xf numFmtId="3" fontId="4" fillId="4" borderId="19" xfId="0" applyNumberFormat="1" applyFont="1" applyFill="1" applyBorder="1" applyAlignment="1" applyProtection="1">
      <alignment vertical="center"/>
      <protection/>
    </xf>
    <xf numFmtId="3" fontId="5" fillId="23" borderId="25" xfId="0" applyNumberFormat="1" applyFont="1" applyFill="1" applyBorder="1" applyAlignment="1" applyProtection="1">
      <alignment vertical="center"/>
      <protection/>
    </xf>
    <xf numFmtId="37" fontId="17" fillId="22" borderId="10" xfId="0" applyNumberFormat="1" applyFont="1" applyFill="1" applyBorder="1" applyAlignment="1" applyProtection="1">
      <alignment horizontal="center" vertical="center"/>
      <protection/>
    </xf>
    <xf numFmtId="37" fontId="5" fillId="0" borderId="0" xfId="0" applyNumberFormat="1" applyFont="1" applyFill="1" applyAlignment="1" applyProtection="1">
      <alignment horizontal="right" vertical="center"/>
      <protection/>
    </xf>
    <xf numFmtId="0" fontId="5" fillId="4" borderId="0" xfId="118" applyFont="1" applyFill="1" applyAlignment="1" applyProtection="1">
      <alignment horizontal="right" vertical="center"/>
      <protection/>
    </xf>
    <xf numFmtId="0" fontId="5" fillId="4" borderId="0" xfId="70" applyNumberFormat="1" applyFont="1" applyFill="1" applyBorder="1" applyAlignment="1" applyProtection="1">
      <alignment horizontal="right" vertical="center"/>
      <protection/>
    </xf>
    <xf numFmtId="37" fontId="5" fillId="4" borderId="0" xfId="0" applyNumberFormat="1" applyFont="1" applyFill="1" applyAlignment="1" applyProtection="1" quotePrefix="1">
      <alignment horizontal="right" vertical="center"/>
      <protection/>
    </xf>
    <xf numFmtId="37" fontId="5" fillId="4" borderId="0" xfId="0" applyNumberFormat="1" applyFont="1" applyFill="1" applyAlignment="1" applyProtection="1">
      <alignment horizontal="fill" vertical="center"/>
      <protection/>
    </xf>
    <xf numFmtId="3" fontId="17" fillId="23" borderId="17"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locked="0"/>
    </xf>
    <xf numFmtId="3" fontId="17" fillId="23" borderId="19" xfId="0" applyNumberFormat="1" applyFont="1" applyFill="1" applyBorder="1" applyAlignment="1" applyProtection="1">
      <alignment horizontal="center" vertical="center"/>
      <protection/>
    </xf>
    <xf numFmtId="37" fontId="5" fillId="18" borderId="19" xfId="0" applyNumberFormat="1" applyFont="1" applyFill="1" applyBorder="1" applyAlignment="1" applyProtection="1">
      <alignment horizontal="right" vertical="center"/>
      <protection locked="0"/>
    </xf>
    <xf numFmtId="3" fontId="4" fillId="7" borderId="19" xfId="0" applyNumberFormat="1" applyFont="1" applyFill="1" applyBorder="1" applyAlignment="1" applyProtection="1">
      <alignment vertical="center"/>
      <protection/>
    </xf>
    <xf numFmtId="3" fontId="5" fillId="7" borderId="19" xfId="0" applyNumberFormat="1" applyFont="1" applyFill="1" applyBorder="1" applyAlignment="1" applyProtection="1">
      <alignment vertical="center"/>
      <protection/>
    </xf>
    <xf numFmtId="37" fontId="4" fillId="4" borderId="13" xfId="0" applyNumberFormat="1" applyFont="1" applyFill="1" applyBorder="1" applyAlignment="1" applyProtection="1">
      <alignment vertical="center"/>
      <protection/>
    </xf>
    <xf numFmtId="37" fontId="4" fillId="4" borderId="0" xfId="0" applyNumberFormat="1" applyFont="1" applyFill="1" applyBorder="1" applyAlignment="1" applyProtection="1">
      <alignment vertical="center"/>
      <protection/>
    </xf>
    <xf numFmtId="3" fontId="17" fillId="22" borderId="10" xfId="0" applyNumberFormat="1" applyFont="1" applyFill="1" applyBorder="1" applyAlignment="1" applyProtection="1">
      <alignment horizontal="center" vertical="center"/>
      <protection/>
    </xf>
    <xf numFmtId="3" fontId="17" fillId="23" borderId="10"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4" fillId="4" borderId="21" xfId="0" applyNumberFormat="1" applyFont="1" applyFill="1" applyBorder="1" applyAlignment="1" applyProtection="1">
      <alignment horizontal="left" vertical="center"/>
      <protection/>
    </xf>
    <xf numFmtId="0" fontId="9" fillId="4" borderId="0" xfId="0" applyFont="1" applyFill="1" applyAlignment="1" applyProtection="1">
      <alignment vertical="center" shrinkToFit="1"/>
      <protection/>
    </xf>
    <xf numFmtId="0" fontId="0" fillId="4" borderId="0" xfId="0" applyFill="1" applyBorder="1" applyAlignment="1" applyProtection="1">
      <alignment vertical="center"/>
      <protection/>
    </xf>
    <xf numFmtId="0" fontId="17" fillId="4" borderId="0" xfId="0" applyFont="1" applyFill="1" applyBorder="1" applyAlignment="1" applyProtection="1">
      <alignment horizontal="center" vertical="center"/>
      <protection/>
    </xf>
    <xf numFmtId="37" fontId="5" fillId="4" borderId="0" xfId="0" applyNumberFormat="1" applyFont="1" applyFill="1" applyBorder="1" applyAlignment="1" applyProtection="1">
      <alignment horizontal="left"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 fontId="5" fillId="7" borderId="25" xfId="0" applyNumberFormat="1" applyFont="1" applyFill="1" applyBorder="1" applyAlignment="1" applyProtection="1">
      <alignment vertical="center"/>
      <protection/>
    </xf>
    <xf numFmtId="177" fontId="5" fillId="18" borderId="10" xfId="42" applyNumberFormat="1" applyFont="1" applyFill="1" applyBorder="1" applyAlignment="1" applyProtection="1">
      <alignment vertical="center"/>
      <protection locked="0"/>
    </xf>
    <xf numFmtId="3" fontId="14" fillId="7" borderId="12" xfId="0" applyNumberFormat="1" applyFont="1" applyFill="1" applyBorder="1" applyAlignment="1">
      <alignment horizontal="center" vertical="center"/>
    </xf>
    <xf numFmtId="164" fontId="5" fillId="7" borderId="10" xfId="0" applyNumberFormat="1" applyFont="1" applyFill="1" applyBorder="1" applyAlignment="1" applyProtection="1">
      <alignment vertical="center"/>
      <protection/>
    </xf>
    <xf numFmtId="49" fontId="5" fillId="18" borderId="10" xfId="0" applyNumberFormat="1" applyFont="1" applyFill="1" applyBorder="1" applyAlignment="1" applyProtection="1">
      <alignment vertical="center"/>
      <protection locked="0"/>
    </xf>
    <xf numFmtId="49" fontId="5" fillId="18" borderId="10" xfId="0" applyNumberFormat="1" applyFont="1" applyFill="1" applyBorder="1" applyAlignment="1" applyProtection="1">
      <alignment vertical="center"/>
      <protection locked="0"/>
    </xf>
    <xf numFmtId="0" fontId="28" fillId="0" borderId="0" xfId="0" applyFont="1" applyAlignment="1" applyProtection="1">
      <alignment vertical="center"/>
      <protection/>
    </xf>
    <xf numFmtId="0" fontId="0" fillId="4" borderId="0" xfId="0" applyFill="1" applyAlignment="1" applyProtection="1">
      <alignment vertical="center"/>
      <protection locked="0"/>
    </xf>
    <xf numFmtId="37" fontId="5" fillId="4" borderId="11" xfId="113" applyNumberFormat="1" applyFont="1" applyFill="1" applyBorder="1" applyAlignment="1" applyProtection="1">
      <alignment horizontal="center"/>
      <protection/>
    </xf>
    <xf numFmtId="37" fontId="5" fillId="4" borderId="12" xfId="113" applyNumberFormat="1" applyFont="1" applyFill="1" applyBorder="1" applyAlignment="1" applyProtection="1">
      <alignment horizontal="center"/>
      <protection/>
    </xf>
    <xf numFmtId="0" fontId="5" fillId="4" borderId="0" xfId="113" applyFont="1" applyFill="1" applyBorder="1" applyAlignment="1" applyProtection="1">
      <alignment vertical="center"/>
      <protection locked="0"/>
    </xf>
    <xf numFmtId="0" fontId="25" fillId="4" borderId="0" xfId="113" applyFont="1" applyFill="1" applyBorder="1" applyAlignment="1" applyProtection="1">
      <alignment vertical="center"/>
      <protection locked="0"/>
    </xf>
    <xf numFmtId="194" fontId="25" fillId="18" borderId="10" xfId="113" applyNumberFormat="1" applyFont="1" applyFill="1" applyBorder="1" applyAlignment="1" applyProtection="1">
      <alignment horizontal="center" vertical="center"/>
      <protection locked="0"/>
    </xf>
    <xf numFmtId="0" fontId="5" fillId="4" borderId="26" xfId="113" applyFont="1" applyFill="1" applyBorder="1" applyAlignment="1" applyProtection="1">
      <alignment vertical="center"/>
      <protection/>
    </xf>
    <xf numFmtId="194" fontId="25" fillId="4" borderId="15" xfId="113" applyNumberFormat="1" applyFont="1" applyFill="1" applyBorder="1" applyAlignment="1" applyProtection="1">
      <alignment horizontal="center" vertical="center"/>
      <protection/>
    </xf>
    <xf numFmtId="0" fontId="25" fillId="4" borderId="0" xfId="113" applyFont="1" applyFill="1" applyBorder="1" applyAlignment="1" applyProtection="1">
      <alignment horizontal="left" vertical="center"/>
      <protection/>
    </xf>
    <xf numFmtId="0" fontId="25" fillId="4" borderId="26" xfId="113" applyFont="1" applyFill="1" applyBorder="1" applyAlignment="1" applyProtection="1">
      <alignment vertical="center"/>
      <protection/>
    </xf>
    <xf numFmtId="0" fontId="25" fillId="4" borderId="0" xfId="113" applyFont="1" applyFill="1" applyBorder="1" applyAlignment="1" applyProtection="1">
      <alignment vertical="center"/>
      <protection/>
    </xf>
    <xf numFmtId="194" fontId="25" fillId="4" borderId="21" xfId="113" applyNumberFormat="1" applyFont="1" applyFill="1" applyBorder="1" applyAlignment="1" applyProtection="1">
      <alignment horizontal="center" vertical="center"/>
      <protection/>
    </xf>
    <xf numFmtId="194" fontId="25" fillId="4" borderId="15" xfId="113" applyNumberFormat="1" applyFont="1" applyFill="1" applyBorder="1" applyAlignment="1" applyProtection="1">
      <alignment vertical="center"/>
      <protection/>
    </xf>
    <xf numFmtId="0" fontId="27" fillId="22" borderId="13" xfId="113" applyFont="1" applyFill="1" applyBorder="1" applyAlignment="1" applyProtection="1">
      <alignment vertical="center"/>
      <protection/>
    </xf>
    <xf numFmtId="0" fontId="25" fillId="22" borderId="16" xfId="113" applyFont="1" applyFill="1" applyBorder="1" applyAlignment="1" applyProtection="1">
      <alignment vertical="center"/>
      <protection/>
    </xf>
    <xf numFmtId="0" fontId="5" fillId="22" borderId="16" xfId="113" applyFont="1" applyFill="1" applyBorder="1" applyAlignment="1" applyProtection="1">
      <alignment vertical="center"/>
      <protection/>
    </xf>
    <xf numFmtId="0" fontId="25" fillId="4" borderId="15" xfId="113" applyFont="1" applyFill="1" applyBorder="1" applyAlignment="1" applyProtection="1">
      <alignment horizontal="left" vertical="center"/>
      <protection/>
    </xf>
    <xf numFmtId="194" fontId="27" fillId="22" borderId="21" xfId="113" applyNumberFormat="1" applyFont="1" applyFill="1" applyBorder="1" applyAlignment="1" applyProtection="1">
      <alignment horizontal="center" vertical="center"/>
      <protection/>
    </xf>
    <xf numFmtId="178" fontId="5" fillId="7" borderId="10" xfId="0" applyNumberFormat="1" applyFont="1" applyFill="1" applyBorder="1" applyAlignment="1" applyProtection="1">
      <alignment vertical="center"/>
      <protection/>
    </xf>
    <xf numFmtId="3" fontId="5" fillId="22" borderId="19" xfId="0" applyNumberFormat="1" applyFont="1" applyFill="1" applyBorder="1" applyAlignment="1" applyProtection="1">
      <alignment vertical="center"/>
      <protection/>
    </xf>
    <xf numFmtId="3" fontId="5" fillId="4" borderId="12" xfId="0" applyNumberFormat="1" applyFont="1" applyFill="1" applyBorder="1" applyAlignment="1" applyProtection="1">
      <alignment vertical="center"/>
      <protection/>
    </xf>
    <xf numFmtId="3" fontId="5" fillId="4" borderId="11" xfId="0" applyNumberFormat="1" applyFont="1" applyFill="1" applyBorder="1" applyAlignment="1" applyProtection="1">
      <alignment vertical="center"/>
      <protection/>
    </xf>
    <xf numFmtId="194" fontId="14" fillId="22" borderId="21" xfId="113" applyNumberFormat="1" applyFont="1" applyFill="1" applyBorder="1" applyAlignment="1" applyProtection="1">
      <alignment horizontal="center" vertical="center"/>
      <protection/>
    </xf>
    <xf numFmtId="0" fontId="14" fillId="22" borderId="13" xfId="113" applyFont="1" applyFill="1" applyBorder="1" applyAlignment="1" applyProtection="1">
      <alignment vertical="center"/>
      <protection/>
    </xf>
    <xf numFmtId="182" fontId="25" fillId="4" borderId="17" xfId="113" applyNumberFormat="1" applyFont="1" applyFill="1" applyBorder="1" applyAlignment="1" applyProtection="1">
      <alignment horizontal="center" vertical="center"/>
      <protection locked="0"/>
    </xf>
    <xf numFmtId="0" fontId="5" fillId="4" borderId="0" xfId="113" applyFont="1" applyFill="1" applyBorder="1" applyAlignment="1" applyProtection="1">
      <alignment vertical="center"/>
      <protection/>
    </xf>
    <xf numFmtId="0" fontId="5" fillId="4" borderId="15" xfId="113" applyFont="1" applyFill="1" applyBorder="1" applyAlignment="1" applyProtection="1">
      <alignment vertical="center"/>
      <protection/>
    </xf>
    <xf numFmtId="0" fontId="25" fillId="4" borderId="15" xfId="113" applyFont="1" applyFill="1" applyBorder="1" applyAlignment="1" applyProtection="1">
      <alignment vertical="center"/>
      <protection/>
    </xf>
    <xf numFmtId="194" fontId="14" fillId="4" borderId="15" xfId="113" applyNumberFormat="1" applyFont="1" applyFill="1" applyBorder="1" applyAlignment="1" applyProtection="1">
      <alignment horizontal="center" vertical="center"/>
      <protection/>
    </xf>
    <xf numFmtId="0" fontId="14" fillId="4" borderId="0" xfId="113" applyFont="1" applyFill="1" applyBorder="1" applyAlignment="1" applyProtection="1">
      <alignment horizontal="left" vertical="center"/>
      <protection/>
    </xf>
    <xf numFmtId="0" fontId="14" fillId="4" borderId="0" xfId="113" applyFont="1" applyFill="1" applyBorder="1" applyAlignment="1" applyProtection="1">
      <alignment vertical="center"/>
      <protection/>
    </xf>
    <xf numFmtId="0" fontId="0" fillId="0" borderId="16" xfId="0" applyBorder="1" applyAlignment="1" applyProtection="1">
      <alignment horizontal="center" vertical="center"/>
      <protection/>
    </xf>
    <xf numFmtId="194" fontId="14" fillId="4" borderId="21" xfId="113" applyNumberFormat="1" applyFont="1" applyFill="1" applyBorder="1" applyAlignment="1" applyProtection="1">
      <alignment horizontal="center" vertical="center"/>
      <protection/>
    </xf>
    <xf numFmtId="194" fontId="14" fillId="4" borderId="15" xfId="113" applyNumberFormat="1" applyFont="1" applyFill="1" applyBorder="1" applyAlignment="1" applyProtection="1">
      <alignment vertical="center"/>
      <protection/>
    </xf>
    <xf numFmtId="0" fontId="49" fillId="0" borderId="0" xfId="0" applyFont="1" applyAlignment="1">
      <alignment vertical="center"/>
    </xf>
    <xf numFmtId="182" fontId="5" fillId="18" borderId="26" xfId="114" applyNumberFormat="1" applyFont="1" applyFill="1" applyBorder="1" applyAlignment="1" applyProtection="1">
      <alignment horizontal="center"/>
      <protection locked="0"/>
    </xf>
    <xf numFmtId="0" fontId="25" fillId="4" borderId="15" xfId="114" applyFont="1" applyFill="1" applyBorder="1" applyProtection="1">
      <alignment/>
      <protection/>
    </xf>
    <xf numFmtId="0" fontId="5" fillId="4" borderId="0" xfId="114" applyFont="1" applyFill="1" applyBorder="1" applyProtection="1">
      <alignment/>
      <protection/>
    </xf>
    <xf numFmtId="194" fontId="5" fillId="4" borderId="26" xfId="114" applyNumberFormat="1" applyFont="1" applyFill="1" applyBorder="1" applyAlignment="1" applyProtection="1">
      <alignment horizontal="center"/>
      <protection/>
    </xf>
    <xf numFmtId="0" fontId="5" fillId="4" borderId="21" xfId="114" applyFont="1" applyFill="1" applyBorder="1" applyProtection="1">
      <alignment/>
      <protection/>
    </xf>
    <xf numFmtId="0" fontId="5" fillId="4" borderId="13" xfId="114" applyFont="1" applyFill="1" applyBorder="1" applyProtection="1">
      <alignment/>
      <protection/>
    </xf>
    <xf numFmtId="194" fontId="5" fillId="22" borderId="16" xfId="114" applyNumberFormat="1" applyFont="1" applyFill="1" applyBorder="1" applyAlignment="1" applyProtection="1">
      <alignment horizontal="center"/>
      <protection/>
    </xf>
    <xf numFmtId="0" fontId="5" fillId="0" borderId="0" xfId="114" applyFont="1" applyFill="1" applyBorder="1" applyProtection="1">
      <alignment/>
      <protection/>
    </xf>
    <xf numFmtId="0" fontId="5" fillId="4" borderId="15" xfId="114" applyFont="1" applyFill="1" applyBorder="1" applyProtection="1">
      <alignment/>
      <protection/>
    </xf>
    <xf numFmtId="0" fontId="5" fillId="4" borderId="26" xfId="114" applyFont="1" applyFill="1" applyBorder="1" applyProtection="1">
      <alignment/>
      <protection/>
    </xf>
    <xf numFmtId="178" fontId="5" fillId="4" borderId="26" xfId="114" applyNumberFormat="1" applyFont="1" applyFill="1" applyBorder="1" applyAlignment="1" applyProtection="1">
      <alignment horizontal="center"/>
      <protection/>
    </xf>
    <xf numFmtId="0" fontId="5" fillId="22" borderId="15" xfId="114" applyFont="1" applyFill="1" applyBorder="1" applyProtection="1">
      <alignment/>
      <protection/>
    </xf>
    <xf numFmtId="0" fontId="5" fillId="22" borderId="0" xfId="114" applyFont="1" applyFill="1" applyBorder="1" applyProtection="1">
      <alignment/>
      <protection/>
    </xf>
    <xf numFmtId="0" fontId="5" fillId="22" borderId="21" xfId="114" applyFont="1" applyFill="1" applyBorder="1" applyProtection="1">
      <alignment/>
      <protection/>
    </xf>
    <xf numFmtId="0" fontId="5" fillId="22" borderId="13" xfId="114" applyFont="1" applyFill="1" applyBorder="1" applyProtection="1">
      <alignment/>
      <protection/>
    </xf>
    <xf numFmtId="0" fontId="5" fillId="0" borderId="0" xfId="114" applyFont="1" applyProtection="1">
      <alignment/>
      <protection/>
    </xf>
    <xf numFmtId="194" fontId="5" fillId="4" borderId="16" xfId="114" applyNumberFormat="1" applyFont="1" applyFill="1" applyBorder="1" applyAlignment="1" applyProtection="1">
      <alignment horizontal="center"/>
      <protection/>
    </xf>
    <xf numFmtId="3" fontId="5" fillId="7" borderId="25" xfId="0" applyNumberFormat="1" applyFont="1" applyFill="1" applyBorder="1" applyAlignment="1" applyProtection="1">
      <alignment horizontal="center" vertical="center"/>
      <protection/>
    </xf>
    <xf numFmtId="37" fontId="5" fillId="18" borderId="19" xfId="98" applyNumberFormat="1" applyFont="1" applyFill="1" applyBorder="1" applyAlignment="1" applyProtection="1">
      <alignment vertical="center"/>
      <protection locked="0"/>
    </xf>
    <xf numFmtId="0" fontId="0" fillId="22" borderId="12" xfId="0" applyFill="1" applyBorder="1" applyAlignment="1" applyProtection="1">
      <alignment vertical="center"/>
      <protection/>
    </xf>
    <xf numFmtId="0" fontId="17" fillId="22" borderId="16" xfId="0" applyFont="1" applyFill="1" applyBorder="1" applyAlignment="1" applyProtection="1">
      <alignment horizontal="center" vertical="center"/>
      <protection/>
    </xf>
    <xf numFmtId="164" fontId="5" fillId="4" borderId="0" xfId="0" applyNumberFormat="1" applyFont="1" applyFill="1" applyBorder="1" applyAlignment="1" applyProtection="1">
      <alignment vertical="center"/>
      <protection/>
    </xf>
    <xf numFmtId="3" fontId="5" fillId="4" borderId="10" xfId="0" applyNumberFormat="1" applyFont="1" applyFill="1" applyBorder="1" applyAlignment="1" applyProtection="1">
      <alignment horizontal="right" vertical="center"/>
      <protection/>
    </xf>
    <xf numFmtId="3" fontId="5" fillId="18" borderId="12" xfId="42" applyNumberFormat="1" applyFont="1" applyFill="1" applyBorder="1" applyAlignment="1" applyProtection="1">
      <alignment horizontal="right" vertical="center"/>
      <protection locked="0"/>
    </xf>
    <xf numFmtId="3" fontId="5" fillId="18" borderId="10" xfId="42" applyNumberFormat="1" applyFont="1" applyFill="1" applyBorder="1" applyAlignment="1" applyProtection="1">
      <alignment horizontal="right" vertical="center"/>
      <protection locked="0"/>
    </xf>
    <xf numFmtId="37" fontId="5" fillId="4" borderId="13" xfId="0" applyNumberFormat="1" applyFont="1" applyFill="1" applyBorder="1" applyAlignment="1" applyProtection="1">
      <alignment vertical="center"/>
      <protection locked="0"/>
    </xf>
    <xf numFmtId="0" fontId="4" fillId="4" borderId="13" xfId="0" applyFont="1" applyFill="1" applyBorder="1" applyAlignment="1" applyProtection="1">
      <alignment vertical="center"/>
      <protection/>
    </xf>
    <xf numFmtId="194" fontId="5" fillId="22" borderId="26" xfId="114" applyNumberFormat="1" applyFont="1" applyFill="1" applyBorder="1" applyAlignment="1" applyProtection="1">
      <alignment horizontal="center"/>
      <protection/>
    </xf>
    <xf numFmtId="0" fontId="5" fillId="22" borderId="21" xfId="0" applyFont="1" applyFill="1" applyBorder="1" applyAlignment="1">
      <alignment vertical="center"/>
    </xf>
    <xf numFmtId="0" fontId="5" fillId="22" borderId="13" xfId="0" applyFont="1" applyFill="1" applyBorder="1" applyAlignment="1">
      <alignment vertical="center"/>
    </xf>
    <xf numFmtId="194" fontId="5" fillId="22" borderId="16" xfId="0" applyNumberFormat="1" applyFont="1" applyFill="1" applyBorder="1" applyAlignment="1">
      <alignment horizontal="center" vertical="center"/>
    </xf>
    <xf numFmtId="0" fontId="9" fillId="21" borderId="10" xfId="0" applyFont="1" applyFill="1" applyBorder="1" applyAlignment="1" applyProtection="1">
      <alignment vertical="center" shrinkToFit="1"/>
      <protection/>
    </xf>
    <xf numFmtId="0" fontId="5" fillId="4" borderId="0" xfId="0" applyFont="1" applyFill="1" applyAlignment="1" applyProtection="1">
      <alignment vertical="center"/>
      <protection locked="0"/>
    </xf>
    <xf numFmtId="37" fontId="5" fillId="4" borderId="0" xfId="0" applyNumberFormat="1" applyFont="1" applyFill="1" applyBorder="1" applyAlignment="1" applyProtection="1">
      <alignment horizontal="center" vertical="center"/>
      <protection/>
    </xf>
    <xf numFmtId="0" fontId="5" fillId="4" borderId="21" xfId="0" applyFont="1" applyFill="1" applyBorder="1" applyAlignment="1" applyProtection="1">
      <alignment vertical="center"/>
      <protection/>
    </xf>
    <xf numFmtId="0" fontId="5" fillId="4" borderId="0" xfId="0" applyFont="1" applyFill="1" applyBorder="1" applyAlignment="1" applyProtection="1">
      <alignment horizontal="center" vertical="center"/>
      <protection/>
    </xf>
    <xf numFmtId="0" fontId="0" fillId="4" borderId="0" xfId="0" applyFill="1" applyBorder="1" applyAlignment="1" applyProtection="1">
      <alignment vertical="center" wrapText="1"/>
      <protection/>
    </xf>
    <xf numFmtId="177" fontId="5" fillId="4" borderId="0" xfId="42" applyNumberFormat="1" applyFont="1" applyFill="1" applyBorder="1" applyAlignment="1" applyProtection="1">
      <alignment vertical="center"/>
      <protection/>
    </xf>
    <xf numFmtId="0" fontId="9" fillId="4" borderId="0" xfId="0" applyFont="1" applyFill="1" applyBorder="1" applyAlignment="1" applyProtection="1">
      <alignment vertical="center" wrapText="1" shrinkToFit="1"/>
      <protection/>
    </xf>
    <xf numFmtId="178" fontId="5" fillId="4" borderId="10" xfId="0" applyNumberFormat="1" applyFont="1" applyFill="1" applyBorder="1" applyAlignment="1" applyProtection="1">
      <alignment horizontal="right" vertical="center"/>
      <protection/>
    </xf>
    <xf numFmtId="196" fontId="5" fillId="4" borderId="10" xfId="0" applyNumberFormat="1" applyFont="1" applyFill="1" applyBorder="1" applyAlignment="1" applyProtection="1">
      <alignment horizontal="right" vertical="center"/>
      <protection/>
    </xf>
    <xf numFmtId="182" fontId="5" fillId="7" borderId="27" xfId="0" applyNumberFormat="1" applyFont="1" applyFill="1" applyBorder="1" applyAlignment="1" applyProtection="1">
      <alignment horizontal="right" vertical="center"/>
      <protection/>
    </xf>
    <xf numFmtId="3" fontId="5" fillId="7" borderId="28" xfId="0" applyNumberFormat="1" applyFont="1" applyFill="1" applyBorder="1" applyAlignment="1" applyProtection="1">
      <alignment horizontal="right" vertical="center"/>
      <protection/>
    </xf>
    <xf numFmtId="0" fontId="5" fillId="4" borderId="10" xfId="0" applyFont="1" applyFill="1" applyBorder="1" applyAlignment="1" applyProtection="1">
      <alignment horizontal="right" vertical="center"/>
      <protection/>
    </xf>
    <xf numFmtId="3" fontId="5" fillId="4" borderId="10" xfId="98" applyNumberFormat="1" applyFont="1" applyFill="1" applyBorder="1" applyAlignment="1" applyProtection="1">
      <alignment vertical="center"/>
      <protection/>
    </xf>
    <xf numFmtId="0" fontId="5" fillId="4" borderId="11" xfId="98" applyFont="1" applyFill="1" applyBorder="1" applyAlignment="1" applyProtection="1">
      <alignment horizontal="center" vertical="center"/>
      <protection/>
    </xf>
    <xf numFmtId="0" fontId="5" fillId="4" borderId="12" xfId="98" applyFont="1" applyFill="1" applyBorder="1" applyAlignment="1" applyProtection="1">
      <alignment horizontal="center" vertical="center"/>
      <protection/>
    </xf>
    <xf numFmtId="0" fontId="5" fillId="0" borderId="0" xfId="0" applyFont="1" applyFill="1" applyAlignment="1" applyProtection="1">
      <alignment vertical="center"/>
      <protection locked="0"/>
    </xf>
    <xf numFmtId="0" fontId="5" fillId="4" borderId="13" xfId="0" applyFont="1" applyFill="1" applyBorder="1" applyAlignment="1" applyProtection="1">
      <alignment vertical="center"/>
      <protection locked="0"/>
    </xf>
    <xf numFmtId="0" fontId="27" fillId="22" borderId="15" xfId="113" applyFont="1" applyFill="1" applyBorder="1" applyAlignment="1" applyProtection="1">
      <alignment vertical="center"/>
      <protection locked="0"/>
    </xf>
    <xf numFmtId="0" fontId="5" fillId="22" borderId="0" xfId="113" applyFont="1" applyFill="1" applyBorder="1" applyAlignment="1" applyProtection="1">
      <alignment vertical="center"/>
      <protection locked="0"/>
    </xf>
    <xf numFmtId="0" fontId="25" fillId="22" borderId="0" xfId="113" applyFont="1" applyFill="1" applyBorder="1" applyAlignment="1" applyProtection="1">
      <alignment vertical="center"/>
      <protection locked="0"/>
    </xf>
    <xf numFmtId="194" fontId="27" fillId="22" borderId="17" xfId="113" applyNumberFormat="1" applyFont="1" applyFill="1" applyBorder="1" applyAlignment="1" applyProtection="1">
      <alignment horizontal="center" vertical="center"/>
      <protection locked="0"/>
    </xf>
    <xf numFmtId="0" fontId="5" fillId="22" borderId="16" xfId="0" applyFont="1" applyFill="1" applyBorder="1" applyAlignment="1" applyProtection="1">
      <alignment vertical="center"/>
      <protection locked="0"/>
    </xf>
    <xf numFmtId="37" fontId="5" fillId="4" borderId="0" xfId="0" applyNumberFormat="1" applyFont="1" applyFill="1" applyAlignment="1" applyProtection="1">
      <alignment vertical="center"/>
      <protection locked="0"/>
    </xf>
    <xf numFmtId="0" fontId="5" fillId="4" borderId="26" xfId="70" applyNumberFormat="1" applyFont="1" applyFill="1" applyBorder="1" applyAlignment="1" applyProtection="1">
      <alignment horizontal="right" vertical="center"/>
      <protection/>
    </xf>
    <xf numFmtId="0" fontId="17" fillId="0" borderId="0" xfId="0" applyFont="1" applyAlignment="1" applyProtection="1">
      <alignment vertical="center"/>
      <protection locked="0"/>
    </xf>
    <xf numFmtId="194" fontId="25" fillId="18" borderId="10" xfId="0" applyNumberFormat="1" applyFont="1" applyFill="1" applyBorder="1" applyAlignment="1" applyProtection="1">
      <alignment horizontal="center" vertical="center"/>
      <protection locked="0"/>
    </xf>
    <xf numFmtId="0" fontId="25" fillId="4" borderId="0" xfId="0" applyFont="1" applyFill="1" applyBorder="1" applyAlignment="1" applyProtection="1">
      <alignment vertical="center"/>
      <protection/>
    </xf>
    <xf numFmtId="0" fontId="25" fillId="4" borderId="15" xfId="0" applyFont="1" applyFill="1" applyBorder="1" applyAlignment="1" applyProtection="1">
      <alignment horizontal="left" vertical="center"/>
      <protection/>
    </xf>
    <xf numFmtId="1" fontId="5" fillId="4" borderId="21" xfId="0" applyNumberFormat="1" applyFont="1" applyFill="1" applyBorder="1" applyAlignment="1" applyProtection="1">
      <alignment horizontal="center" vertical="center"/>
      <protection/>
    </xf>
    <xf numFmtId="3" fontId="5" fillId="18" borderId="19" xfId="0" applyNumberFormat="1" applyFont="1" applyFill="1" applyBorder="1" applyAlignment="1" applyProtection="1">
      <alignment horizontal="right" vertical="center"/>
      <protection locked="0"/>
    </xf>
    <xf numFmtId="0" fontId="25" fillId="4" borderId="15" xfId="0" applyFont="1" applyFill="1" applyBorder="1" applyAlignment="1" applyProtection="1">
      <alignment vertical="center"/>
      <protection/>
    </xf>
    <xf numFmtId="194" fontId="25" fillId="4" borderId="26" xfId="0" applyNumberFormat="1" applyFont="1" applyFill="1" applyBorder="1" applyAlignment="1" applyProtection="1">
      <alignment horizontal="center" vertical="center"/>
      <protection/>
    </xf>
    <xf numFmtId="194" fontId="27" fillId="22" borderId="17" xfId="0" applyNumberFormat="1" applyFont="1" applyFill="1" applyBorder="1" applyAlignment="1" applyProtection="1">
      <alignment horizontal="center" vertical="center"/>
      <protection/>
    </xf>
    <xf numFmtId="0" fontId="5" fillId="22" borderId="0" xfId="0" applyFont="1" applyFill="1" applyBorder="1" applyAlignment="1" applyProtection="1">
      <alignment vertical="center"/>
      <protection/>
    </xf>
    <xf numFmtId="0" fontId="25" fillId="22" borderId="0" xfId="0" applyFont="1" applyFill="1" applyBorder="1" applyAlignment="1" applyProtection="1">
      <alignment vertical="center"/>
      <protection/>
    </xf>
    <xf numFmtId="0" fontId="27" fillId="22" borderId="15" xfId="0" applyFont="1" applyFill="1" applyBorder="1" applyAlignment="1" applyProtection="1">
      <alignment vertical="center"/>
      <protection/>
    </xf>
    <xf numFmtId="194" fontId="27" fillId="22" borderId="16" xfId="0" applyNumberFormat="1" applyFont="1" applyFill="1" applyBorder="1" applyAlignment="1" applyProtection="1">
      <alignment horizontal="center" vertical="center"/>
      <protection locked="0"/>
    </xf>
    <xf numFmtId="197" fontId="5" fillId="18" borderId="10" xfId="0" applyNumberFormat="1" applyFont="1" applyFill="1" applyBorder="1" applyAlignment="1" applyProtection="1">
      <alignment vertical="center"/>
      <protection locked="0"/>
    </xf>
    <xf numFmtId="197" fontId="5" fillId="18" borderId="10" xfId="0" applyNumberFormat="1" applyFont="1" applyFill="1" applyBorder="1" applyAlignment="1" applyProtection="1">
      <alignment vertical="center"/>
      <protection locked="0"/>
    </xf>
    <xf numFmtId="37" fontId="25" fillId="4" borderId="21" xfId="0" applyNumberFormat="1" applyFont="1" applyFill="1" applyBorder="1" applyAlignment="1" applyProtection="1">
      <alignment horizontal="left" vertical="center"/>
      <protection/>
    </xf>
    <xf numFmtId="0" fontId="30" fillId="4" borderId="13" xfId="0" applyFont="1" applyFill="1" applyBorder="1" applyAlignment="1">
      <alignment horizontal="left" vertical="center"/>
    </xf>
    <xf numFmtId="197" fontId="5" fillId="4" borderId="0" xfId="0" applyNumberFormat="1" applyFont="1" applyFill="1" applyAlignment="1" applyProtection="1">
      <alignment horizontal="center" vertical="center"/>
      <protection/>
    </xf>
    <xf numFmtId="0" fontId="31" fillId="0" borderId="0" xfId="0" applyFont="1" applyAlignment="1" applyProtection="1">
      <alignment vertical="center"/>
      <protection locked="0"/>
    </xf>
    <xf numFmtId="3" fontId="5" fillId="18" borderId="19" xfId="0" applyNumberFormat="1" applyFont="1" applyFill="1" applyBorder="1" applyAlignment="1" applyProtection="1">
      <alignment vertical="center"/>
      <protection locked="0"/>
    </xf>
    <xf numFmtId="182" fontId="27" fillId="4" borderId="17" xfId="92" applyNumberFormat="1" applyFont="1" applyFill="1" applyBorder="1" applyAlignment="1" applyProtection="1">
      <alignment horizontal="center" vertical="center"/>
      <protection/>
    </xf>
    <xf numFmtId="0" fontId="5" fillId="4" borderId="0" xfId="92" applyFont="1" applyFill="1" applyBorder="1" applyAlignment="1" applyProtection="1">
      <alignment vertical="center"/>
      <protection/>
    </xf>
    <xf numFmtId="194" fontId="25" fillId="18" borderId="10" xfId="92" applyNumberFormat="1" applyFont="1" applyFill="1" applyBorder="1" applyAlignment="1" applyProtection="1">
      <alignment horizontal="center" vertical="center"/>
      <protection locked="0"/>
    </xf>
    <xf numFmtId="0" fontId="25" fillId="4" borderId="0" xfId="92" applyFont="1" applyFill="1" applyBorder="1" applyAlignment="1" applyProtection="1">
      <alignment vertical="center"/>
      <protection/>
    </xf>
    <xf numFmtId="0" fontId="25" fillId="4" borderId="15" xfId="92" applyFont="1" applyFill="1" applyBorder="1" applyAlignment="1" applyProtection="1">
      <alignment horizontal="left" vertical="center"/>
      <protection/>
    </xf>
    <xf numFmtId="0" fontId="25" fillId="4" borderId="15" xfId="92" applyFont="1" applyFill="1" applyBorder="1" applyAlignment="1" applyProtection="1">
      <alignment vertical="center"/>
      <protection/>
    </xf>
    <xf numFmtId="194" fontId="25" fillId="4" borderId="26" xfId="92" applyNumberFormat="1" applyFont="1" applyFill="1" applyBorder="1" applyAlignment="1" applyProtection="1">
      <alignment horizontal="center" vertical="center"/>
      <protection/>
    </xf>
    <xf numFmtId="194" fontId="27" fillId="22" borderId="17" xfId="92" applyNumberFormat="1" applyFont="1" applyFill="1" applyBorder="1" applyAlignment="1" applyProtection="1">
      <alignment horizontal="center" vertical="center"/>
      <protection/>
    </xf>
    <xf numFmtId="0" fontId="5" fillId="22" borderId="0" xfId="92" applyFont="1" applyFill="1" applyBorder="1" applyAlignment="1" applyProtection="1">
      <alignment vertical="center"/>
      <protection/>
    </xf>
    <xf numFmtId="0" fontId="25" fillId="22" borderId="0" xfId="92" applyFont="1" applyFill="1" applyBorder="1" applyAlignment="1" applyProtection="1">
      <alignment vertical="center"/>
      <protection/>
    </xf>
    <xf numFmtId="0" fontId="27" fillId="22" borderId="15" xfId="92" applyFont="1" applyFill="1" applyBorder="1" applyAlignment="1" applyProtection="1">
      <alignment vertical="center"/>
      <protection/>
    </xf>
    <xf numFmtId="194" fontId="27" fillId="22" borderId="16" xfId="92" applyNumberFormat="1" applyFont="1" applyFill="1" applyBorder="1" applyAlignment="1" applyProtection="1">
      <alignment horizontal="center" vertical="center"/>
      <protection locked="0"/>
    </xf>
    <xf numFmtId="37" fontId="25" fillId="4" borderId="21" xfId="92" applyNumberFormat="1" applyFont="1" applyFill="1" applyBorder="1" applyAlignment="1" applyProtection="1">
      <alignment horizontal="left" vertical="center"/>
      <protection/>
    </xf>
    <xf numFmtId="0" fontId="30" fillId="4" borderId="13" xfId="92" applyFont="1" applyFill="1" applyBorder="1" applyAlignment="1">
      <alignment horizontal="left" vertical="center"/>
      <protection/>
    </xf>
    <xf numFmtId="0" fontId="5" fillId="4" borderId="15" xfId="92" applyFont="1" applyFill="1" applyBorder="1" applyAlignment="1" applyProtection="1">
      <alignment vertical="center"/>
      <protection/>
    </xf>
    <xf numFmtId="0" fontId="5" fillId="4" borderId="21" xfId="0" applyFont="1" applyFill="1" applyBorder="1" applyAlignment="1" applyProtection="1">
      <alignment horizontal="center" vertical="center"/>
      <protection/>
    </xf>
    <xf numFmtId="0" fontId="0" fillId="0" borderId="16" xfId="0" applyBorder="1" applyAlignment="1" applyProtection="1">
      <alignment vertical="center"/>
      <protection/>
    </xf>
    <xf numFmtId="0" fontId="5" fillId="4" borderId="26" xfId="92" applyFont="1" applyFill="1" applyBorder="1" applyAlignment="1" applyProtection="1">
      <alignment vertical="center"/>
      <protection/>
    </xf>
    <xf numFmtId="194" fontId="25" fillId="4" borderId="15" xfId="92" applyNumberFormat="1" applyFont="1" applyFill="1" applyBorder="1" applyAlignment="1" applyProtection="1">
      <alignment horizontal="center" vertical="center"/>
      <protection/>
    </xf>
    <xf numFmtId="0" fontId="25" fillId="4" borderId="0" xfId="92" applyFont="1" applyFill="1" applyBorder="1" applyAlignment="1" applyProtection="1">
      <alignment horizontal="left" vertical="center"/>
      <protection/>
    </xf>
    <xf numFmtId="0" fontId="25" fillId="4" borderId="26" xfId="92" applyFont="1" applyFill="1" applyBorder="1" applyAlignment="1" applyProtection="1">
      <alignment vertical="center"/>
      <protection/>
    </xf>
    <xf numFmtId="194" fontId="25" fillId="4" borderId="21" xfId="92" applyNumberFormat="1" applyFont="1" applyFill="1" applyBorder="1" applyAlignment="1" applyProtection="1">
      <alignment horizontal="center" vertical="center"/>
      <protection/>
    </xf>
    <xf numFmtId="0" fontId="5" fillId="22" borderId="16" xfId="92" applyFont="1" applyFill="1" applyBorder="1" applyAlignment="1" applyProtection="1">
      <alignment vertical="center"/>
      <protection/>
    </xf>
    <xf numFmtId="194" fontId="14" fillId="4" borderId="15" xfId="92" applyNumberFormat="1" applyFont="1" applyFill="1" applyBorder="1" applyAlignment="1" applyProtection="1">
      <alignment horizontal="center" vertical="center"/>
      <protection/>
    </xf>
    <xf numFmtId="0" fontId="14" fillId="4" borderId="0" xfId="92" applyFont="1" applyFill="1" applyBorder="1" applyAlignment="1" applyProtection="1">
      <alignment vertical="center"/>
      <protection/>
    </xf>
    <xf numFmtId="194" fontId="14" fillId="4" borderId="21" xfId="92" applyNumberFormat="1" applyFont="1" applyFill="1" applyBorder="1" applyAlignment="1" applyProtection="1">
      <alignment horizontal="center" vertical="center"/>
      <protection/>
    </xf>
    <xf numFmtId="194" fontId="14" fillId="4" borderId="15" xfId="92" applyNumberFormat="1" applyFont="1" applyFill="1" applyBorder="1" applyAlignment="1" applyProtection="1">
      <alignment vertical="center"/>
      <protection/>
    </xf>
    <xf numFmtId="194" fontId="14" fillId="22" borderId="21" xfId="92" applyNumberFormat="1" applyFont="1" applyFill="1" applyBorder="1" applyAlignment="1" applyProtection="1">
      <alignment horizontal="center" vertical="center"/>
      <protection/>
    </xf>
    <xf numFmtId="0" fontId="14" fillId="22" borderId="13" xfId="92" applyFont="1" applyFill="1" applyBorder="1" applyAlignment="1" applyProtection="1">
      <alignment vertical="center"/>
      <protection/>
    </xf>
    <xf numFmtId="1" fontId="5" fillId="4" borderId="24" xfId="0" applyNumberFormat="1" applyFont="1" applyFill="1" applyBorder="1" applyAlignment="1" applyProtection="1">
      <alignment horizontal="center" vertical="center"/>
      <protection/>
    </xf>
    <xf numFmtId="37" fontId="5" fillId="4" borderId="24" xfId="0" applyNumberFormat="1" applyFont="1" applyFill="1" applyBorder="1" applyAlignment="1" applyProtection="1">
      <alignment horizontal="center" vertical="center"/>
      <protection/>
    </xf>
    <xf numFmtId="182" fontId="5" fillId="4" borderId="0" xfId="0" applyNumberFormat="1" applyFont="1" applyFill="1" applyBorder="1" applyAlignment="1" applyProtection="1">
      <alignment horizontal="right" vertical="center"/>
      <protection locked="0"/>
    </xf>
    <xf numFmtId="182" fontId="25" fillId="4" borderId="15" xfId="0" applyNumberFormat="1" applyFont="1" applyFill="1" applyBorder="1" applyAlignment="1" applyProtection="1">
      <alignment horizontal="center" vertical="center"/>
      <protection/>
    </xf>
    <xf numFmtId="0" fontId="25" fillId="4" borderId="0" xfId="0" applyFont="1" applyFill="1" applyBorder="1" applyAlignment="1" applyProtection="1">
      <alignment horizontal="left" vertical="center"/>
      <protection/>
    </xf>
    <xf numFmtId="0" fontId="26" fillId="4" borderId="0" xfId="0" applyFont="1" applyFill="1" applyBorder="1" applyAlignment="1" applyProtection="1">
      <alignment horizontal="center" vertical="center"/>
      <protection/>
    </xf>
    <xf numFmtId="0" fontId="0" fillId="4" borderId="26" xfId="0" applyFill="1" applyBorder="1" applyAlignment="1" applyProtection="1">
      <alignment vertical="center"/>
      <protection/>
    </xf>
    <xf numFmtId="182" fontId="25" fillId="22" borderId="21" xfId="0" applyNumberFormat="1" applyFont="1" applyFill="1" applyBorder="1" applyAlignment="1" applyProtection="1">
      <alignment horizontal="center" vertical="center"/>
      <protection/>
    </xf>
    <xf numFmtId="182" fontId="25" fillId="4" borderId="19" xfId="0" applyNumberFormat="1" applyFont="1" applyFill="1" applyBorder="1" applyAlignment="1" applyProtection="1">
      <alignment horizontal="center" vertical="center"/>
      <protection/>
    </xf>
    <xf numFmtId="182" fontId="25" fillId="22" borderId="19" xfId="0" applyNumberFormat="1" applyFont="1" applyFill="1" applyBorder="1" applyAlignment="1" applyProtection="1">
      <alignment horizontal="center" vertical="center"/>
      <protection/>
    </xf>
    <xf numFmtId="0" fontId="25" fillId="4" borderId="13" xfId="0" applyFont="1" applyFill="1" applyBorder="1" applyAlignment="1" applyProtection="1">
      <alignment horizontal="left" vertical="center"/>
      <protection/>
    </xf>
    <xf numFmtId="0" fontId="26" fillId="4" borderId="13" xfId="0" applyFont="1" applyFill="1" applyBorder="1" applyAlignment="1" applyProtection="1">
      <alignment horizontal="center" vertical="center"/>
      <protection/>
    </xf>
    <xf numFmtId="0" fontId="0" fillId="4" borderId="16" xfId="0" applyFill="1" applyBorder="1" applyAlignment="1" applyProtection="1">
      <alignment vertical="center"/>
      <protection/>
    </xf>
    <xf numFmtId="49" fontId="5" fillId="4" borderId="0" xfId="0" applyNumberFormat="1" applyFont="1" applyFill="1" applyAlignment="1" applyProtection="1">
      <alignment horizontal="center" vertical="center"/>
      <protection/>
    </xf>
    <xf numFmtId="0" fontId="17" fillId="0" borderId="0" xfId="536" applyFont="1" applyAlignment="1">
      <alignment horizontal="left" vertical="center"/>
      <protection/>
    </xf>
    <xf numFmtId="0" fontId="5" fillId="0" borderId="0" xfId="90" applyFont="1">
      <alignment/>
      <protection/>
    </xf>
    <xf numFmtId="0" fontId="50" fillId="0" borderId="0" xfId="90" applyFont="1">
      <alignment/>
      <protection/>
    </xf>
    <xf numFmtId="0" fontId="0" fillId="0" borderId="0" xfId="90">
      <alignment/>
      <protection/>
    </xf>
    <xf numFmtId="0" fontId="5" fillId="18" borderId="10" xfId="0" applyFont="1" applyFill="1" applyBorder="1" applyAlignment="1" applyProtection="1">
      <alignment vertical="center"/>
      <protection locked="0"/>
    </xf>
    <xf numFmtId="0" fontId="0" fillId="0" borderId="17" xfId="0" applyBorder="1" applyAlignment="1">
      <alignment horizontal="center" vertical="center"/>
    </xf>
    <xf numFmtId="164" fontId="5" fillId="18" borderId="10" xfId="0" applyNumberFormat="1" applyFont="1" applyFill="1" applyBorder="1" applyAlignment="1" applyProtection="1">
      <alignment vertical="center"/>
      <protection locked="0"/>
    </xf>
    <xf numFmtId="0" fontId="23" fillId="0" borderId="0" xfId="536">
      <alignment/>
      <protection/>
    </xf>
    <xf numFmtId="187" fontId="14" fillId="0" borderId="0" xfId="536" applyNumberFormat="1" applyFont="1" applyAlignment="1">
      <alignment horizontal="left" vertical="center"/>
      <protection/>
    </xf>
    <xf numFmtId="49" fontId="5" fillId="0" borderId="0" xfId="536" applyNumberFormat="1" applyFont="1" applyAlignment="1">
      <alignment horizontal="left" vertical="center"/>
      <protection/>
    </xf>
    <xf numFmtId="0" fontId="14" fillId="0" borderId="0" xfId="536" applyFont="1" applyAlignment="1">
      <alignment horizontal="left" vertical="center"/>
      <protection/>
    </xf>
    <xf numFmtId="188" fontId="14" fillId="0" borderId="0" xfId="536" applyNumberFormat="1" applyFont="1" applyAlignment="1">
      <alignment horizontal="left" vertical="center"/>
      <protection/>
    </xf>
    <xf numFmtId="0" fontId="5" fillId="0" borderId="0" xfId="536" applyFont="1" applyAlignment="1">
      <alignment horizontal="left" vertical="center"/>
      <protection/>
    </xf>
    <xf numFmtId="0" fontId="51" fillId="0" borderId="0" xfId="536" applyFont="1">
      <alignment/>
      <protection/>
    </xf>
    <xf numFmtId="187" fontId="52" fillId="0" borderId="0" xfId="536" applyNumberFormat="1" applyFont="1" applyAlignment="1">
      <alignment horizontal="left" vertical="center"/>
      <protection/>
    </xf>
    <xf numFmtId="0" fontId="52" fillId="0" borderId="0" xfId="536" applyNumberFormat="1" applyFont="1" applyAlignment="1">
      <alignment horizontal="left" vertical="center"/>
      <protection/>
    </xf>
    <xf numFmtId="1" fontId="52" fillId="0" borderId="0" xfId="536" applyNumberFormat="1" applyFont="1" applyAlignment="1">
      <alignment horizontal="left" vertical="center"/>
      <protection/>
    </xf>
    <xf numFmtId="0" fontId="53" fillId="0" borderId="0" xfId="536" applyFont="1" applyAlignment="1">
      <alignment horizontal="left" vertical="center"/>
      <protection/>
    </xf>
    <xf numFmtId="49" fontId="5" fillId="0" borderId="0" xfId="536" applyNumberFormat="1" applyFont="1" applyFill="1" applyAlignment="1" applyProtection="1">
      <alignment horizontal="left" vertical="center"/>
      <protection locked="0"/>
    </xf>
    <xf numFmtId="37" fontId="5" fillId="4" borderId="26" xfId="0" applyNumberFormat="1" applyFont="1" applyFill="1" applyBorder="1" applyAlignment="1" applyProtection="1">
      <alignment horizontal="right" vertical="center"/>
      <protection/>
    </xf>
    <xf numFmtId="0" fontId="31" fillId="0" borderId="0" xfId="0" applyFont="1" applyAlignment="1" applyProtection="1">
      <alignment/>
      <protection locked="0"/>
    </xf>
    <xf numFmtId="197" fontId="5" fillId="18" borderId="10" xfId="98" applyNumberFormat="1" applyFont="1" applyFill="1" applyBorder="1" applyAlignment="1" applyProtection="1">
      <alignment vertical="center"/>
      <protection locked="0"/>
    </xf>
    <xf numFmtId="0" fontId="31" fillId="0" borderId="0" xfId="0" applyFont="1" applyAlignment="1" applyProtection="1">
      <alignment vertical="center"/>
      <protection/>
    </xf>
    <xf numFmtId="0" fontId="54" fillId="4" borderId="17" xfId="0" applyFont="1" applyFill="1" applyBorder="1" applyAlignment="1">
      <alignment horizontal="center" vertical="center"/>
    </xf>
    <xf numFmtId="0" fontId="4" fillId="4" borderId="14" xfId="0" applyFont="1" applyFill="1" applyBorder="1" applyAlignment="1">
      <alignment horizontal="centerContinuous" vertical="center"/>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0" fontId="0" fillId="0" borderId="0" xfId="0" applyAlignment="1">
      <alignment vertical="center"/>
    </xf>
    <xf numFmtId="0" fontId="9" fillId="21" borderId="11" xfId="0" applyFont="1" applyFill="1" applyBorder="1" applyAlignment="1" applyProtection="1">
      <alignment horizontal="center" vertical="center" wrapText="1" shrinkToFit="1"/>
      <protection/>
    </xf>
    <xf numFmtId="0" fontId="0" fillId="0" borderId="12" xfId="0" applyBorder="1" applyAlignment="1">
      <alignment horizontal="center" vertical="center" wrapText="1"/>
    </xf>
    <xf numFmtId="0" fontId="5" fillId="0" borderId="0" xfId="0" applyFont="1" applyAlignment="1">
      <alignment horizontal="center" vertical="center"/>
    </xf>
    <xf numFmtId="0" fontId="0" fillId="0" borderId="0" xfId="0" applyAlignment="1">
      <alignment horizontal="center" vertical="center"/>
    </xf>
    <xf numFmtId="0" fontId="5" fillId="4" borderId="0" xfId="93" applyFont="1" applyFill="1" applyAlignment="1">
      <alignment horizontal="center" vertical="center"/>
      <protection/>
    </xf>
    <xf numFmtId="37" fontId="4" fillId="4" borderId="0" xfId="0" applyNumberFormat="1" applyFont="1" applyFill="1" applyAlignment="1" applyProtection="1">
      <alignment horizontal="center" vertical="center"/>
      <protection/>
    </xf>
    <xf numFmtId="0" fontId="4" fillId="4" borderId="0" xfId="0" applyFont="1" applyFill="1" applyAlignment="1" applyProtection="1">
      <alignment horizontal="center" vertical="center"/>
      <protection/>
    </xf>
    <xf numFmtId="0" fontId="7" fillId="4" borderId="0" xfId="92" applyFont="1" applyFill="1" applyAlignment="1" applyProtection="1">
      <alignment horizontal="center" vertical="center"/>
      <protection/>
    </xf>
    <xf numFmtId="37" fontId="5" fillId="4" borderId="19" xfId="0" applyNumberFormat="1" applyFont="1" applyFill="1" applyBorder="1" applyAlignment="1" applyProtection="1">
      <alignment horizontal="center" vertical="center"/>
      <protection/>
    </xf>
    <xf numFmtId="0" fontId="0" fillId="0" borderId="14" xfId="0" applyBorder="1" applyAlignment="1">
      <alignment horizontal="center" vertical="center"/>
    </xf>
    <xf numFmtId="3" fontId="5" fillId="4" borderId="0" xfId="0" applyNumberFormat="1" applyFont="1" applyFill="1" applyAlignment="1" applyProtection="1">
      <alignment horizontal="right" vertical="center"/>
      <protection/>
    </xf>
    <xf numFmtId="37" fontId="15" fillId="4" borderId="0" xfId="0" applyNumberFormat="1" applyFont="1" applyFill="1" applyBorder="1" applyAlignment="1" applyProtection="1">
      <alignment horizontal="center" vertical="center"/>
      <protection/>
    </xf>
    <xf numFmtId="37" fontId="15" fillId="4" borderId="18" xfId="0" applyNumberFormat="1" applyFont="1" applyFill="1" applyBorder="1" applyAlignment="1" applyProtection="1">
      <alignment horizontal="center" vertical="center"/>
      <protection/>
    </xf>
    <xf numFmtId="49" fontId="5" fillId="18" borderId="17" xfId="536" applyNumberFormat="1" applyFont="1" applyFill="1" applyBorder="1" applyAlignment="1" applyProtection="1">
      <alignment horizontal="left" vertical="center"/>
      <protection locked="0"/>
    </xf>
    <xf numFmtId="49" fontId="5" fillId="18" borderId="10" xfId="536" applyNumberFormat="1" applyFont="1" applyFill="1" applyBorder="1" applyAlignment="1" applyProtection="1">
      <alignment horizontal="left" vertical="center"/>
      <protection locked="0"/>
    </xf>
    <xf numFmtId="0" fontId="5" fillId="18" borderId="14" xfId="536" applyFont="1" applyFill="1" applyBorder="1" applyAlignment="1" applyProtection="1">
      <alignment horizontal="left" vertical="center"/>
      <protection locked="0"/>
    </xf>
    <xf numFmtId="0" fontId="23" fillId="18" borderId="17" xfId="536" applyFill="1" applyBorder="1" applyAlignment="1" applyProtection="1">
      <alignment horizontal="left" vertical="center"/>
      <protection locked="0"/>
    </xf>
    <xf numFmtId="0" fontId="5" fillId="18" borderId="17" xfId="0" applyFont="1" applyFill="1" applyBorder="1" applyAlignment="1" applyProtection="1">
      <alignment vertical="center"/>
      <protection/>
    </xf>
    <xf numFmtId="0" fontId="7" fillId="4" borderId="0" xfId="92" applyFont="1" applyFill="1" applyAlignment="1" applyProtection="1">
      <alignment horizontal="center" vertical="center"/>
      <protection/>
    </xf>
    <xf numFmtId="3" fontId="5" fillId="4" borderId="0" xfId="92" applyNumberFormat="1" applyFont="1" applyFill="1" applyAlignment="1" applyProtection="1">
      <alignment vertical="center"/>
      <protection/>
    </xf>
    <xf numFmtId="3" fontId="5" fillId="4" borderId="13" xfId="92" applyNumberFormat="1" applyFont="1" applyFill="1" applyBorder="1" applyAlignment="1" applyProtection="1">
      <alignment vertical="center"/>
      <protection/>
    </xf>
    <xf numFmtId="3" fontId="5" fillId="4" borderId="0" xfId="92" applyNumberFormat="1" applyFont="1" applyFill="1" applyBorder="1" applyAlignment="1" applyProtection="1">
      <alignment vertical="center"/>
      <protection/>
    </xf>
    <xf numFmtId="0" fontId="5" fillId="4" borderId="0" xfId="92" applyFont="1" applyFill="1" applyAlignment="1" applyProtection="1">
      <alignment horizontal="left" vertical="center"/>
      <protection/>
    </xf>
    <xf numFmtId="0" fontId="5" fillId="4" borderId="0" xfId="92" applyFont="1" applyFill="1" applyAlignment="1" applyProtection="1">
      <alignment vertical="center"/>
      <protection/>
    </xf>
    <xf numFmtId="0" fontId="5" fillId="4" borderId="0" xfId="92" applyFont="1" applyFill="1" applyAlignment="1" applyProtection="1" quotePrefix="1">
      <alignment vertical="center"/>
      <protection/>
    </xf>
    <xf numFmtId="3" fontId="5" fillId="4" borderId="22" xfId="92" applyNumberFormat="1" applyFont="1" applyFill="1" applyBorder="1" applyAlignment="1" applyProtection="1">
      <alignment vertical="center"/>
      <protection/>
    </xf>
    <xf numFmtId="0" fontId="5" fillId="4" borderId="0" xfId="92" applyFont="1" applyFill="1" applyAlignment="1" applyProtection="1" quotePrefix="1">
      <alignment horizontal="left" vertical="center"/>
      <protection/>
    </xf>
    <xf numFmtId="10" fontId="5" fillId="4" borderId="13" xfId="92" applyNumberFormat="1" applyFont="1" applyFill="1" applyBorder="1" applyAlignment="1" applyProtection="1">
      <alignment vertical="center"/>
      <protection/>
    </xf>
    <xf numFmtId="10" fontId="5" fillId="4" borderId="0" xfId="92" applyNumberFormat="1" applyFont="1" applyFill="1" applyBorder="1" applyAlignment="1" applyProtection="1">
      <alignment vertical="center"/>
      <protection/>
    </xf>
    <xf numFmtId="0" fontId="7" fillId="4" borderId="0" xfId="92" applyFont="1" applyFill="1" applyAlignment="1" applyProtection="1">
      <alignment horizontal="left" vertical="center"/>
      <protection/>
    </xf>
    <xf numFmtId="37" fontId="5" fillId="22" borderId="10" xfId="92" applyNumberFormat="1" applyFont="1" applyFill="1" applyBorder="1" applyAlignment="1" applyProtection="1">
      <alignment horizontal="left" vertical="center"/>
      <protection/>
    </xf>
    <xf numFmtId="0" fontId="27" fillId="4" borderId="19" xfId="92" applyFont="1" applyFill="1" applyBorder="1" applyAlignment="1">
      <alignment horizontal="centerContinuous" vertical="center"/>
      <protection/>
    </xf>
    <xf numFmtId="37" fontId="5" fillId="18" borderId="13" xfId="0" applyNumberFormat="1" applyFont="1" applyFill="1" applyBorder="1" applyAlignment="1" applyProtection="1">
      <alignment horizontal="left" vertical="center"/>
      <protection locked="0"/>
    </xf>
    <xf numFmtId="37" fontId="5" fillId="18" borderId="14" xfId="0" applyNumberFormat="1" applyFont="1" applyFill="1" applyBorder="1" applyAlignment="1" applyProtection="1">
      <alignment horizontal="left" vertical="center"/>
      <protection locked="0"/>
    </xf>
    <xf numFmtId="164" fontId="5" fillId="18" borderId="10" xfId="0" applyNumberFormat="1" applyFont="1" applyFill="1" applyBorder="1" applyAlignment="1" applyProtection="1">
      <alignment/>
      <protection locked="0"/>
    </xf>
    <xf numFmtId="0" fontId="5" fillId="18" borderId="10" xfId="0" applyFont="1" applyFill="1" applyBorder="1" applyAlignment="1" applyProtection="1">
      <alignment/>
      <protection locked="0"/>
    </xf>
    <xf numFmtId="49" fontId="5" fillId="18" borderId="0" xfId="536" applyNumberFormat="1" applyFont="1" applyFill="1" applyAlignment="1" applyProtection="1">
      <alignment horizontal="left" vertical="center"/>
      <protection locked="0"/>
    </xf>
    <xf numFmtId="0" fontId="5" fillId="18" borderId="0" xfId="536" applyFont="1" applyFill="1" applyAlignment="1" applyProtection="1">
      <alignment horizontal="left" vertical="center"/>
      <protection locked="0"/>
    </xf>
    <xf numFmtId="0" fontId="23" fillId="0" borderId="0" xfId="536" applyAlignment="1">
      <alignment horizontal="left" vertical="center" wrapText="1"/>
      <protection/>
    </xf>
    <xf numFmtId="0" fontId="13" fillId="0" borderId="0" xfId="536" applyFont="1" applyAlignment="1">
      <alignment horizontal="left" vertical="center"/>
      <protection/>
    </xf>
    <xf numFmtId="37" fontId="13" fillId="4" borderId="0" xfId="0" applyNumberFormat="1" applyFont="1" applyFill="1" applyAlignment="1" applyProtection="1">
      <alignment horizontal="center" vertical="center"/>
      <protection/>
    </xf>
    <xf numFmtId="0" fontId="1" fillId="4" borderId="0" xfId="0" applyFont="1" applyFill="1" applyAlignment="1" applyProtection="1">
      <alignment horizontal="center" vertical="center"/>
      <protection/>
    </xf>
    <xf numFmtId="0" fontId="5" fillId="18" borderId="10" xfId="0" applyFont="1" applyFill="1" applyBorder="1" applyAlignment="1" applyProtection="1">
      <alignment/>
      <protection locked="0"/>
    </xf>
    <xf numFmtId="174" fontId="5" fillId="18" borderId="10" xfId="0" applyNumberFormat="1" applyFont="1" applyFill="1" applyBorder="1" applyAlignment="1" applyProtection="1">
      <alignment horizontal="center"/>
      <protection locked="0"/>
    </xf>
    <xf numFmtId="2" fontId="5" fillId="18" borderId="10" xfId="0" applyNumberFormat="1" applyFont="1" applyFill="1" applyBorder="1" applyAlignment="1" applyProtection="1">
      <alignment horizontal="center"/>
      <protection locked="0"/>
    </xf>
    <xf numFmtId="3" fontId="5" fillId="18" borderId="10" xfId="0" applyNumberFormat="1" applyFont="1" applyFill="1" applyBorder="1" applyAlignment="1" applyProtection="1">
      <alignment horizontal="center"/>
      <protection locked="0"/>
    </xf>
    <xf numFmtId="175" fontId="5" fillId="18" borderId="10" xfId="0" applyNumberFormat="1" applyFont="1" applyFill="1" applyBorder="1" applyAlignment="1" applyProtection="1">
      <alignment horizontal="center"/>
      <protection locked="0"/>
    </xf>
    <xf numFmtId="0" fontId="5" fillId="18" borderId="10" xfId="0" applyFont="1" applyFill="1" applyBorder="1" applyAlignment="1" applyProtection="1">
      <alignment horizontal="center"/>
      <protection locked="0"/>
    </xf>
    <xf numFmtId="1" fontId="5" fillId="18" borderId="10" xfId="0" applyNumberFormat="1" applyFont="1" applyFill="1" applyBorder="1" applyAlignment="1" applyProtection="1">
      <alignment horizontal="center"/>
      <protection locked="0"/>
    </xf>
    <xf numFmtId="14" fontId="5" fillId="18" borderId="10" xfId="0" applyNumberFormat="1" applyFont="1" applyFill="1" applyBorder="1" applyAlignment="1" applyProtection="1">
      <alignment horizontal="center"/>
      <protection locked="0"/>
    </xf>
    <xf numFmtId="178" fontId="5" fillId="18" borderId="10" xfId="0" applyNumberFormat="1" applyFont="1" applyFill="1" applyBorder="1" applyAlignment="1" applyProtection="1">
      <alignment horizontal="center"/>
      <protection locked="0"/>
    </xf>
    <xf numFmtId="37" fontId="5" fillId="18" borderId="19" xfId="0" applyNumberFormat="1" applyFont="1" applyFill="1" applyBorder="1" applyAlignment="1" applyProtection="1">
      <alignment/>
      <protection locked="0"/>
    </xf>
    <xf numFmtId="0" fontId="5" fillId="18" borderId="10" xfId="0" applyFont="1" applyFill="1" applyBorder="1" applyAlignment="1" applyProtection="1">
      <alignment horizontal="left"/>
      <protection locked="0"/>
    </xf>
    <xf numFmtId="0" fontId="5" fillId="18" borderId="10" xfId="0" applyFont="1" applyFill="1" applyBorder="1" applyAlignment="1" applyProtection="1">
      <alignment horizontal="left"/>
      <protection locked="0"/>
    </xf>
    <xf numFmtId="0" fontId="5" fillId="18" borderId="0" xfId="0" applyFont="1" applyFill="1" applyAlignment="1" applyProtection="1">
      <alignment horizontal="left"/>
      <protection locked="0"/>
    </xf>
    <xf numFmtId="0" fontId="5" fillId="18" borderId="19" xfId="0" applyFont="1" applyFill="1" applyBorder="1" applyAlignment="1" applyProtection="1">
      <alignment/>
      <protection locked="0"/>
    </xf>
    <xf numFmtId="0" fontId="14" fillId="18" borderId="10" xfId="0" applyFont="1" applyFill="1" applyBorder="1" applyAlignment="1" applyProtection="1">
      <alignment/>
      <protection locked="0"/>
    </xf>
    <xf numFmtId="0" fontId="5" fillId="18" borderId="13" xfId="0" applyFont="1" applyFill="1" applyBorder="1" applyAlignment="1" applyProtection="1">
      <alignment/>
      <protection locked="0"/>
    </xf>
    <xf numFmtId="0" fontId="5" fillId="18" borderId="0" xfId="0" applyFont="1" applyFill="1" applyAlignment="1" applyProtection="1">
      <alignment/>
      <protection locked="0"/>
    </xf>
    <xf numFmtId="0" fontId="5" fillId="0" borderId="0" xfId="536" applyFont="1" applyAlignment="1">
      <alignment horizontal="left" vertical="center" wrapText="1"/>
      <protection/>
    </xf>
    <xf numFmtId="0" fontId="19" fillId="0" borderId="0" xfId="0" applyFont="1" applyAlignment="1">
      <alignment vertical="center"/>
    </xf>
    <xf numFmtId="37" fontId="13" fillId="4" borderId="0" xfId="0" applyNumberFormat="1" applyFont="1" applyFill="1" applyBorder="1" applyAlignment="1" applyProtection="1">
      <alignment horizontal="center" vertical="center"/>
      <protection/>
    </xf>
    <xf numFmtId="0" fontId="0" fillId="0" borderId="0" xfId="0" applyAlignment="1" applyProtection="1">
      <alignment horizontal="center" vertical="center"/>
      <protection/>
    </xf>
    <xf numFmtId="0" fontId="5" fillId="14" borderId="18" xfId="0" applyFont="1" applyFill="1" applyBorder="1" applyAlignment="1">
      <alignment vertical="center" wrapText="1"/>
    </xf>
    <xf numFmtId="0" fontId="0" fillId="0" borderId="18" xfId="0" applyBorder="1" applyAlignment="1">
      <alignment vertical="center" wrapText="1"/>
    </xf>
    <xf numFmtId="0" fontId="4" fillId="21" borderId="0" xfId="0" applyFont="1" applyFill="1" applyBorder="1" applyAlignment="1">
      <alignment horizontal="center" vertical="center"/>
    </xf>
    <xf numFmtId="0" fontId="1" fillId="21" borderId="0" xfId="0" applyFont="1" applyFill="1" applyBorder="1" applyAlignment="1">
      <alignment horizontal="center" vertical="center"/>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5"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7" fillId="4" borderId="0" xfId="0" applyFont="1" applyFill="1" applyBorder="1" applyAlignment="1">
      <alignment vertical="center"/>
    </xf>
    <xf numFmtId="0" fontId="5" fillId="0" borderId="18" xfId="0" applyFont="1" applyBorder="1" applyAlignment="1">
      <alignment horizontal="center" vertical="center"/>
    </xf>
    <xf numFmtId="0" fontId="0" fillId="0" borderId="18" xfId="0" applyBorder="1" applyAlignment="1">
      <alignment vertical="center"/>
    </xf>
    <xf numFmtId="0" fontId="26" fillId="4" borderId="24" xfId="113" applyFont="1" applyFill="1" applyBorder="1" applyAlignment="1" applyProtection="1">
      <alignment horizontal="center" vertical="center"/>
      <protection/>
    </xf>
    <xf numFmtId="0" fontId="26" fillId="4" borderId="18" xfId="113" applyFont="1" applyFill="1" applyBorder="1" applyAlignment="1" applyProtection="1">
      <alignment horizontal="center" vertical="center"/>
      <protection/>
    </xf>
    <xf numFmtId="0" fontId="0" fillId="0" borderId="23" xfId="113" applyBorder="1" applyAlignment="1" applyProtection="1">
      <alignment vertical="center"/>
      <protection/>
    </xf>
    <xf numFmtId="3" fontId="5" fillId="4" borderId="18" xfId="118" applyNumberFormat="1" applyFont="1" applyFill="1" applyBorder="1" applyAlignment="1" applyProtection="1">
      <alignment horizontal="right" vertical="center"/>
      <protection/>
    </xf>
    <xf numFmtId="0" fontId="0" fillId="0" borderId="23" xfId="118" applyBorder="1" applyAlignment="1">
      <alignment horizontal="right" vertical="center"/>
      <protection/>
    </xf>
    <xf numFmtId="0" fontId="5" fillId="4" borderId="0" xfId="118" applyFont="1" applyFill="1" applyAlignment="1" applyProtection="1">
      <alignment horizontal="right" vertical="center"/>
      <protection/>
    </xf>
    <xf numFmtId="0" fontId="5" fillId="0" borderId="26" xfId="118" applyFont="1" applyBorder="1" applyAlignment="1">
      <alignment horizontal="right" vertical="center"/>
      <protection/>
    </xf>
    <xf numFmtId="0" fontId="5" fillId="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0" fillId="0" borderId="0" xfId="0" applyBorder="1" applyAlignment="1">
      <alignment horizontal="right" vertical="center"/>
    </xf>
    <xf numFmtId="0" fontId="0" fillId="0" borderId="23" xfId="0" applyBorder="1" applyAlignment="1">
      <alignment vertical="center"/>
    </xf>
    <xf numFmtId="182" fontId="26" fillId="4" borderId="24" xfId="0" applyNumberFormat="1" applyFont="1" applyFill="1" applyBorder="1" applyAlignment="1" applyProtection="1">
      <alignment horizontal="center"/>
      <protection/>
    </xf>
    <xf numFmtId="0" fontId="16" fillId="0" borderId="18" xfId="0" applyFont="1" applyBorder="1" applyAlignment="1">
      <alignment/>
    </xf>
    <xf numFmtId="0" fontId="16" fillId="0" borderId="23" xfId="0" applyFont="1" applyBorder="1" applyAlignment="1">
      <alignment/>
    </xf>
    <xf numFmtId="0" fontId="5" fillId="4" borderId="0" xfId="70" applyNumberFormat="1" applyFont="1" applyFill="1" applyBorder="1" applyAlignment="1" applyProtection="1">
      <alignment horizontal="right" vertical="center"/>
      <protection/>
    </xf>
    <xf numFmtId="0" fontId="29" fillId="4" borderId="24" xfId="113" applyFont="1" applyFill="1" applyBorder="1" applyAlignment="1" applyProtection="1">
      <alignment horizontal="center" vertical="center"/>
      <protection/>
    </xf>
    <xf numFmtId="0" fontId="0" fillId="0" borderId="18" xfId="0" applyBorder="1" applyAlignment="1">
      <alignment horizontal="center" vertical="center"/>
    </xf>
    <xf numFmtId="0" fontId="26" fillId="4" borderId="24" xfId="92" applyFont="1" applyFill="1" applyBorder="1" applyAlignment="1" applyProtection="1">
      <alignment horizontal="center" vertical="center"/>
      <protection/>
    </xf>
    <xf numFmtId="0" fontId="30" fillId="0" borderId="18" xfId="92" applyFont="1" applyBorder="1" applyAlignment="1">
      <alignment horizontal="center" vertical="center"/>
      <protection/>
    </xf>
    <xf numFmtId="0" fontId="26" fillId="4" borderId="24" xfId="0" applyFont="1" applyFill="1" applyBorder="1" applyAlignment="1" applyProtection="1">
      <alignment horizontal="center" vertical="center"/>
      <protection/>
    </xf>
    <xf numFmtId="0" fontId="0" fillId="0" borderId="18" xfId="92" applyBorder="1" applyAlignment="1">
      <alignment vertical="center"/>
      <protection/>
    </xf>
    <xf numFmtId="0" fontId="0" fillId="0" borderId="23" xfId="92" applyBorder="1" applyAlignment="1">
      <alignment vertical="center"/>
      <protection/>
    </xf>
    <xf numFmtId="0" fontId="5" fillId="0" borderId="0" xfId="70" applyFont="1" applyAlignment="1" applyProtection="1">
      <alignment horizontal="right" vertical="center"/>
      <protection/>
    </xf>
    <xf numFmtId="0" fontId="4" fillId="4" borderId="19" xfId="0" applyFont="1" applyFill="1" applyBorder="1" applyAlignment="1">
      <alignment vertical="center"/>
    </xf>
    <xf numFmtId="0" fontId="4" fillId="4" borderId="17" xfId="0" applyFont="1" applyFill="1" applyBorder="1" applyAlignment="1">
      <alignment vertical="center"/>
    </xf>
    <xf numFmtId="37" fontId="5" fillId="4" borderId="0" xfId="0" applyNumberFormat="1" applyFont="1" applyFill="1" applyAlignment="1" applyProtection="1">
      <alignment horizontal="center" vertical="center"/>
      <protection/>
    </xf>
    <xf numFmtId="37" fontId="5" fillId="4" borderId="0" xfId="141" applyNumberFormat="1" applyFont="1" applyFill="1" applyAlignment="1" applyProtection="1">
      <alignment horizontal="center"/>
      <protection/>
    </xf>
    <xf numFmtId="0" fontId="13" fillId="4" borderId="24" xfId="114" applyFont="1" applyFill="1" applyBorder="1" applyAlignment="1" applyProtection="1">
      <alignment horizontal="center"/>
      <protection/>
    </xf>
    <xf numFmtId="0" fontId="13" fillId="4" borderId="18" xfId="114" applyFont="1" applyFill="1" applyBorder="1" applyAlignment="1" applyProtection="1">
      <alignment horizontal="center"/>
      <protection/>
    </xf>
    <xf numFmtId="0" fontId="13" fillId="4" borderId="23" xfId="114" applyFont="1" applyFill="1" applyBorder="1" applyAlignment="1" applyProtection="1">
      <alignment horizontal="center"/>
      <protection/>
    </xf>
    <xf numFmtId="0" fontId="0" fillId="0" borderId="18" xfId="0" applyBorder="1" applyAlignment="1">
      <alignment horizontal="center"/>
    </xf>
    <xf numFmtId="0" fontId="0" fillId="0" borderId="23" xfId="0" applyBorder="1" applyAlignment="1">
      <alignment horizontal="center"/>
    </xf>
    <xf numFmtId="0" fontId="0" fillId="0" borderId="18" xfId="114" applyBorder="1" applyAlignment="1" applyProtection="1">
      <alignment horizontal="center"/>
      <protection/>
    </xf>
    <xf numFmtId="0" fontId="0" fillId="0" borderId="23" xfId="114"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13" xfId="0" applyNumberFormat="1" applyFont="1" applyFill="1" applyBorder="1" applyAlignment="1" applyProtection="1">
      <alignment horizontal="center" vertical="center"/>
      <protection locked="0"/>
    </xf>
  </cellXfs>
  <cellStyles count="5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6" xfId="81"/>
    <cellStyle name="Hyperlink 7" xfId="82"/>
    <cellStyle name="Hyperlink 7 2" xfId="83"/>
    <cellStyle name="Hyperlink 7 3" xfId="84"/>
    <cellStyle name="Hyperlink 8" xfId="85"/>
    <cellStyle name="Hyperlink 8 2" xfId="86"/>
    <cellStyle name="Input" xfId="87"/>
    <cellStyle name="Linked Cell" xfId="88"/>
    <cellStyle name="Neutral" xfId="89"/>
    <cellStyle name="Normal 10" xfId="90"/>
    <cellStyle name="Normal 10 2" xfId="91"/>
    <cellStyle name="Normal 10 2 2" xfId="92"/>
    <cellStyle name="Normal 10 2 2 2" xfId="93"/>
    <cellStyle name="Normal 10 2 2 3" xfId="94"/>
    <cellStyle name="Normal 10 2 3" xfId="95"/>
    <cellStyle name="Normal 10 3" xfId="96"/>
    <cellStyle name="Normal 10 4" xfId="97"/>
    <cellStyle name="Normal 10 5" xfId="98"/>
    <cellStyle name="Normal 10 5 2" xfId="99"/>
    <cellStyle name="Normal 10 5 3" xfId="100"/>
    <cellStyle name="Normal 10 6" xfId="101"/>
    <cellStyle name="Normal 10 7" xfId="102"/>
    <cellStyle name="Normal 11" xfId="103"/>
    <cellStyle name="Normal 11 2" xfId="104"/>
    <cellStyle name="Normal 11 2 2" xfId="105"/>
    <cellStyle name="Normal 11 2 3" xfId="106"/>
    <cellStyle name="Normal 11 3" xfId="107"/>
    <cellStyle name="Normal 11 4" xfId="108"/>
    <cellStyle name="Normal 11 5" xfId="109"/>
    <cellStyle name="Normal 11 5 2" xfId="110"/>
    <cellStyle name="Normal 11 5 3" xfId="111"/>
    <cellStyle name="Normal 11 6" xfId="112"/>
    <cellStyle name="Normal 12" xfId="113"/>
    <cellStyle name="Normal 12 10" xfId="114"/>
    <cellStyle name="Normal 12 11" xfId="115"/>
    <cellStyle name="Normal 12 12" xfId="116"/>
    <cellStyle name="Normal 12 13" xfId="117"/>
    <cellStyle name="Normal 12 2" xfId="118"/>
    <cellStyle name="Normal 12 2 2" xfId="119"/>
    <cellStyle name="Normal 12 3" xfId="120"/>
    <cellStyle name="Normal 12 4" xfId="121"/>
    <cellStyle name="Normal 12 5" xfId="122"/>
    <cellStyle name="Normal 12 6" xfId="123"/>
    <cellStyle name="Normal 12 7" xfId="124"/>
    <cellStyle name="Normal 12 8" xfId="125"/>
    <cellStyle name="Normal 12 9" xfId="126"/>
    <cellStyle name="Normal 13" xfId="127"/>
    <cellStyle name="Normal 13 10" xfId="128"/>
    <cellStyle name="Normal 13 11" xfId="129"/>
    <cellStyle name="Normal 13 12" xfId="130"/>
    <cellStyle name="Normal 13 13" xfId="131"/>
    <cellStyle name="Normal 13 2" xfId="132"/>
    <cellStyle name="Normal 13 2 2" xfId="133"/>
    <cellStyle name="Normal 13 3" xfId="134"/>
    <cellStyle name="Normal 13 4" xfId="135"/>
    <cellStyle name="Normal 13 5" xfId="136"/>
    <cellStyle name="Normal 13 6" xfId="137"/>
    <cellStyle name="Normal 13 7" xfId="138"/>
    <cellStyle name="Normal 13 8" xfId="139"/>
    <cellStyle name="Normal 13 9" xfId="140"/>
    <cellStyle name="Normal 14" xfId="141"/>
    <cellStyle name="Normal 14 2" xfId="142"/>
    <cellStyle name="Normal 14 3" xfId="143"/>
    <cellStyle name="Normal 14 4" xfId="144"/>
    <cellStyle name="Normal 14 5" xfId="145"/>
    <cellStyle name="Normal 14 6" xfId="146"/>
    <cellStyle name="Normal 14 7" xfId="147"/>
    <cellStyle name="Normal 15" xfId="148"/>
    <cellStyle name="Normal 15 2" xfId="149"/>
    <cellStyle name="Normal 15 3" xfId="150"/>
    <cellStyle name="Normal 15 4" xfId="151"/>
    <cellStyle name="Normal 15 5" xfId="152"/>
    <cellStyle name="Normal 16" xfId="153"/>
    <cellStyle name="Normal 16 2" xfId="154"/>
    <cellStyle name="Normal 16 3" xfId="155"/>
    <cellStyle name="Normal 16 4" xfId="156"/>
    <cellStyle name="Normal 16 5" xfId="157"/>
    <cellStyle name="Normal 17" xfId="158"/>
    <cellStyle name="Normal 17 2" xfId="159"/>
    <cellStyle name="Normal 17 3" xfId="160"/>
    <cellStyle name="Normal 17 4" xfId="161"/>
    <cellStyle name="Normal 17 5" xfId="162"/>
    <cellStyle name="Normal 18" xfId="163"/>
    <cellStyle name="Normal 18 2" xfId="164"/>
    <cellStyle name="Normal 18 2 2" xfId="165"/>
    <cellStyle name="Normal 18 2 3" xfId="166"/>
    <cellStyle name="Normal 18 3" xfId="167"/>
    <cellStyle name="Normal 18 4" xfId="168"/>
    <cellStyle name="Normal 18 5" xfId="169"/>
    <cellStyle name="Normal 18 6" xfId="170"/>
    <cellStyle name="Normal 18 7" xfId="171"/>
    <cellStyle name="Normal 18 8" xfId="172"/>
    <cellStyle name="Normal 18 9" xfId="173"/>
    <cellStyle name="Normal 19" xfId="174"/>
    <cellStyle name="Normal 19 2" xfId="175"/>
    <cellStyle name="Normal 19 2 2" xfId="176"/>
    <cellStyle name="Normal 19 2 3" xfId="177"/>
    <cellStyle name="Normal 19 3" xfId="178"/>
    <cellStyle name="Normal 19 4" xfId="179"/>
    <cellStyle name="Normal 19 5" xfId="180"/>
    <cellStyle name="Normal 19 6" xfId="181"/>
    <cellStyle name="Normal 19 7" xfId="182"/>
    <cellStyle name="Normal 19 8" xfId="183"/>
    <cellStyle name="Normal 2" xfId="184"/>
    <cellStyle name="Normal 2 10" xfId="185"/>
    <cellStyle name="Normal 2 10 10" xfId="186"/>
    <cellStyle name="Normal 2 10 11" xfId="187"/>
    <cellStyle name="Normal 2 10 11 2" xfId="188"/>
    <cellStyle name="Normal 2 10 11 2 2" xfId="189"/>
    <cellStyle name="Normal 2 10 11 2 2 2" xfId="190"/>
    <cellStyle name="Normal 2 10 11 3" xfId="191"/>
    <cellStyle name="Normal 2 10 11 4" xfId="192"/>
    <cellStyle name="Normal 2 10 11 5" xfId="193"/>
    <cellStyle name="Normal 2 10 12" xfId="194"/>
    <cellStyle name="Normal 2 10 2" xfId="195"/>
    <cellStyle name="Normal 2 10 2 2" xfId="196"/>
    <cellStyle name="Normal 2 10 3" xfId="197"/>
    <cellStyle name="Normal 2 10 3 2" xfId="198"/>
    <cellStyle name="Normal 2 10 4" xfId="199"/>
    <cellStyle name="Normal 2 10 4 2" xfId="200"/>
    <cellStyle name="Normal 2 10 5" xfId="201"/>
    <cellStyle name="Normal 2 10 5 2" xfId="202"/>
    <cellStyle name="Normal 2 10 6" xfId="203"/>
    <cellStyle name="Normal 2 10 6 2" xfId="204"/>
    <cellStyle name="Normal 2 10 7" xfId="205"/>
    <cellStyle name="Normal 2 10 7 2" xfId="206"/>
    <cellStyle name="Normal 2 10 8" xfId="207"/>
    <cellStyle name="Normal 2 10 8 2" xfId="208"/>
    <cellStyle name="Normal 2 10 9" xfId="209"/>
    <cellStyle name="Normal 2 11" xfId="210"/>
    <cellStyle name="Normal 2 11 10" xfId="211"/>
    <cellStyle name="Normal 2 11 11" xfId="212"/>
    <cellStyle name="Normal 2 11 2" xfId="213"/>
    <cellStyle name="Normal 2 11 2 2" xfId="214"/>
    <cellStyle name="Normal 2 11 3" xfId="215"/>
    <cellStyle name="Normal 2 11 3 2" xfId="216"/>
    <cellStyle name="Normal 2 11 4" xfId="217"/>
    <cellStyle name="Normal 2 11 4 2" xfId="218"/>
    <cellStyle name="Normal 2 11 5" xfId="219"/>
    <cellStyle name="Normal 2 11 5 2" xfId="220"/>
    <cellStyle name="Normal 2 11 6" xfId="221"/>
    <cellStyle name="Normal 2 11 6 2" xfId="222"/>
    <cellStyle name="Normal 2 11 7" xfId="223"/>
    <cellStyle name="Normal 2 11 7 2" xfId="224"/>
    <cellStyle name="Normal 2 11 8" xfId="225"/>
    <cellStyle name="Normal 2 11 8 2" xfId="226"/>
    <cellStyle name="Normal 2 11 9" xfId="227"/>
    <cellStyle name="Normal 2 12" xfId="228"/>
    <cellStyle name="Normal 2 13" xfId="229"/>
    <cellStyle name="Normal 2 14" xfId="230"/>
    <cellStyle name="Normal 2 15" xfId="231"/>
    <cellStyle name="Normal 2 16" xfId="232"/>
    <cellStyle name="Normal 2 17" xfId="233"/>
    <cellStyle name="Normal 2 17 2" xfId="234"/>
    <cellStyle name="Normal 2 17 3" xfId="235"/>
    <cellStyle name="Normal 2 2" xfId="236"/>
    <cellStyle name="Normal 2 2 10" xfId="237"/>
    <cellStyle name="Normal 2 2 10 2" xfId="238"/>
    <cellStyle name="Normal 2 2 11" xfId="239"/>
    <cellStyle name="Normal 2 2 11 2" xfId="240"/>
    <cellStyle name="Normal 2 2 12" xfId="241"/>
    <cellStyle name="Normal 2 2 12 2" xfId="242"/>
    <cellStyle name="Normal 2 2 12 2 2" xfId="243"/>
    <cellStyle name="Normal 2 2 12 2 3" xfId="244"/>
    <cellStyle name="Normal 2 2 12 2 4" xfId="245"/>
    <cellStyle name="Normal 2 2 12 3" xfId="246"/>
    <cellStyle name="Normal 2 2 12 4" xfId="247"/>
    <cellStyle name="Normal 2 2 13" xfId="248"/>
    <cellStyle name="Normal 2 2 13 2" xfId="249"/>
    <cellStyle name="Normal 2 2 13 2 2" xfId="250"/>
    <cellStyle name="Normal 2 2 13 2 3" xfId="251"/>
    <cellStyle name="Normal 2 2 13 2 4" xfId="252"/>
    <cellStyle name="Normal 2 2 13 3" xfId="253"/>
    <cellStyle name="Normal 2 2 13 4" xfId="254"/>
    <cellStyle name="Normal 2 2 14" xfId="255"/>
    <cellStyle name="Normal 2 2 14 2" xfId="256"/>
    <cellStyle name="Normal 2 2 15" xfId="257"/>
    <cellStyle name="Normal 2 2 15 2" xfId="258"/>
    <cellStyle name="Normal 2 2 16" xfId="259"/>
    <cellStyle name="Normal 2 2 16 2" xfId="260"/>
    <cellStyle name="Normal 2 2 16 3" xfId="261"/>
    <cellStyle name="Normal 2 2 17" xfId="262"/>
    <cellStyle name="Normal 2 2 18" xfId="263"/>
    <cellStyle name="Normal 2 2 19" xfId="264"/>
    <cellStyle name="Normal 2 2 2" xfId="265"/>
    <cellStyle name="Normal 2 2 2 2" xfId="266"/>
    <cellStyle name="Normal 2 2 2 2 2" xfId="267"/>
    <cellStyle name="Normal 2 2 2 2 3" xfId="268"/>
    <cellStyle name="Normal 2 2 2 2 3 2" xfId="269"/>
    <cellStyle name="Normal 2 2 2 2 3 3" xfId="270"/>
    <cellStyle name="Normal 2 2 2 3" xfId="271"/>
    <cellStyle name="Normal 2 2 2 3 2" xfId="272"/>
    <cellStyle name="Normal 2 2 2 3 3" xfId="273"/>
    <cellStyle name="Normal 2 2 2 3 4" xfId="274"/>
    <cellStyle name="Normal 2 2 2 4" xfId="275"/>
    <cellStyle name="Normal 2 2 2 4 2" xfId="276"/>
    <cellStyle name="Normal 2 2 2 5" xfId="277"/>
    <cellStyle name="Normal 2 2 2 5 2" xfId="278"/>
    <cellStyle name="Normal 2 2 2 5 3" xfId="279"/>
    <cellStyle name="Normal 2 2 2 5 4" xfId="280"/>
    <cellStyle name="Normal 2 2 2 6" xfId="281"/>
    <cellStyle name="Normal 2 2 2 6 2" xfId="282"/>
    <cellStyle name="Normal 2 2 2 7" xfId="283"/>
    <cellStyle name="Normal 2 2 2 7 2" xfId="284"/>
    <cellStyle name="Normal 2 2 2 7 3" xfId="285"/>
    <cellStyle name="Normal 2 2 2 8" xfId="286"/>
    <cellStyle name="Normal 2 2 20" xfId="287"/>
    <cellStyle name="Normal 2 2 21" xfId="288"/>
    <cellStyle name="Normal 2 2 22" xfId="289"/>
    <cellStyle name="Normal 2 2 3" xfId="290"/>
    <cellStyle name="Normal 2 2 3 2" xfId="291"/>
    <cellStyle name="Normal 2 2 4" xfId="292"/>
    <cellStyle name="Normal 2 2 4 2" xfId="293"/>
    <cellStyle name="Normal 2 2 5" xfId="294"/>
    <cellStyle name="Normal 2 2 5 2" xfId="295"/>
    <cellStyle name="Normal 2 2 6" xfId="296"/>
    <cellStyle name="Normal 2 2 6 2" xfId="297"/>
    <cellStyle name="Normal 2 2 7" xfId="298"/>
    <cellStyle name="Normal 2 2 7 2" xfId="299"/>
    <cellStyle name="Normal 2 2 8" xfId="300"/>
    <cellStyle name="Normal 2 2 8 2" xfId="301"/>
    <cellStyle name="Normal 2 2 9" xfId="302"/>
    <cellStyle name="Normal 2 2 9 2" xfId="303"/>
    <cellStyle name="Normal 2 3" xfId="304"/>
    <cellStyle name="Normal 2 3 10" xfId="305"/>
    <cellStyle name="Normal 2 3 11" xfId="306"/>
    <cellStyle name="Normal 2 3 12" xfId="307"/>
    <cellStyle name="Normal 2 3 13" xfId="308"/>
    <cellStyle name="Normal 2 3 14" xfId="309"/>
    <cellStyle name="Normal 2 3 15" xfId="310"/>
    <cellStyle name="Normal 2 3 2" xfId="311"/>
    <cellStyle name="Normal 2 3 2 2" xfId="312"/>
    <cellStyle name="Normal 2 3 2 2 2" xfId="313"/>
    <cellStyle name="Normal 2 3 2 2 3" xfId="314"/>
    <cellStyle name="Normal 2 3 2 3" xfId="315"/>
    <cellStyle name="Normal 2 3 2 4" xfId="316"/>
    <cellStyle name="Normal 2 3 2 5" xfId="317"/>
    <cellStyle name="Normal 2 3 3" xfId="318"/>
    <cellStyle name="Normal 2 3 3 2" xfId="319"/>
    <cellStyle name="Normal 2 3 3 3" xfId="320"/>
    <cellStyle name="Normal 2 3 4" xfId="321"/>
    <cellStyle name="Normal 2 3 5" xfId="322"/>
    <cellStyle name="Normal 2 3 6" xfId="323"/>
    <cellStyle name="Normal 2 3 7" xfId="324"/>
    <cellStyle name="Normal 2 3 8" xfId="325"/>
    <cellStyle name="Normal 2 3 9" xfId="326"/>
    <cellStyle name="Normal 2 4" xfId="327"/>
    <cellStyle name="Normal 2 4 10" xfId="328"/>
    <cellStyle name="Normal 2 4 11" xfId="329"/>
    <cellStyle name="Normal 2 4 12" xfId="330"/>
    <cellStyle name="Normal 2 4 12 2" xfId="331"/>
    <cellStyle name="Normal 2 4 12 3" xfId="332"/>
    <cellStyle name="Normal 2 4 13" xfId="333"/>
    <cellStyle name="Normal 2 4 13 2" xfId="334"/>
    <cellStyle name="Normal 2 4 13 3" xfId="335"/>
    <cellStyle name="Normal 2 4 2" xfId="336"/>
    <cellStyle name="Normal 2 4 2 2" xfId="337"/>
    <cellStyle name="Normal 2 4 2 2 2" xfId="338"/>
    <cellStyle name="Normal 2 4 2 2 3" xfId="339"/>
    <cellStyle name="Normal 2 4 2 3" xfId="340"/>
    <cellStyle name="Normal 2 4 2 4" xfId="341"/>
    <cellStyle name="Normal 2 4 2 5" xfId="342"/>
    <cellStyle name="Normal 2 4 3" xfId="343"/>
    <cellStyle name="Normal 2 4 3 2" xfId="344"/>
    <cellStyle name="Normal 2 4 3 3" xfId="345"/>
    <cellStyle name="Normal 2 4 4" xfId="346"/>
    <cellStyle name="Normal 2 4 5" xfId="347"/>
    <cellStyle name="Normal 2 4 6" xfId="348"/>
    <cellStyle name="Normal 2 4 7" xfId="349"/>
    <cellStyle name="Normal 2 4 8" xfId="350"/>
    <cellStyle name="Normal 2 4 9" xfId="351"/>
    <cellStyle name="Normal 2 5" xfId="352"/>
    <cellStyle name="Normal 2 5 10" xfId="353"/>
    <cellStyle name="Normal 2 5 11" xfId="354"/>
    <cellStyle name="Normal 2 5 12" xfId="355"/>
    <cellStyle name="Normal 2 5 12 2" xfId="356"/>
    <cellStyle name="Normal 2 5 12 3" xfId="357"/>
    <cellStyle name="Normal 2 5 2" xfId="358"/>
    <cellStyle name="Normal 2 5 2 2" xfId="359"/>
    <cellStyle name="Normal 2 5 3" xfId="360"/>
    <cellStyle name="Normal 2 5 3 2" xfId="361"/>
    <cellStyle name="Normal 2 5 4" xfId="362"/>
    <cellStyle name="Normal 2 5 5" xfId="363"/>
    <cellStyle name="Normal 2 5 6" xfId="364"/>
    <cellStyle name="Normal 2 5 7" xfId="365"/>
    <cellStyle name="Normal 2 5 8" xfId="366"/>
    <cellStyle name="Normal 2 5 9" xfId="367"/>
    <cellStyle name="Normal 2 6" xfId="368"/>
    <cellStyle name="Normal 2 6 10" xfId="369"/>
    <cellStyle name="Normal 2 6 11" xfId="370"/>
    <cellStyle name="Normal 2 6 12" xfId="371"/>
    <cellStyle name="Normal 2 6 2" xfId="372"/>
    <cellStyle name="Normal 2 6 2 2" xfId="373"/>
    <cellStyle name="Normal 2 6 3" xfId="374"/>
    <cellStyle name="Normal 2 6 3 2" xfId="375"/>
    <cellStyle name="Normal 2 6 4" xfId="376"/>
    <cellStyle name="Normal 2 6 5" xfId="377"/>
    <cellStyle name="Normal 2 6 6" xfId="378"/>
    <cellStyle name="Normal 2 6 7" xfId="379"/>
    <cellStyle name="Normal 2 6 8" xfId="380"/>
    <cellStyle name="Normal 2 6 9" xfId="381"/>
    <cellStyle name="Normal 2 7" xfId="382"/>
    <cellStyle name="Normal 2 7 10" xfId="383"/>
    <cellStyle name="Normal 2 7 11" xfId="384"/>
    <cellStyle name="Normal 2 7 2" xfId="385"/>
    <cellStyle name="Normal 2 7 2 2" xfId="386"/>
    <cellStyle name="Normal 2 7 2 3" xfId="387"/>
    <cellStyle name="Normal 2 7 3" xfId="388"/>
    <cellStyle name="Normal 2 7 3 2" xfId="389"/>
    <cellStyle name="Normal 2 7 4" xfId="390"/>
    <cellStyle name="Normal 2 7 4 2" xfId="391"/>
    <cellStyle name="Normal 2 7 5" xfId="392"/>
    <cellStyle name="Normal 2 7 5 2" xfId="393"/>
    <cellStyle name="Normal 2 7 6" xfId="394"/>
    <cellStyle name="Normal 2 7 6 2" xfId="395"/>
    <cellStyle name="Normal 2 7 7" xfId="396"/>
    <cellStyle name="Normal 2 7 7 2" xfId="397"/>
    <cellStyle name="Normal 2 7 8" xfId="398"/>
    <cellStyle name="Normal 2 7 8 2" xfId="399"/>
    <cellStyle name="Normal 2 7 9" xfId="400"/>
    <cellStyle name="Normal 2 8" xfId="401"/>
    <cellStyle name="Normal 2 8 10" xfId="402"/>
    <cellStyle name="Normal 2 8 11" xfId="403"/>
    <cellStyle name="Normal 2 8 2" xfId="404"/>
    <cellStyle name="Normal 2 8 2 2" xfId="405"/>
    <cellStyle name="Normal 2 8 3" xfId="406"/>
    <cellStyle name="Normal 2 8 3 2" xfId="407"/>
    <cellStyle name="Normal 2 8 4" xfId="408"/>
    <cellStyle name="Normal 2 8 4 2" xfId="409"/>
    <cellStyle name="Normal 2 8 5" xfId="410"/>
    <cellStyle name="Normal 2 8 5 2" xfId="411"/>
    <cellStyle name="Normal 2 8 6" xfId="412"/>
    <cellStyle name="Normal 2 8 6 2" xfId="413"/>
    <cellStyle name="Normal 2 8 7" xfId="414"/>
    <cellStyle name="Normal 2 8 7 2" xfId="415"/>
    <cellStyle name="Normal 2 8 8" xfId="416"/>
    <cellStyle name="Normal 2 8 8 2" xfId="417"/>
    <cellStyle name="Normal 2 8 9" xfId="418"/>
    <cellStyle name="Normal 2 9" xfId="419"/>
    <cellStyle name="Normal 2 9 10" xfId="420"/>
    <cellStyle name="Normal 2 9 11" xfId="421"/>
    <cellStyle name="Normal 2 9 2" xfId="422"/>
    <cellStyle name="Normal 2 9 2 2" xfId="423"/>
    <cellStyle name="Normal 2 9 3" xfId="424"/>
    <cellStyle name="Normal 2 9 3 2" xfId="425"/>
    <cellStyle name="Normal 2 9 4" xfId="426"/>
    <cellStyle name="Normal 2 9 4 2" xfId="427"/>
    <cellStyle name="Normal 2 9 5" xfId="428"/>
    <cellStyle name="Normal 2 9 5 2" xfId="429"/>
    <cellStyle name="Normal 2 9 6" xfId="430"/>
    <cellStyle name="Normal 2 9 6 2" xfId="431"/>
    <cellStyle name="Normal 2 9 7" xfId="432"/>
    <cellStyle name="Normal 2 9 7 2" xfId="433"/>
    <cellStyle name="Normal 2 9 8" xfId="434"/>
    <cellStyle name="Normal 2 9 8 2" xfId="435"/>
    <cellStyle name="Normal 2 9 9" xfId="436"/>
    <cellStyle name="Normal 20" xfId="437"/>
    <cellStyle name="Normal 20 2" xfId="438"/>
    <cellStyle name="Normal 20 3" xfId="439"/>
    <cellStyle name="Normal 21" xfId="440"/>
    <cellStyle name="Normal 21 2" xfId="441"/>
    <cellStyle name="Normal 21 2 2" xfId="442"/>
    <cellStyle name="Normal 21 2 3" xfId="443"/>
    <cellStyle name="Normal 21 3" xfId="444"/>
    <cellStyle name="Normal 21 4" xfId="445"/>
    <cellStyle name="Normal 21 5" xfId="446"/>
    <cellStyle name="Normal 22" xfId="447"/>
    <cellStyle name="Normal 22 2" xfId="448"/>
    <cellStyle name="Normal 22 3" xfId="449"/>
    <cellStyle name="Normal 23" xfId="450"/>
    <cellStyle name="Normal 23 2" xfId="451"/>
    <cellStyle name="Normal 23 3" xfId="452"/>
    <cellStyle name="Normal 24" xfId="453"/>
    <cellStyle name="Normal 24 2" xfId="454"/>
    <cellStyle name="Normal 24 3" xfId="455"/>
    <cellStyle name="Normal 25" xfId="456"/>
    <cellStyle name="Normal 25 2" xfId="457"/>
    <cellStyle name="Normal 25 3" xfId="458"/>
    <cellStyle name="Normal 26" xfId="459"/>
    <cellStyle name="Normal 27" xfId="460"/>
    <cellStyle name="Normal 3" xfId="461"/>
    <cellStyle name="Normal 3 10" xfId="462"/>
    <cellStyle name="Normal 3 10 2" xfId="463"/>
    <cellStyle name="Normal 3 11" xfId="464"/>
    <cellStyle name="Normal 3 12" xfId="465"/>
    <cellStyle name="Normal 3 13" xfId="466"/>
    <cellStyle name="Normal 3 14" xfId="467"/>
    <cellStyle name="Normal 3 15" xfId="468"/>
    <cellStyle name="Normal 3 2" xfId="469"/>
    <cellStyle name="Normal 3 2 2" xfId="470"/>
    <cellStyle name="Normal 3 2 2 2" xfId="471"/>
    <cellStyle name="Normal 3 2 2 3" xfId="472"/>
    <cellStyle name="Normal 3 2 3" xfId="473"/>
    <cellStyle name="Normal 3 2 4" xfId="474"/>
    <cellStyle name="Normal 3 2 5" xfId="475"/>
    <cellStyle name="Normal 3 3" xfId="476"/>
    <cellStyle name="Normal 3 3 2" xfId="477"/>
    <cellStyle name="Normal 3 3 2 2" xfId="478"/>
    <cellStyle name="Normal 3 3 2 3" xfId="479"/>
    <cellStyle name="Normal 3 3 3" xfId="480"/>
    <cellStyle name="Normal 3 3 4" xfId="481"/>
    <cellStyle name="Normal 3 4" xfId="482"/>
    <cellStyle name="Normal 3 5" xfId="483"/>
    <cellStyle name="Normal 3 6" xfId="484"/>
    <cellStyle name="Normal 3 7" xfId="485"/>
    <cellStyle name="Normal 3 7 2" xfId="486"/>
    <cellStyle name="Normal 3 7 3" xfId="487"/>
    <cellStyle name="Normal 3 8" xfId="488"/>
    <cellStyle name="Normal 3 8 2" xfId="489"/>
    <cellStyle name="Normal 3 8 3" xfId="490"/>
    <cellStyle name="Normal 3 9" xfId="491"/>
    <cellStyle name="Normal 3 9 2" xfId="492"/>
    <cellStyle name="Normal 3 9 3" xfId="493"/>
    <cellStyle name="Normal 4" xfId="494"/>
    <cellStyle name="Normal 4 10" xfId="495"/>
    <cellStyle name="Normal 4 11" xfId="496"/>
    <cellStyle name="Normal 4 12" xfId="497"/>
    <cellStyle name="Normal 4 13" xfId="498"/>
    <cellStyle name="Normal 4 2" xfId="499"/>
    <cellStyle name="Normal 4 2 2" xfId="500"/>
    <cellStyle name="Normal 4 2 2 2" xfId="501"/>
    <cellStyle name="Normal 4 2 2 3" xfId="502"/>
    <cellStyle name="Normal 4 2 2 3 2" xfId="503"/>
    <cellStyle name="Normal 4 2 3" xfId="504"/>
    <cellStyle name="Normal 4 2 4" xfId="505"/>
    <cellStyle name="Normal 4 2 5" xfId="506"/>
    <cellStyle name="Normal 4 3" xfId="507"/>
    <cellStyle name="Normal 4 3 2" xfId="508"/>
    <cellStyle name="Normal 4 3 3" xfId="509"/>
    <cellStyle name="Normal 4 4" xfId="510"/>
    <cellStyle name="Normal 4 5" xfId="511"/>
    <cellStyle name="Normal 4 5 2" xfId="512"/>
    <cellStyle name="Normal 4 5 3" xfId="513"/>
    <cellStyle name="Normal 4 6" xfId="514"/>
    <cellStyle name="Normal 4 6 2" xfId="515"/>
    <cellStyle name="Normal 4 6 3" xfId="516"/>
    <cellStyle name="Normal 4 7" xfId="517"/>
    <cellStyle name="Normal 4 8" xfId="518"/>
    <cellStyle name="Normal 4 9" xfId="519"/>
    <cellStyle name="Normal 5" xfId="520"/>
    <cellStyle name="Normal 5 2" xfId="521"/>
    <cellStyle name="Normal 5 3" xfId="522"/>
    <cellStyle name="Normal 5 3 2" xfId="523"/>
    <cellStyle name="Normal 5 3 3" xfId="524"/>
    <cellStyle name="Normal 5 4" xfId="525"/>
    <cellStyle name="Normal 5 5" xfId="526"/>
    <cellStyle name="Normal 5 5 2" xfId="527"/>
    <cellStyle name="Normal 5 5 3" xfId="528"/>
    <cellStyle name="Normal 5 6" xfId="529"/>
    <cellStyle name="Normal 6" xfId="530"/>
    <cellStyle name="Normal 6 2" xfId="531"/>
    <cellStyle name="Normal 6 3" xfId="532"/>
    <cellStyle name="Normal 6 4" xfId="533"/>
    <cellStyle name="Normal 6 5" xfId="534"/>
    <cellStyle name="Normal 7" xfId="535"/>
    <cellStyle name="Normal 7 2" xfId="536"/>
    <cellStyle name="Normal 7 2 2" xfId="537"/>
    <cellStyle name="Normal 7 2 2 2" xfId="538"/>
    <cellStyle name="Normal 7 2 2 3" xfId="539"/>
    <cellStyle name="Normal 7 2 3" xfId="540"/>
    <cellStyle name="Normal 7 2 4" xfId="541"/>
    <cellStyle name="Normal 7 2 4 2" xfId="542"/>
    <cellStyle name="Normal 7 2 4 3" xfId="543"/>
    <cellStyle name="Normal 7 2 5" xfId="544"/>
    <cellStyle name="Normal 7 3" xfId="545"/>
    <cellStyle name="Normal 7 4" xfId="546"/>
    <cellStyle name="Normal 7 4 2" xfId="547"/>
    <cellStyle name="Normal 7 4 3" xfId="548"/>
    <cellStyle name="Normal 7 5" xfId="549"/>
    <cellStyle name="Normal 7 5 2" xfId="550"/>
    <cellStyle name="Normal 7 5 3" xfId="551"/>
    <cellStyle name="Normal 7 5 4" xfId="552"/>
    <cellStyle name="Normal 7 5 5" xfId="553"/>
    <cellStyle name="Normal 7 6" xfId="554"/>
    <cellStyle name="Normal 7 7" xfId="555"/>
    <cellStyle name="Normal 8" xfId="556"/>
    <cellStyle name="Normal 8 2" xfId="557"/>
    <cellStyle name="Normal 8 3" xfId="558"/>
    <cellStyle name="Normal 9" xfId="559"/>
    <cellStyle name="Normal 9 2" xfId="560"/>
    <cellStyle name="Normal 9 2 2" xfId="561"/>
    <cellStyle name="Normal 9 2 3" xfId="562"/>
    <cellStyle name="Normal 9 3" xfId="563"/>
    <cellStyle name="Normal 9 4" xfId="564"/>
    <cellStyle name="Normal 9 5" xfId="565"/>
    <cellStyle name="Normal 9 5 2" xfId="566"/>
    <cellStyle name="Normal 9 5 3" xfId="567"/>
    <cellStyle name="Normal 9 6" xfId="568"/>
    <cellStyle name="Normal 9 6 2" xfId="569"/>
    <cellStyle name="Normal 9 6 3" xfId="570"/>
    <cellStyle name="Normal_debt" xfId="571"/>
    <cellStyle name="Normal_lpform" xfId="572"/>
    <cellStyle name="Note" xfId="573"/>
    <cellStyle name="Output" xfId="574"/>
    <cellStyle name="Percent" xfId="575"/>
    <cellStyle name="Title" xfId="576"/>
    <cellStyle name="Total" xfId="577"/>
    <cellStyle name="Warning Text" xfId="578"/>
  </cellStyles>
  <dxfs count="73">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93"/>
  <sheetViews>
    <sheetView zoomScale="90" zoomScaleNormal="90" zoomScalePageLayoutView="0" workbookViewId="0" topLeftCell="A1">
      <selection activeCell="H17" sqref="H17"/>
    </sheetView>
  </sheetViews>
  <sheetFormatPr defaultColWidth="8.796875" defaultRowHeight="15"/>
  <cols>
    <col min="1" max="1" width="15.69921875" style="5" customWidth="1"/>
    <col min="2" max="2" width="20.69921875" style="5" customWidth="1"/>
    <col min="3" max="3" width="9.69921875" style="5" customWidth="1"/>
    <col min="4" max="4" width="15.09765625" style="5" customWidth="1"/>
    <col min="5" max="5" width="15.69921875" style="5" customWidth="1"/>
    <col min="6" max="6" width="1.8984375" style="5" customWidth="1"/>
    <col min="7" max="7" width="18.69921875" style="5" customWidth="1"/>
    <col min="8" max="16384" width="8.8984375" style="5" customWidth="1"/>
  </cols>
  <sheetData>
    <row r="1" spans="1:5" ht="15.75">
      <c r="A1" s="3" t="s">
        <v>179</v>
      </c>
      <c r="B1" s="4"/>
      <c r="C1" s="4"/>
      <c r="D1" s="4"/>
      <c r="E1" s="4"/>
    </row>
    <row r="2" spans="1:5" ht="15.75">
      <c r="A2" s="6" t="s">
        <v>192</v>
      </c>
      <c r="B2" s="4"/>
      <c r="C2" s="4"/>
      <c r="D2" s="531" t="s">
        <v>310</v>
      </c>
      <c r="E2" s="516"/>
    </row>
    <row r="3" spans="1:5" ht="15.75">
      <c r="A3" s="6" t="s">
        <v>193</v>
      </c>
      <c r="B3" s="4"/>
      <c r="C3" s="4"/>
      <c r="D3" s="532" t="s">
        <v>311</v>
      </c>
      <c r="E3" s="516"/>
    </row>
    <row r="4" spans="1:5" ht="15.75">
      <c r="A4" s="7"/>
      <c r="B4" s="4"/>
      <c r="C4" s="4"/>
      <c r="D4" s="8"/>
      <c r="E4" s="4"/>
    </row>
    <row r="5" spans="1:5" ht="15.75">
      <c r="A5" s="6" t="s">
        <v>148</v>
      </c>
      <c r="B5" s="4"/>
      <c r="C5" s="9">
        <v>2015</v>
      </c>
      <c r="D5" s="8"/>
      <c r="E5" s="4"/>
    </row>
    <row r="6" spans="1:5" ht="15.75">
      <c r="A6" s="4"/>
      <c r="B6" s="4"/>
      <c r="C6" s="4"/>
      <c r="D6" s="4"/>
      <c r="E6" s="4"/>
    </row>
    <row r="7" spans="1:5" ht="15.75">
      <c r="A7" s="10" t="s">
        <v>220</v>
      </c>
      <c r="B7" s="11"/>
      <c r="C7" s="11"/>
      <c r="D7" s="11"/>
      <c r="E7" s="11"/>
    </row>
    <row r="8" spans="1:8" ht="15.75" customHeight="1">
      <c r="A8" s="10" t="s">
        <v>219</v>
      </c>
      <c r="B8" s="11"/>
      <c r="C8" s="11"/>
      <c r="D8" s="11"/>
      <c r="E8" s="11"/>
      <c r="F8" s="384"/>
      <c r="G8" s="568" t="s">
        <v>288</v>
      </c>
      <c r="H8" s="569"/>
    </row>
    <row r="9" spans="1:8" ht="15.75">
      <c r="A9" s="12"/>
      <c r="B9" s="11"/>
      <c r="C9" s="11"/>
      <c r="D9" s="11"/>
      <c r="E9" s="11"/>
      <c r="F9" s="384"/>
      <c r="G9" s="570"/>
      <c r="H9" s="569"/>
    </row>
    <row r="10" spans="1:8" ht="15.75">
      <c r="A10" s="566" t="s">
        <v>189</v>
      </c>
      <c r="B10" s="567"/>
      <c r="C10" s="567"/>
      <c r="D10" s="567"/>
      <c r="E10" s="567"/>
      <c r="F10" s="384"/>
      <c r="G10" s="570"/>
      <c r="H10" s="569"/>
    </row>
    <row r="11" spans="1:8" ht="15.75">
      <c r="A11" s="13"/>
      <c r="B11" s="13"/>
      <c r="C11" s="13"/>
      <c r="D11" s="13"/>
      <c r="E11" s="13"/>
      <c r="F11" s="384"/>
      <c r="G11" s="570"/>
      <c r="H11" s="569"/>
    </row>
    <row r="12" spans="1:8" ht="15.75">
      <c r="A12" s="14" t="s">
        <v>190</v>
      </c>
      <c r="B12" s="15"/>
      <c r="C12" s="4"/>
      <c r="D12" s="4"/>
      <c r="E12" s="4"/>
      <c r="F12" s="384"/>
      <c r="G12" s="570"/>
      <c r="H12" s="569"/>
    </row>
    <row r="13" spans="1:8" ht="15.75">
      <c r="A13" s="16" t="str">
        <f>CONCATENATE("the ",C5-1," Budget, Certificate Page:")</f>
        <v>the 2014 Budget, Certificate Page:</v>
      </c>
      <c r="B13" s="17"/>
      <c r="C13" s="18"/>
      <c r="D13" s="4"/>
      <c r="E13" s="4"/>
      <c r="F13" s="384"/>
      <c r="G13" s="570"/>
      <c r="H13" s="569"/>
    </row>
    <row r="14" spans="1:8" ht="15.75">
      <c r="A14" s="16" t="s">
        <v>222</v>
      </c>
      <c r="B14" s="17"/>
      <c r="C14" s="18"/>
      <c r="D14" s="4"/>
      <c r="E14" s="4"/>
      <c r="F14" s="384"/>
      <c r="G14" s="384"/>
      <c r="H14" s="4"/>
    </row>
    <row r="15" spans="1:8" ht="15.75">
      <c r="A15" s="19"/>
      <c r="B15" s="4"/>
      <c r="C15" s="4"/>
      <c r="D15" s="20">
        <f>C5-1</f>
        <v>2014</v>
      </c>
      <c r="E15" s="21">
        <f>$C$5-2</f>
        <v>2013</v>
      </c>
      <c r="G15" s="397" t="s">
        <v>259</v>
      </c>
      <c r="H15" s="115" t="s">
        <v>39</v>
      </c>
    </row>
    <row r="16" spans="1:8" ht="15.75">
      <c r="A16" s="7" t="s">
        <v>212</v>
      </c>
      <c r="B16" s="4"/>
      <c r="C16" s="22" t="s">
        <v>213</v>
      </c>
      <c r="D16" s="23" t="s">
        <v>221</v>
      </c>
      <c r="E16" s="24" t="s">
        <v>211</v>
      </c>
      <c r="G16" s="398" t="str">
        <f>CONCATENATE("",E15," Ad Valorem Tax")</f>
        <v>2013 Ad Valorem Tax</v>
      </c>
      <c r="H16" s="492">
        <v>0.0974</v>
      </c>
    </row>
    <row r="17" spans="1:7" ht="15.75">
      <c r="A17" s="4"/>
      <c r="B17" s="25" t="s">
        <v>214</v>
      </c>
      <c r="C17" s="115" t="s">
        <v>133</v>
      </c>
      <c r="D17" s="27">
        <v>106239</v>
      </c>
      <c r="E17" s="28">
        <v>45031</v>
      </c>
      <c r="G17" s="396">
        <f>IF(H16&gt;0,ROUND(E17-(E17*H$16),0),0)</f>
        <v>40645</v>
      </c>
    </row>
    <row r="18" spans="1:7" ht="15.75">
      <c r="A18" s="4"/>
      <c r="B18" s="25" t="s">
        <v>312</v>
      </c>
      <c r="C18" s="115" t="s">
        <v>149</v>
      </c>
      <c r="D18" s="27"/>
      <c r="E18" s="28"/>
      <c r="G18" s="396">
        <f>IF(H16&gt;0,ROUND(E18-(E18*H16),0),0)</f>
        <v>0</v>
      </c>
    </row>
    <row r="19" spans="1:7" ht="15.75">
      <c r="A19" s="4"/>
      <c r="B19" s="25" t="s">
        <v>313</v>
      </c>
      <c r="C19" s="115" t="s">
        <v>149</v>
      </c>
      <c r="D19" s="27">
        <v>21460</v>
      </c>
      <c r="E19" s="28"/>
      <c r="G19" s="396">
        <f>IF(H$16&gt;0,ROUND(E19-(E19*H$16),0),0)</f>
        <v>0</v>
      </c>
    </row>
    <row r="20" spans="1:5" ht="15.75">
      <c r="A20" s="7" t="s">
        <v>188</v>
      </c>
      <c r="B20" s="4"/>
      <c r="C20" s="4"/>
      <c r="D20" s="29"/>
      <c r="E20" s="30"/>
    </row>
    <row r="21" spans="1:7" ht="15.75">
      <c r="A21" s="4"/>
      <c r="B21" s="475"/>
      <c r="C21" s="314"/>
      <c r="D21" s="28"/>
      <c r="E21" s="28"/>
      <c r="G21" s="396">
        <f aca="true" t="shared" si="0" ref="G21:G30">IF(H$16&gt;0,ROUND(E21-(E21*H$16),0),0)</f>
        <v>0</v>
      </c>
    </row>
    <row r="22" spans="1:7" ht="15.75">
      <c r="A22" s="4"/>
      <c r="B22" s="31"/>
      <c r="C22" s="315"/>
      <c r="D22" s="28"/>
      <c r="E22" s="28"/>
      <c r="G22" s="396">
        <f t="shared" si="0"/>
        <v>0</v>
      </c>
    </row>
    <row r="23" spans="1:7" ht="15.75">
      <c r="A23" s="4"/>
      <c r="B23" s="31"/>
      <c r="C23" s="315"/>
      <c r="D23" s="28"/>
      <c r="E23" s="28"/>
      <c r="G23" s="396">
        <f t="shared" si="0"/>
        <v>0</v>
      </c>
    </row>
    <row r="24" spans="1:7" ht="15.75">
      <c r="A24" s="4"/>
      <c r="B24" s="31"/>
      <c r="C24" s="315"/>
      <c r="D24" s="28"/>
      <c r="E24" s="28"/>
      <c r="G24" s="396">
        <f t="shared" si="0"/>
        <v>0</v>
      </c>
    </row>
    <row r="25" spans="1:7" ht="15.75">
      <c r="A25" s="4"/>
      <c r="B25" s="31"/>
      <c r="C25" s="315"/>
      <c r="D25" s="28"/>
      <c r="E25" s="28"/>
      <c r="G25" s="396">
        <f t="shared" si="0"/>
        <v>0</v>
      </c>
    </row>
    <row r="26" spans="1:7" ht="15.75">
      <c r="A26" s="4"/>
      <c r="B26" s="31"/>
      <c r="C26" s="315"/>
      <c r="D26" s="28"/>
      <c r="E26" s="28"/>
      <c r="G26" s="396">
        <f t="shared" si="0"/>
        <v>0</v>
      </c>
    </row>
    <row r="27" spans="1:7" ht="15.75">
      <c r="A27" s="4"/>
      <c r="B27" s="31"/>
      <c r="C27" s="315"/>
      <c r="D27" s="28"/>
      <c r="E27" s="28"/>
      <c r="G27" s="396">
        <f t="shared" si="0"/>
        <v>0</v>
      </c>
    </row>
    <row r="28" spans="1:7" ht="15.75">
      <c r="A28" s="4"/>
      <c r="B28" s="31"/>
      <c r="C28" s="315"/>
      <c r="D28" s="28"/>
      <c r="E28" s="28"/>
      <c r="G28" s="396">
        <f t="shared" si="0"/>
        <v>0</v>
      </c>
    </row>
    <row r="29" spans="1:7" ht="15.75">
      <c r="A29" s="4"/>
      <c r="B29" s="31"/>
      <c r="C29" s="315"/>
      <c r="D29" s="28"/>
      <c r="E29" s="28"/>
      <c r="G29" s="396">
        <f t="shared" si="0"/>
        <v>0</v>
      </c>
    </row>
    <row r="30" spans="1:7" ht="15.75">
      <c r="A30" s="4"/>
      <c r="B30" s="31"/>
      <c r="C30" s="315"/>
      <c r="D30" s="28"/>
      <c r="E30" s="28"/>
      <c r="G30" s="396">
        <f t="shared" si="0"/>
        <v>0</v>
      </c>
    </row>
    <row r="31" spans="1:5" ht="15.75">
      <c r="A31" s="32" t="str">
        <f>CONCATENATE("Total Tax Levy Funds for ",C5-1," Budgeted Year")</f>
        <v>Total Tax Levy Funds for 2014 Budgeted Year</v>
      </c>
      <c r="B31" s="33"/>
      <c r="C31" s="33"/>
      <c r="D31" s="34"/>
      <c r="E31" s="35">
        <f>SUM(E17:E30)</f>
        <v>45031</v>
      </c>
    </row>
    <row r="32" spans="1:5" ht="15.75">
      <c r="A32" s="7"/>
      <c r="B32" s="4"/>
      <c r="C32" s="4"/>
      <c r="D32" s="36"/>
      <c r="E32" s="30"/>
    </row>
    <row r="33" spans="1:5" ht="15.75">
      <c r="A33" s="7" t="s">
        <v>150</v>
      </c>
      <c r="B33" s="4"/>
      <c r="C33" s="4"/>
      <c r="D33" s="4"/>
      <c r="E33" s="4"/>
    </row>
    <row r="34" spans="1:5" ht="15.75">
      <c r="A34" s="4"/>
      <c r="B34" s="37" t="s">
        <v>121</v>
      </c>
      <c r="C34" s="38"/>
      <c r="D34" s="27">
        <v>13075</v>
      </c>
      <c r="E34" s="38"/>
    </row>
    <row r="35" spans="1:5" ht="15.75">
      <c r="A35" s="4"/>
      <c r="B35" s="533" t="s">
        <v>314</v>
      </c>
      <c r="C35" s="38"/>
      <c r="D35" s="27">
        <v>44000</v>
      </c>
      <c r="E35" s="38"/>
    </row>
    <row r="36" spans="1:5" ht="15.75">
      <c r="A36" s="4"/>
      <c r="B36" s="533" t="s">
        <v>315</v>
      </c>
      <c r="C36" s="38"/>
      <c r="D36" s="27">
        <v>141174</v>
      </c>
      <c r="E36" s="38"/>
    </row>
    <row r="37" spans="1:5" ht="15.75">
      <c r="A37" s="4"/>
      <c r="B37" s="533" t="s">
        <v>316</v>
      </c>
      <c r="C37" s="38"/>
      <c r="D37" s="27">
        <v>40982</v>
      </c>
      <c r="E37" s="38"/>
    </row>
    <row r="38" spans="1:5" ht="15.75">
      <c r="A38" s="4"/>
      <c r="B38" s="477"/>
      <c r="C38" s="38"/>
      <c r="D38" s="27"/>
      <c r="E38" s="38"/>
    </row>
    <row r="39" spans="1:5" ht="15.75">
      <c r="A39" s="4"/>
      <c r="B39" s="477"/>
      <c r="C39" s="38"/>
      <c r="D39" s="27"/>
      <c r="E39" s="38"/>
    </row>
    <row r="40" spans="1:5" ht="15.75">
      <c r="A40" s="39"/>
      <c r="B40" s="475"/>
      <c r="C40" s="40"/>
      <c r="D40" s="27"/>
      <c r="E40" s="41"/>
    </row>
    <row r="41" spans="1:5" ht="15.75">
      <c r="A41" s="39"/>
      <c r="B41" s="475"/>
      <c r="C41" s="38"/>
      <c r="D41" s="27"/>
      <c r="E41" s="41"/>
    </row>
    <row r="42" spans="1:5" ht="15.75">
      <c r="A42" s="39"/>
      <c r="B42" s="41"/>
      <c r="C42" s="38"/>
      <c r="D42" s="41"/>
      <c r="E42" s="41"/>
    </row>
    <row r="43" spans="1:5" ht="15.75">
      <c r="A43" s="39" t="s">
        <v>184</v>
      </c>
      <c r="B43" s="38"/>
      <c r="C43" s="38"/>
      <c r="D43" s="38"/>
      <c r="E43" s="41"/>
    </row>
    <row r="44" spans="1:5" ht="15.75">
      <c r="A44" s="42">
        <v>1</v>
      </c>
      <c r="B44" s="475"/>
      <c r="C44" s="38"/>
      <c r="D44" s="27"/>
      <c r="E44" s="41"/>
    </row>
    <row r="45" spans="1:5" ht="15.75">
      <c r="A45" s="42">
        <v>2</v>
      </c>
      <c r="B45" s="475"/>
      <c r="C45" s="38"/>
      <c r="D45" s="27"/>
      <c r="E45" s="41"/>
    </row>
    <row r="46" spans="1:5" ht="15.75">
      <c r="A46" s="42">
        <v>3</v>
      </c>
      <c r="B46" s="475"/>
      <c r="C46" s="38"/>
      <c r="D46" s="27"/>
      <c r="E46" s="41"/>
    </row>
    <row r="47" spans="1:5" ht="15.75">
      <c r="A47" s="42">
        <v>4</v>
      </c>
      <c r="B47" s="475"/>
      <c r="C47" s="38"/>
      <c r="D47" s="27"/>
      <c r="E47" s="41"/>
    </row>
    <row r="48" spans="1:5" ht="15.75">
      <c r="A48" s="32" t="str">
        <f>CONCATENATE("Total Expenditures for ",C5-1," Budgeted Year")</f>
        <v>Total Expenditures for 2014 Budgeted Year</v>
      </c>
      <c r="B48" s="33"/>
      <c r="C48" s="33"/>
      <c r="D48" s="35">
        <f>SUM(D17:D19,D21:D30,D34:D41,D44:D47)</f>
        <v>366930</v>
      </c>
      <c r="E48" s="4"/>
    </row>
    <row r="49" spans="1:5" ht="15.75">
      <c r="A49" s="39"/>
      <c r="B49" s="38"/>
      <c r="C49" s="38"/>
      <c r="D49" s="4"/>
      <c r="E49" s="4"/>
    </row>
    <row r="50" spans="1:5" ht="15.75">
      <c r="A50" s="39" t="s">
        <v>185</v>
      </c>
      <c r="B50" s="38"/>
      <c r="C50" s="38"/>
      <c r="D50" s="38"/>
      <c r="E50" s="4"/>
    </row>
    <row r="51" spans="1:5" ht="15.75">
      <c r="A51" s="42">
        <v>1</v>
      </c>
      <c r="B51" s="534" t="s">
        <v>317</v>
      </c>
      <c r="C51" s="38"/>
      <c r="D51" s="38"/>
      <c r="E51" s="4"/>
    </row>
    <row r="52" spans="1:5" ht="15.75">
      <c r="A52" s="42">
        <v>2</v>
      </c>
      <c r="B52" s="534" t="s">
        <v>318</v>
      </c>
      <c r="C52" s="38"/>
      <c r="D52" s="38"/>
      <c r="E52" s="4"/>
    </row>
    <row r="53" spans="1:5" ht="15.75">
      <c r="A53" s="42">
        <v>3</v>
      </c>
      <c r="B53" s="534" t="s">
        <v>319</v>
      </c>
      <c r="C53" s="38"/>
      <c r="D53" s="38"/>
      <c r="E53" s="4"/>
    </row>
    <row r="54" spans="1:5" ht="15.75">
      <c r="A54" s="42">
        <v>4</v>
      </c>
      <c r="B54" s="475"/>
      <c r="C54" s="38"/>
      <c r="D54" s="38"/>
      <c r="E54" s="4"/>
    </row>
    <row r="55" spans="1:5" ht="15.75">
      <c r="A55" s="42">
        <v>5</v>
      </c>
      <c r="B55" s="475"/>
      <c r="C55" s="38"/>
      <c r="D55" s="38"/>
      <c r="E55" s="4"/>
    </row>
    <row r="56" spans="1:5" ht="15.75">
      <c r="A56" s="39" t="s">
        <v>160</v>
      </c>
      <c r="B56" s="38"/>
      <c r="C56" s="38"/>
      <c r="D56" s="38"/>
      <c r="E56" s="4"/>
    </row>
    <row r="57" spans="1:5" ht="15.75">
      <c r="A57" s="42">
        <v>1</v>
      </c>
      <c r="B57" s="475"/>
      <c r="C57" s="38"/>
      <c r="D57" s="38"/>
      <c r="E57" s="4"/>
    </row>
    <row r="58" spans="1:5" ht="15.75">
      <c r="A58" s="42">
        <v>2</v>
      </c>
      <c r="B58" s="475"/>
      <c r="C58" s="38"/>
      <c r="D58" s="38"/>
      <c r="E58" s="4"/>
    </row>
    <row r="59" spans="1:5" ht="15.75">
      <c r="A59" s="42">
        <v>3</v>
      </c>
      <c r="B59" s="475"/>
      <c r="C59" s="38"/>
      <c r="D59" s="38"/>
      <c r="E59" s="4"/>
    </row>
    <row r="60" spans="1:5" ht="15.75">
      <c r="A60" s="42">
        <v>4</v>
      </c>
      <c r="B60" s="475"/>
      <c r="C60" s="38"/>
      <c r="D60" s="38"/>
      <c r="E60" s="4"/>
    </row>
    <row r="61" spans="1:5" ht="18" customHeight="1">
      <c r="A61" s="42">
        <v>5</v>
      </c>
      <c r="B61" s="475"/>
      <c r="C61" s="4"/>
      <c r="D61" s="4"/>
      <c r="E61" s="4"/>
    </row>
    <row r="62" spans="1:5" ht="15.75">
      <c r="A62" s="4"/>
      <c r="B62" s="4"/>
      <c r="C62" s="4"/>
      <c r="D62" s="43" t="str">
        <f>CONCATENATE("",C5-3," Tax Rate")</f>
        <v>2012 Tax Rate</v>
      </c>
      <c r="E62" s="4"/>
    </row>
    <row r="63" spans="1:5" ht="15.75">
      <c r="A63" s="44" t="str">
        <f>CONCATENATE("From the ",C5-1," Budget, Budget Summary Page")</f>
        <v>From the 2014 Budget, Budget Summary Page</v>
      </c>
      <c r="B63" s="15"/>
      <c r="C63" s="4"/>
      <c r="D63" s="45" t="str">
        <f>CONCATENATE("(",C5-2," Column)")</f>
        <v>(2013 Column)</v>
      </c>
      <c r="E63" s="4"/>
    </row>
    <row r="64" spans="1:5" ht="15.75">
      <c r="A64" s="4"/>
      <c r="B64" s="46" t="str">
        <f>B17</f>
        <v>General</v>
      </c>
      <c r="C64" s="47"/>
      <c r="D64" s="48">
        <v>76.848</v>
      </c>
      <c r="E64" s="4"/>
    </row>
    <row r="65" spans="1:5" ht="15.75">
      <c r="A65" s="4"/>
      <c r="B65" s="46" t="str">
        <f>B18</f>
        <v>G.O. Bond &amp; Interest</v>
      </c>
      <c r="C65" s="47"/>
      <c r="D65" s="48"/>
      <c r="E65" s="4"/>
    </row>
    <row r="66" spans="1:5" ht="15.75">
      <c r="A66" s="4"/>
      <c r="B66" s="46" t="str">
        <f>B19</f>
        <v>G.O. Sewer B &amp; I</v>
      </c>
      <c r="C66" s="26"/>
      <c r="D66" s="48"/>
      <c r="E66" s="4"/>
    </row>
    <row r="67" spans="1:5" ht="15.75">
      <c r="A67" s="4"/>
      <c r="B67" s="46">
        <f aca="true" t="shared" si="1" ref="B67:B76">B21</f>
        <v>0</v>
      </c>
      <c r="C67" s="26"/>
      <c r="D67" s="48"/>
      <c r="E67" s="4"/>
    </row>
    <row r="68" spans="1:5" ht="15.75">
      <c r="A68" s="4"/>
      <c r="B68" s="46">
        <f t="shared" si="1"/>
        <v>0</v>
      </c>
      <c r="C68" s="26"/>
      <c r="D68" s="48"/>
      <c r="E68" s="4"/>
    </row>
    <row r="69" spans="1:5" ht="15.75">
      <c r="A69" s="4"/>
      <c r="B69" s="46">
        <f t="shared" si="1"/>
        <v>0</v>
      </c>
      <c r="C69" s="26"/>
      <c r="D69" s="48"/>
      <c r="E69" s="4"/>
    </row>
    <row r="70" spans="1:5" ht="15.75">
      <c r="A70" s="4"/>
      <c r="B70" s="46">
        <f t="shared" si="1"/>
        <v>0</v>
      </c>
      <c r="C70" s="26"/>
      <c r="D70" s="48"/>
      <c r="E70" s="4"/>
    </row>
    <row r="71" spans="1:5" ht="15.75">
      <c r="A71" s="4"/>
      <c r="B71" s="46">
        <f t="shared" si="1"/>
        <v>0</v>
      </c>
      <c r="C71" s="26"/>
      <c r="D71" s="48"/>
      <c r="E71" s="4"/>
    </row>
    <row r="72" spans="1:5" ht="15.75">
      <c r="A72" s="4"/>
      <c r="B72" s="46">
        <f t="shared" si="1"/>
        <v>0</v>
      </c>
      <c r="C72" s="26"/>
      <c r="D72" s="48"/>
      <c r="E72" s="4"/>
    </row>
    <row r="73" spans="1:5" ht="15.75">
      <c r="A73" s="4"/>
      <c r="B73" s="46">
        <f t="shared" si="1"/>
        <v>0</v>
      </c>
      <c r="C73" s="26"/>
      <c r="D73" s="48"/>
      <c r="E73" s="4"/>
    </row>
    <row r="74" spans="1:5" ht="15.75">
      <c r="A74" s="4"/>
      <c r="B74" s="46">
        <f t="shared" si="1"/>
        <v>0</v>
      </c>
      <c r="C74" s="26"/>
      <c r="D74" s="48"/>
      <c r="E74" s="4"/>
    </row>
    <row r="75" spans="1:5" ht="15.75">
      <c r="A75" s="4"/>
      <c r="B75" s="46">
        <f t="shared" si="1"/>
        <v>0</v>
      </c>
      <c r="C75" s="26"/>
      <c r="D75" s="48"/>
      <c r="E75" s="4"/>
    </row>
    <row r="76" spans="1:5" ht="15.75">
      <c r="A76" s="4"/>
      <c r="B76" s="46">
        <f t="shared" si="1"/>
        <v>0</v>
      </c>
      <c r="C76" s="26"/>
      <c r="D76" s="48"/>
      <c r="E76" s="4"/>
    </row>
    <row r="77" spans="1:5" ht="15.75">
      <c r="A77" s="7" t="s">
        <v>215</v>
      </c>
      <c r="B77" s="4"/>
      <c r="C77" s="4"/>
      <c r="D77" s="49">
        <f>SUM(D64:D76)</f>
        <v>76.848</v>
      </c>
      <c r="E77" s="4"/>
    </row>
    <row r="78" spans="1:5" ht="15.75">
      <c r="A78" s="4"/>
      <c r="B78" s="4"/>
      <c r="C78" s="4"/>
      <c r="D78" s="4"/>
      <c r="E78" s="4"/>
    </row>
    <row r="79" spans="1:5" ht="15.75">
      <c r="A79" s="50" t="str">
        <f>CONCATENATE("Total Tax Levied (",C5-2," budget column)")</f>
        <v>Total Tax Levied (2013 budget column)</v>
      </c>
      <c r="B79" s="51"/>
      <c r="C79" s="33"/>
      <c r="D79" s="52"/>
      <c r="E79" s="28">
        <v>44915</v>
      </c>
    </row>
    <row r="80" spans="1:5" ht="15.75">
      <c r="A80" s="50" t="str">
        <f>CONCATENATE("Assessed Valuation  (",C5-2," budget column)")</f>
        <v>Assessed Valuation  (2013 budget column)</v>
      </c>
      <c r="B80" s="53"/>
      <c r="C80" s="54"/>
      <c r="D80" s="55"/>
      <c r="E80" s="28">
        <v>584467</v>
      </c>
    </row>
    <row r="81" spans="1:5" ht="15.75">
      <c r="A81" s="4"/>
      <c r="B81" s="4"/>
      <c r="C81" s="4"/>
      <c r="D81" s="18"/>
      <c r="E81" s="29"/>
    </row>
    <row r="82" spans="1:5" ht="15.75">
      <c r="A82" s="15" t="s">
        <v>196</v>
      </c>
      <c r="B82" s="15"/>
      <c r="C82" s="56"/>
      <c r="D82" s="57">
        <f>C5-3</f>
        <v>2012</v>
      </c>
      <c r="E82" s="58">
        <f>C5-2</f>
        <v>2013</v>
      </c>
    </row>
    <row r="83" spans="1:5" ht="15.75">
      <c r="A83" s="51" t="s">
        <v>151</v>
      </c>
      <c r="B83" s="51"/>
      <c r="C83" s="59"/>
      <c r="D83" s="27">
        <v>289800</v>
      </c>
      <c r="E83" s="27">
        <v>273300</v>
      </c>
    </row>
    <row r="84" spans="1:5" ht="15.75">
      <c r="A84" s="53" t="s">
        <v>152</v>
      </c>
      <c r="B84" s="53"/>
      <c r="C84" s="60"/>
      <c r="D84" s="27">
        <v>199000</v>
      </c>
      <c r="E84" s="27">
        <v>187000</v>
      </c>
    </row>
    <row r="85" spans="1:5" ht="15.75">
      <c r="A85" s="53" t="s">
        <v>153</v>
      </c>
      <c r="B85" s="53"/>
      <c r="C85" s="60"/>
      <c r="D85" s="27"/>
      <c r="E85" s="27"/>
    </row>
    <row r="86" spans="1:5" ht="15.75">
      <c r="A86" s="53" t="s">
        <v>154</v>
      </c>
      <c r="B86" s="53"/>
      <c r="C86" s="60"/>
      <c r="D86" s="27">
        <v>81673</v>
      </c>
      <c r="E86" s="27">
        <v>78605</v>
      </c>
    </row>
    <row r="93" spans="1:5" s="61" customFormat="1" ht="15.75">
      <c r="A93" s="5"/>
      <c r="B93" s="5"/>
      <c r="C93" s="5"/>
      <c r="D93" s="5"/>
      <c r="E93" s="5"/>
    </row>
  </sheetData>
  <sheetProtection/>
  <mergeCells count="2">
    <mergeCell ref="A10:E10"/>
    <mergeCell ref="G8:H13"/>
  </mergeCells>
  <printOptions/>
  <pageMargins left="0.5" right="0.5" top="1" bottom="0.5" header="0.5" footer="0.25"/>
  <pageSetup blackAndWhite="1" fitToHeight="2" fitToWidth="1" horizontalDpi="600" verticalDpi="600" orientation="portrait" scale="82" r:id="rId1"/>
</worksheet>
</file>

<file path=xl/worksheets/sheet10.xml><?xml version="1.0" encoding="utf-8"?>
<worksheet xmlns="http://schemas.openxmlformats.org/spreadsheetml/2006/main" xmlns:r="http://schemas.openxmlformats.org/officeDocument/2006/relationships">
  <dimension ref="B1:K144"/>
  <sheetViews>
    <sheetView zoomScalePageLayoutView="0" workbookViewId="0" topLeftCell="A108">
      <selection activeCell="E109" sqref="E109"/>
    </sheetView>
  </sheetViews>
  <sheetFormatPr defaultColWidth="8.796875" defaultRowHeight="15"/>
  <cols>
    <col min="1" max="1" width="2.3984375" style="5" customWidth="1"/>
    <col min="2" max="2" width="31.69921875" style="5" customWidth="1"/>
    <col min="3" max="4" width="15.69921875" style="5" customWidth="1"/>
    <col min="5" max="5" width="16.19921875" style="5" customWidth="1"/>
    <col min="6" max="6" width="6.8984375" style="5" customWidth="1"/>
    <col min="7" max="7" width="10.19921875" style="5" customWidth="1"/>
    <col min="8" max="8" width="8.8984375" style="5" customWidth="1"/>
    <col min="9" max="9" width="5" style="5" customWidth="1"/>
    <col min="10" max="10" width="10" style="5" customWidth="1"/>
    <col min="11" max="16384" width="8.8984375" style="5" customWidth="1"/>
  </cols>
  <sheetData>
    <row r="1" spans="2:5" ht="15.75">
      <c r="B1" s="128" t="str">
        <f>inputPrYr!D2</f>
        <v>City of Buffalo</v>
      </c>
      <c r="C1" s="4"/>
      <c r="D1" s="4"/>
      <c r="E1" s="188">
        <f>inputPrYr!C5</f>
        <v>2015</v>
      </c>
    </row>
    <row r="2" spans="2:5" ht="15.75">
      <c r="B2" s="4"/>
      <c r="C2" s="4"/>
      <c r="D2" s="4"/>
      <c r="E2" s="124"/>
    </row>
    <row r="3" spans="2:5" ht="15.75">
      <c r="B3" s="19"/>
      <c r="C3" s="4"/>
      <c r="D3" s="4"/>
      <c r="E3" s="97"/>
    </row>
    <row r="4" spans="2:5" ht="15.75">
      <c r="B4" s="19" t="s">
        <v>87</v>
      </c>
      <c r="C4" s="197"/>
      <c r="D4" s="197"/>
      <c r="E4" s="197"/>
    </row>
    <row r="5" spans="2:5" ht="15.75">
      <c r="B5" s="126" t="s">
        <v>24</v>
      </c>
      <c r="C5" s="457" t="s">
        <v>263</v>
      </c>
      <c r="D5" s="458" t="s">
        <v>266</v>
      </c>
      <c r="E5" s="103" t="s">
        <v>267</v>
      </c>
    </row>
    <row r="6" spans="2:5" ht="15.75">
      <c r="B6" s="298" t="str">
        <f>inputPrYr!B17</f>
        <v>General</v>
      </c>
      <c r="C6" s="281" t="str">
        <f>CONCATENATE("Actual for ",E1-2,"")</f>
        <v>Actual for 2013</v>
      </c>
      <c r="D6" s="281" t="str">
        <f>CONCATENATE("Estimate for ",E1-1,"")</f>
        <v>Estimate for 2014</v>
      </c>
      <c r="E6" s="198" t="str">
        <f>CONCATENATE("Year for ",E1,"")</f>
        <v>Year for 2015</v>
      </c>
    </row>
    <row r="7" spans="2:5" ht="15.75">
      <c r="B7" s="199" t="s">
        <v>130</v>
      </c>
      <c r="C7" s="200">
        <v>18084</v>
      </c>
      <c r="D7" s="280">
        <f>C112</f>
        <v>28197.26999999999</v>
      </c>
      <c r="E7" s="169">
        <f>D112</f>
        <v>29070.26999999999</v>
      </c>
    </row>
    <row r="8" spans="2:5" ht="15.75">
      <c r="B8" s="202" t="s">
        <v>132</v>
      </c>
      <c r="C8" s="117"/>
      <c r="D8" s="117"/>
      <c r="E8" s="46"/>
    </row>
    <row r="9" spans="2:5" ht="15.75">
      <c r="B9" s="199" t="s">
        <v>25</v>
      </c>
      <c r="C9" s="200">
        <v>38079</v>
      </c>
      <c r="D9" s="280">
        <f>IF(inputPrYr!H16&gt;0,inputPrYr!G17,inputPrYr!E17)</f>
        <v>40645</v>
      </c>
      <c r="E9" s="204" t="s">
        <v>13</v>
      </c>
    </row>
    <row r="10" spans="2:5" ht="15.75">
      <c r="B10" s="199" t="s">
        <v>26</v>
      </c>
      <c r="C10" s="200">
        <v>4657</v>
      </c>
      <c r="D10" s="200">
        <f>45031-40645</f>
        <v>4386</v>
      </c>
      <c r="E10" s="205">
        <v>4386</v>
      </c>
    </row>
    <row r="11" spans="2:5" ht="15.75">
      <c r="B11" s="199" t="s">
        <v>27</v>
      </c>
      <c r="C11" s="200">
        <v>11317</v>
      </c>
      <c r="D11" s="200">
        <v>9731</v>
      </c>
      <c r="E11" s="169">
        <f>mvalloc!D7</f>
        <v>9858</v>
      </c>
    </row>
    <row r="12" spans="2:5" ht="15.75">
      <c r="B12" s="199" t="s">
        <v>28</v>
      </c>
      <c r="C12" s="200">
        <v>275</v>
      </c>
      <c r="D12" s="200">
        <v>219</v>
      </c>
      <c r="E12" s="169">
        <f>mvalloc!E7</f>
        <v>232</v>
      </c>
    </row>
    <row r="13" spans="2:5" ht="15.75">
      <c r="B13" s="199" t="s">
        <v>119</v>
      </c>
      <c r="C13" s="200">
        <v>222</v>
      </c>
      <c r="D13" s="200">
        <v>179</v>
      </c>
      <c r="E13" s="169">
        <f>mvalloc!F7</f>
        <v>0</v>
      </c>
    </row>
    <row r="14" spans="2:5" ht="15.75">
      <c r="B14" s="199" t="s">
        <v>120</v>
      </c>
      <c r="C14" s="200">
        <v>0</v>
      </c>
      <c r="D14" s="200">
        <v>0</v>
      </c>
      <c r="E14" s="169">
        <f>inputOth!E16</f>
        <v>0</v>
      </c>
    </row>
    <row r="15" spans="2:5" ht="15.75">
      <c r="B15" s="199" t="s">
        <v>145</v>
      </c>
      <c r="C15" s="200">
        <v>0</v>
      </c>
      <c r="D15" s="200">
        <v>0</v>
      </c>
      <c r="E15" s="169">
        <f>inputOth!E42</f>
        <v>0</v>
      </c>
    </row>
    <row r="16" spans="2:5" ht="15.75">
      <c r="B16" s="199" t="s">
        <v>146</v>
      </c>
      <c r="C16" s="200">
        <v>0</v>
      </c>
      <c r="D16" s="200">
        <v>0</v>
      </c>
      <c r="E16" s="169">
        <f>inputOth!E43</f>
        <v>0</v>
      </c>
    </row>
    <row r="17" spans="2:5" ht="15.75">
      <c r="B17" s="550" t="s">
        <v>255</v>
      </c>
      <c r="C17" s="200">
        <v>520</v>
      </c>
      <c r="D17" s="200">
        <v>520</v>
      </c>
      <c r="E17" s="28">
        <v>520</v>
      </c>
    </row>
    <row r="18" spans="2:5" ht="15.75">
      <c r="B18" s="550" t="s">
        <v>334</v>
      </c>
      <c r="C18" s="200">
        <v>532</v>
      </c>
      <c r="D18" s="200">
        <v>344</v>
      </c>
      <c r="E18" s="28">
        <v>344</v>
      </c>
    </row>
    <row r="19" spans="2:5" ht="15.75">
      <c r="B19" s="550" t="s">
        <v>335</v>
      </c>
      <c r="C19" s="200">
        <v>20939</v>
      </c>
      <c r="D19" s="200">
        <v>21875</v>
      </c>
      <c r="E19" s="28">
        <v>21875</v>
      </c>
    </row>
    <row r="20" spans="2:5" ht="15.75">
      <c r="B20" s="550" t="s">
        <v>336</v>
      </c>
      <c r="C20" s="200">
        <v>3505</v>
      </c>
      <c r="D20" s="200">
        <v>3598</v>
      </c>
      <c r="E20" s="28">
        <v>3598</v>
      </c>
    </row>
    <row r="21" spans="2:5" ht="15.75">
      <c r="B21" s="550" t="s">
        <v>337</v>
      </c>
      <c r="C21" s="200">
        <v>700</v>
      </c>
      <c r="D21" s="200">
        <v>700</v>
      </c>
      <c r="E21" s="28">
        <v>700</v>
      </c>
    </row>
    <row r="22" spans="2:5" ht="15.75">
      <c r="B22" s="550" t="s">
        <v>338</v>
      </c>
      <c r="C22" s="200">
        <v>154</v>
      </c>
      <c r="D22" s="200">
        <v>70</v>
      </c>
      <c r="E22" s="28">
        <v>0</v>
      </c>
    </row>
    <row r="23" spans="2:5" ht="15.75">
      <c r="B23" s="550" t="s">
        <v>339</v>
      </c>
      <c r="C23" s="200">
        <v>685</v>
      </c>
      <c r="D23" s="200">
        <v>212</v>
      </c>
      <c r="E23" s="28">
        <v>0</v>
      </c>
    </row>
    <row r="24" spans="2:5" ht="15.75">
      <c r="B24" s="550" t="s">
        <v>340</v>
      </c>
      <c r="C24" s="200">
        <v>453</v>
      </c>
      <c r="D24" s="200">
        <v>0</v>
      </c>
      <c r="E24" s="28">
        <v>0</v>
      </c>
    </row>
    <row r="25" spans="2:5" ht="15.75">
      <c r="B25" s="203"/>
      <c r="C25" s="200"/>
      <c r="D25" s="200"/>
      <c r="E25" s="28"/>
    </row>
    <row r="26" spans="2:5" ht="15.75">
      <c r="B26" s="203"/>
      <c r="C26" s="200"/>
      <c r="D26" s="200"/>
      <c r="E26" s="28"/>
    </row>
    <row r="27" spans="2:5" ht="15.75">
      <c r="B27" s="203"/>
      <c r="C27" s="200"/>
      <c r="D27" s="200"/>
      <c r="E27" s="28"/>
    </row>
    <row r="28" spans="2:5" ht="15.75">
      <c r="B28" s="203"/>
      <c r="C28" s="200"/>
      <c r="D28" s="200"/>
      <c r="E28" s="28"/>
    </row>
    <row r="29" spans="2:5" ht="15.75">
      <c r="B29" s="203"/>
      <c r="C29" s="200"/>
      <c r="D29" s="200"/>
      <c r="E29" s="28"/>
    </row>
    <row r="30" spans="2:5" ht="15.75">
      <c r="B30" s="203"/>
      <c r="C30" s="200"/>
      <c r="D30" s="200"/>
      <c r="E30" s="28"/>
    </row>
    <row r="31" spans="2:5" ht="15.75">
      <c r="B31" s="203"/>
      <c r="C31" s="200"/>
      <c r="D31" s="200"/>
      <c r="E31" s="28"/>
    </row>
    <row r="32" spans="2:5" ht="15.75">
      <c r="B32" s="203"/>
      <c r="C32" s="200"/>
      <c r="D32" s="200"/>
      <c r="E32" s="28"/>
    </row>
    <row r="33" spans="2:5" ht="15.75">
      <c r="B33" s="203"/>
      <c r="C33" s="200"/>
      <c r="D33" s="200"/>
      <c r="E33" s="28"/>
    </row>
    <row r="34" spans="2:5" ht="15.75">
      <c r="B34" s="203"/>
      <c r="C34" s="200"/>
      <c r="D34" s="200"/>
      <c r="E34" s="28"/>
    </row>
    <row r="35" spans="2:5" ht="15.75">
      <c r="B35" s="203"/>
      <c r="C35" s="200"/>
      <c r="D35" s="200"/>
      <c r="E35" s="28"/>
    </row>
    <row r="36" spans="2:5" ht="15.75">
      <c r="B36" s="203"/>
      <c r="C36" s="200"/>
      <c r="D36" s="200"/>
      <c r="E36" s="28"/>
    </row>
    <row r="37" spans="2:5" ht="15.75">
      <c r="B37" s="203"/>
      <c r="C37" s="200"/>
      <c r="D37" s="200"/>
      <c r="E37" s="28"/>
    </row>
    <row r="38" spans="2:5" ht="15.75">
      <c r="B38" s="203"/>
      <c r="C38" s="200"/>
      <c r="D38" s="200"/>
      <c r="E38" s="28"/>
    </row>
    <row r="39" spans="2:5" ht="15.75">
      <c r="B39" s="203"/>
      <c r="C39" s="200"/>
      <c r="D39" s="200"/>
      <c r="E39" s="28"/>
    </row>
    <row r="40" spans="2:5" ht="15.75">
      <c r="B40" s="203"/>
      <c r="C40" s="200"/>
      <c r="D40" s="200"/>
      <c r="E40" s="28"/>
    </row>
    <row r="41" spans="2:5" ht="15.75">
      <c r="B41" s="203"/>
      <c r="C41" s="200"/>
      <c r="D41" s="200"/>
      <c r="E41" s="28"/>
    </row>
    <row r="42" spans="2:5" ht="15.75">
      <c r="B42" s="203"/>
      <c r="C42" s="200"/>
      <c r="D42" s="200"/>
      <c r="E42" s="28"/>
    </row>
    <row r="43" spans="2:5" ht="15.75">
      <c r="B43" s="203"/>
      <c r="C43" s="200"/>
      <c r="D43" s="200"/>
      <c r="E43" s="28"/>
    </row>
    <row r="44" spans="2:5" ht="15.75">
      <c r="B44" s="203"/>
      <c r="C44" s="200"/>
      <c r="D44" s="200"/>
      <c r="E44" s="28"/>
    </row>
    <row r="45" spans="2:5" ht="15.75">
      <c r="B45" s="203"/>
      <c r="C45" s="200"/>
      <c r="D45" s="200"/>
      <c r="E45" s="28"/>
    </row>
    <row r="46" spans="2:5" ht="15.75">
      <c r="B46" s="203"/>
      <c r="C46" s="200"/>
      <c r="D46" s="200"/>
      <c r="E46" s="28"/>
    </row>
    <row r="47" spans="2:5" ht="15.75">
      <c r="B47" s="203"/>
      <c r="C47" s="200"/>
      <c r="D47" s="200"/>
      <c r="E47" s="28"/>
    </row>
    <row r="48" spans="2:5" ht="15.75">
      <c r="B48" s="203"/>
      <c r="C48" s="200"/>
      <c r="D48" s="200"/>
      <c r="E48" s="28"/>
    </row>
    <row r="49" spans="2:5" ht="15.75">
      <c r="B49" s="203"/>
      <c r="C49" s="200"/>
      <c r="D49" s="200"/>
      <c r="E49" s="28"/>
    </row>
    <row r="50" spans="2:5" ht="15.75">
      <c r="B50" s="203"/>
      <c r="C50" s="200"/>
      <c r="D50" s="200"/>
      <c r="E50" s="28"/>
    </row>
    <row r="51" spans="2:5" ht="15.75">
      <c r="B51" s="203"/>
      <c r="C51" s="200"/>
      <c r="D51" s="200"/>
      <c r="E51" s="28"/>
    </row>
    <row r="52" spans="2:5" ht="15.75">
      <c r="B52" s="370" t="s">
        <v>29</v>
      </c>
      <c r="C52" s="200">
        <v>0</v>
      </c>
      <c r="D52" s="200">
        <v>0</v>
      </c>
      <c r="E52" s="28">
        <v>0</v>
      </c>
    </row>
    <row r="53" spans="2:5" ht="15.75">
      <c r="B53" s="206" t="s">
        <v>30</v>
      </c>
      <c r="C53" s="200">
        <v>173</v>
      </c>
      <c r="D53" s="200">
        <v>175</v>
      </c>
      <c r="E53" s="28">
        <v>175</v>
      </c>
    </row>
    <row r="54" spans="2:5" ht="15.75">
      <c r="B54" s="117" t="s">
        <v>204</v>
      </c>
      <c r="C54" s="200">
        <f>8443-700</f>
        <v>7743</v>
      </c>
      <c r="D54" s="28">
        <v>375</v>
      </c>
      <c r="E54" s="201">
        <v>0</v>
      </c>
    </row>
    <row r="55" spans="2:5" ht="15.75">
      <c r="B55" s="199" t="s">
        <v>257</v>
      </c>
      <c r="C55" s="278">
        <f>IF(C56*0.1&lt;C54,"Exceed 10% Rule","")</f>
      </c>
      <c r="D55" s="285">
        <f>IF(D56*0.1&lt;D54,"Exceed 10% Rule","")</f>
      </c>
      <c r="E55" s="207">
        <f>IF(E56*0.1+E118&lt;E54,"Exceed 10% Rule","")</f>
      </c>
    </row>
    <row r="56" spans="2:5" ht="15.75">
      <c r="B56" s="208" t="s">
        <v>31</v>
      </c>
      <c r="C56" s="295">
        <f>SUM(C9:C54)</f>
        <v>89954</v>
      </c>
      <c r="D56" s="295">
        <f>SUM(D9:D54)</f>
        <v>83029</v>
      </c>
      <c r="E56" s="209">
        <f>SUM(E10:E54)</f>
        <v>41688</v>
      </c>
    </row>
    <row r="57" spans="2:5" ht="15.75">
      <c r="B57" s="208" t="s">
        <v>32</v>
      </c>
      <c r="C57" s="295">
        <f>C7+C56</f>
        <v>108038</v>
      </c>
      <c r="D57" s="295">
        <f>D7+D56</f>
        <v>111226.26999999999</v>
      </c>
      <c r="E57" s="209">
        <f>E7+E56</f>
        <v>70758.26999999999</v>
      </c>
    </row>
    <row r="58" spans="2:5" ht="15.75">
      <c r="B58" s="4"/>
      <c r="C58" s="4"/>
      <c r="D58" s="4"/>
      <c r="E58" s="4"/>
    </row>
    <row r="59" spans="2:5" ht="15.75">
      <c r="B59" s="127"/>
      <c r="C59" s="97" t="s">
        <v>40</v>
      </c>
      <c r="D59" s="126">
        <f>IF(inputPrYr!D19&gt;0,7)</f>
        <v>7</v>
      </c>
      <c r="E59" s="127"/>
    </row>
    <row r="60" spans="2:5" ht="15.75">
      <c r="B60" s="127"/>
      <c r="C60" s="127"/>
      <c r="D60" s="127"/>
      <c r="E60" s="127"/>
    </row>
    <row r="61" spans="2:5" ht="15.75">
      <c r="B61" s="128" t="str">
        <f>inputPrYr!D2</f>
        <v>City of Buffalo</v>
      </c>
      <c r="C61" s="4"/>
      <c r="D61" s="4"/>
      <c r="E61" s="124"/>
    </row>
    <row r="62" spans="2:5" ht="15.75">
      <c r="B62" s="4"/>
      <c r="C62" s="4"/>
      <c r="D62" s="4"/>
      <c r="E62" s="97"/>
    </row>
    <row r="63" spans="2:5" ht="15.75">
      <c r="B63" s="193" t="s">
        <v>86</v>
      </c>
      <c r="C63" s="163"/>
      <c r="D63" s="163"/>
      <c r="E63" s="163"/>
    </row>
    <row r="64" spans="2:5" ht="15.75">
      <c r="B64" s="4" t="s">
        <v>24</v>
      </c>
      <c r="C64" s="457" t="str">
        <f aca="true" t="shared" si="0" ref="C64:E65">C5</f>
        <v>Prior Year </v>
      </c>
      <c r="D64" s="458" t="str">
        <f t="shared" si="0"/>
        <v>Current Year </v>
      </c>
      <c r="E64" s="103" t="str">
        <f t="shared" si="0"/>
        <v>Proposed Budget </v>
      </c>
    </row>
    <row r="65" spans="2:5" ht="15.75">
      <c r="B65" s="146" t="str">
        <f>inputPrYr!B17</f>
        <v>General</v>
      </c>
      <c r="C65" s="281" t="str">
        <f t="shared" si="0"/>
        <v>Actual for 2013</v>
      </c>
      <c r="D65" s="281" t="str">
        <f t="shared" si="0"/>
        <v>Estimate for 2014</v>
      </c>
      <c r="E65" s="198" t="str">
        <f t="shared" si="0"/>
        <v>Year for 2015</v>
      </c>
    </row>
    <row r="66" spans="2:5" ht="15.75">
      <c r="B66" s="210" t="s">
        <v>32</v>
      </c>
      <c r="C66" s="280">
        <f>C57</f>
        <v>108038</v>
      </c>
      <c r="D66" s="280">
        <f>D57</f>
        <v>111226.26999999999</v>
      </c>
      <c r="E66" s="169">
        <f>E57</f>
        <v>70758.26999999999</v>
      </c>
    </row>
    <row r="67" spans="2:5" ht="15.75">
      <c r="B67" s="199" t="s">
        <v>34</v>
      </c>
      <c r="C67" s="117"/>
      <c r="D67" s="117"/>
      <c r="E67" s="46"/>
    </row>
    <row r="68" spans="2:5" ht="15.75">
      <c r="B68" s="211" t="str">
        <f>GenDetail!A7</f>
        <v>General Administration</v>
      </c>
      <c r="C68" s="296">
        <f>GenDetail!B15</f>
        <v>49855</v>
      </c>
      <c r="D68" s="296">
        <f>GenDetail!C15</f>
        <v>45846</v>
      </c>
      <c r="E68" s="35">
        <f>GenDetail!D15</f>
        <v>50776</v>
      </c>
    </row>
    <row r="69" spans="2:5" ht="15.75">
      <c r="B69" s="211" t="str">
        <f>GenDetail!A16</f>
        <v>Street Lights</v>
      </c>
      <c r="C69" s="296">
        <f>GenDetail!B21</f>
        <v>4868</v>
      </c>
      <c r="D69" s="296">
        <f>GenDetail!C21</f>
        <v>4771</v>
      </c>
      <c r="E69" s="35">
        <f>GenDetail!D21</f>
        <v>6000</v>
      </c>
    </row>
    <row r="70" spans="2:5" ht="15.75">
      <c r="B70" s="211" t="str">
        <f>GenDetail!A22</f>
        <v>Parks &amp; Recreations</v>
      </c>
      <c r="C70" s="296">
        <f>GenDetail!B27</f>
        <v>168.73</v>
      </c>
      <c r="D70" s="296">
        <f>GenDetail!C27</f>
        <v>0</v>
      </c>
      <c r="E70" s="35">
        <f>GenDetail!D27</f>
        <v>2000</v>
      </c>
    </row>
    <row r="71" spans="2:5" ht="15.75">
      <c r="B71" s="211" t="str">
        <f>GenDetail!A28</f>
        <v>Solid Waste</v>
      </c>
      <c r="C71" s="296">
        <f>GenDetail!B33</f>
        <v>20570</v>
      </c>
      <c r="D71" s="296">
        <f>GenDetail!C33</f>
        <v>21466</v>
      </c>
      <c r="E71" s="35">
        <f>GenDetail!D33</f>
        <v>21674</v>
      </c>
    </row>
    <row r="72" spans="2:5" ht="15.75">
      <c r="B72" s="211" t="str">
        <f>GenDetail!A34</f>
        <v>Streets </v>
      </c>
      <c r="C72" s="296">
        <f>GenDetail!B39</f>
        <v>0</v>
      </c>
      <c r="D72" s="296">
        <f>GenDetail!C39</f>
        <v>0</v>
      </c>
      <c r="E72" s="35">
        <f>GenDetail!D39</f>
        <v>20853</v>
      </c>
    </row>
    <row r="73" spans="2:5" ht="15.75">
      <c r="B73" s="211" t="str">
        <f>GenDetail!A40</f>
        <v>Community Building</v>
      </c>
      <c r="C73" s="296">
        <f>GenDetail!B45</f>
        <v>4379</v>
      </c>
      <c r="D73" s="296">
        <f>GenDetail!C45</f>
        <v>5073</v>
      </c>
      <c r="E73" s="35">
        <f>GenDetail!D45</f>
        <v>6025</v>
      </c>
    </row>
    <row r="74" spans="2:5" ht="15.75">
      <c r="B74" s="211" t="str">
        <f>GenDetail!A46</f>
        <v>Demolition</v>
      </c>
      <c r="C74" s="296">
        <f>GenDetail!B51</f>
        <v>0</v>
      </c>
      <c r="D74" s="296">
        <f>GenDetail!C51</f>
        <v>0</v>
      </c>
      <c r="E74" s="35">
        <f>GenDetail!D51</f>
        <v>5000</v>
      </c>
    </row>
    <row r="75" spans="2:5" ht="15.75">
      <c r="B75" s="211"/>
      <c r="C75" s="296">
        <f>GenDetail!B57</f>
        <v>0</v>
      </c>
      <c r="D75" s="296">
        <f>GenDetail!C57</f>
        <v>0</v>
      </c>
      <c r="E75" s="35">
        <f>GenDetail!D57</f>
        <v>0</v>
      </c>
    </row>
    <row r="76" spans="2:6" ht="15.75">
      <c r="B76" s="212" t="s">
        <v>245</v>
      </c>
      <c r="C76" s="336">
        <f>SUM(C68:C75)</f>
        <v>79840.73000000001</v>
      </c>
      <c r="D76" s="336">
        <f>SUM(D68:D75)</f>
        <v>77156</v>
      </c>
      <c r="E76" s="229">
        <f>SUM(E68:E75)</f>
        <v>112328</v>
      </c>
      <c r="F76" s="213"/>
    </row>
    <row r="77" spans="2:5" ht="15.75">
      <c r="B77" s="206"/>
      <c r="C77" s="200"/>
      <c r="D77" s="200"/>
      <c r="E77" s="28"/>
    </row>
    <row r="78" spans="2:5" ht="15.75">
      <c r="B78" s="206" t="s">
        <v>382</v>
      </c>
      <c r="C78" s="200"/>
      <c r="D78" s="200"/>
      <c r="E78" s="28"/>
    </row>
    <row r="79" spans="2:5" ht="15.75">
      <c r="B79" s="206" t="s">
        <v>383</v>
      </c>
      <c r="C79" s="200">
        <v>0</v>
      </c>
      <c r="D79" s="200">
        <v>5000</v>
      </c>
      <c r="E79" s="28">
        <v>5000</v>
      </c>
    </row>
    <row r="80" spans="2:5" ht="15.75">
      <c r="B80" s="206"/>
      <c r="C80" s="200"/>
      <c r="D80" s="200"/>
      <c r="E80" s="28"/>
    </row>
    <row r="81" spans="2:5" ht="15.75">
      <c r="B81" s="206"/>
      <c r="C81" s="200"/>
      <c r="D81" s="200"/>
      <c r="E81" s="28"/>
    </row>
    <row r="82" spans="2:5" ht="15.75">
      <c r="B82" s="206"/>
      <c r="C82" s="200"/>
      <c r="D82" s="200"/>
      <c r="E82" s="28"/>
    </row>
    <row r="83" spans="2:5" ht="15.75">
      <c r="B83" s="214"/>
      <c r="C83" s="200"/>
      <c r="D83" s="200"/>
      <c r="E83" s="28"/>
    </row>
    <row r="84" spans="2:5" ht="15.75">
      <c r="B84" s="214"/>
      <c r="C84" s="200"/>
      <c r="D84" s="200"/>
      <c r="E84" s="28"/>
    </row>
    <row r="85" spans="2:5" ht="15.75">
      <c r="B85" s="214"/>
      <c r="C85" s="200"/>
      <c r="D85" s="200"/>
      <c r="E85" s="28"/>
    </row>
    <row r="86" spans="2:5" ht="15.75">
      <c r="B86" s="214"/>
      <c r="C86" s="200"/>
      <c r="D86" s="200"/>
      <c r="E86" s="28"/>
    </row>
    <row r="87" spans="2:5" ht="15.75">
      <c r="B87" s="214"/>
      <c r="C87" s="200"/>
      <c r="D87" s="200"/>
      <c r="E87" s="28"/>
    </row>
    <row r="88" spans="2:5" ht="15.75">
      <c r="B88" s="214"/>
      <c r="C88" s="200"/>
      <c r="D88" s="200"/>
      <c r="E88" s="28"/>
    </row>
    <row r="89" spans="2:5" ht="15.75">
      <c r="B89" s="214"/>
      <c r="C89" s="200"/>
      <c r="D89" s="200"/>
      <c r="E89" s="28"/>
    </row>
    <row r="90" spans="2:5" ht="15.75">
      <c r="B90" s="214"/>
      <c r="C90" s="200"/>
      <c r="D90" s="200"/>
      <c r="E90" s="28"/>
    </row>
    <row r="91" spans="2:5" ht="15.75">
      <c r="B91" s="214"/>
      <c r="C91" s="200"/>
      <c r="D91" s="200"/>
      <c r="E91" s="28"/>
    </row>
    <row r="92" spans="2:5" ht="15.75">
      <c r="B92" s="214"/>
      <c r="C92" s="200"/>
      <c r="D92" s="200"/>
      <c r="E92" s="28"/>
    </row>
    <row r="93" spans="2:5" ht="15.75">
      <c r="B93" s="214"/>
      <c r="C93" s="200"/>
      <c r="D93" s="200"/>
      <c r="E93" s="28"/>
    </row>
    <row r="94" spans="2:5" ht="15.75">
      <c r="B94" s="214"/>
      <c r="C94" s="200"/>
      <c r="D94" s="200"/>
      <c r="E94" s="28"/>
    </row>
    <row r="95" spans="2:5" ht="15.75">
      <c r="B95" s="214"/>
      <c r="C95" s="200"/>
      <c r="D95" s="200"/>
      <c r="E95" s="28"/>
    </row>
    <row r="96" spans="2:5" ht="15.75">
      <c r="B96" s="214"/>
      <c r="C96" s="200"/>
      <c r="D96" s="200"/>
      <c r="E96" s="28"/>
    </row>
    <row r="97" spans="2:5" ht="15.75">
      <c r="B97" s="214"/>
      <c r="C97" s="200"/>
      <c r="D97" s="200"/>
      <c r="E97" s="28"/>
    </row>
    <row r="98" spans="2:5" ht="15.75">
      <c r="B98" s="214"/>
      <c r="C98" s="200"/>
      <c r="D98" s="200"/>
      <c r="E98" s="28"/>
    </row>
    <row r="99" spans="2:5" ht="15.75">
      <c r="B99" s="214"/>
      <c r="C99" s="200"/>
      <c r="D99" s="200"/>
      <c r="E99" s="28"/>
    </row>
    <row r="100" spans="2:5" ht="15.75">
      <c r="B100" s="214"/>
      <c r="C100" s="200"/>
      <c r="D100" s="200"/>
      <c r="E100" s="28"/>
    </row>
    <row r="101" spans="2:10" ht="15.75">
      <c r="B101" s="214"/>
      <c r="C101" s="200"/>
      <c r="D101" s="200"/>
      <c r="E101" s="28"/>
      <c r="G101" s="574" t="str">
        <f>CONCATENATE("Desired Carryover Into ",E1+1,"")</f>
        <v>Desired Carryover Into 2016</v>
      </c>
      <c r="H101" s="575"/>
      <c r="I101" s="575"/>
      <c r="J101" s="576"/>
    </row>
    <row r="102" spans="2:10" ht="15.75">
      <c r="B102" s="214"/>
      <c r="C102" s="200"/>
      <c r="D102" s="200"/>
      <c r="E102" s="28"/>
      <c r="G102" s="343"/>
      <c r="H102" s="342"/>
      <c r="I102" s="342"/>
      <c r="J102" s="323"/>
    </row>
    <row r="103" spans="2:10" ht="15.75">
      <c r="B103" s="214"/>
      <c r="C103" s="200"/>
      <c r="D103" s="200"/>
      <c r="E103" s="28"/>
      <c r="G103" s="333" t="s">
        <v>248</v>
      </c>
      <c r="H103" s="327"/>
      <c r="I103" s="327"/>
      <c r="J103" s="322">
        <v>0</v>
      </c>
    </row>
    <row r="104" spans="2:10" ht="15.75">
      <c r="B104" s="214"/>
      <c r="C104" s="200"/>
      <c r="D104" s="200"/>
      <c r="E104" s="28"/>
      <c r="G104" s="344" t="s">
        <v>249</v>
      </c>
      <c r="H104" s="320"/>
      <c r="I104" s="321"/>
      <c r="J104" s="341">
        <f>IF(J103=0,"",ROUND((J103+E118-G116)/inputOth!E7*1000,3)-G121)</f>
      </c>
    </row>
    <row r="105" spans="2:10" ht="15.75">
      <c r="B105" s="214"/>
      <c r="C105" s="200"/>
      <c r="D105" s="200"/>
      <c r="E105" s="28"/>
      <c r="G105" s="401" t="str">
        <f>CONCATENATE("",E1," Tot Exp/Non-Appr Must Be:")</f>
        <v>2015 Tot Exp/Non-Appr Must Be:</v>
      </c>
      <c r="H105" s="402"/>
      <c r="I105" s="403"/>
      <c r="J105" s="404">
        <f>IF(J103&gt;0,IF(E115&lt;E57,IF(J103=G116,E115,((J103-G116)*(1-D117))+E57),E115+(J103-G116)),0)</f>
        <v>0</v>
      </c>
    </row>
    <row r="106" spans="2:10" ht="15.75">
      <c r="B106" s="214"/>
      <c r="C106" s="200"/>
      <c r="D106" s="200"/>
      <c r="E106" s="28"/>
      <c r="G106" s="423" t="s">
        <v>268</v>
      </c>
      <c r="H106" s="400"/>
      <c r="I106" s="400"/>
      <c r="J106" s="420">
        <f>IF(J103&gt;0,J105-E115,0)</f>
        <v>0</v>
      </c>
    </row>
    <row r="107" spans="2:5" ht="15.75">
      <c r="B107" s="214"/>
      <c r="C107" s="200"/>
      <c r="D107" s="200"/>
      <c r="E107" s="28"/>
    </row>
    <row r="108" spans="2:10" ht="15.75" customHeight="1">
      <c r="B108" s="215" t="s">
        <v>205</v>
      </c>
      <c r="C108" s="200">
        <v>0</v>
      </c>
      <c r="D108" s="200">
        <v>0</v>
      </c>
      <c r="E108" s="35"/>
      <c r="G108" s="574" t="str">
        <f>CONCATENATE("Projected Carryover Into ",E1+1,"")</f>
        <v>Projected Carryover Into 2016</v>
      </c>
      <c r="H108" s="573"/>
      <c r="I108" s="573"/>
      <c r="J108" s="584"/>
    </row>
    <row r="109" spans="2:10" ht="15.75">
      <c r="B109" s="215" t="s">
        <v>204</v>
      </c>
      <c r="C109" s="200">
        <v>0</v>
      </c>
      <c r="D109" s="200">
        <v>0</v>
      </c>
      <c r="E109" s="28"/>
      <c r="G109" s="343"/>
      <c r="H109" s="342"/>
      <c r="I109" s="342"/>
      <c r="J109" s="323"/>
    </row>
    <row r="110" spans="2:10" ht="15.75">
      <c r="B110" s="215" t="s">
        <v>258</v>
      </c>
      <c r="C110" s="278">
        <f>IF(C111*0.1&lt;C109,"Exceed 10% Rule","")</f>
      </c>
      <c r="D110" s="285">
        <f>IF(D111*0.1&lt;D109,"Exceed 10% Rule","")</f>
      </c>
      <c r="E110" s="228">
        <f>IF(E111*0.1&lt;E109,"Exceed 10% Rule","")</f>
      </c>
      <c r="G110" s="324">
        <f>D112</f>
        <v>29070.26999999999</v>
      </c>
      <c r="H110" s="325" t="str">
        <f>CONCATENATE("",E1-1," Ending Cash Balance (est.)")</f>
        <v>2014 Ending Cash Balance (est.)</v>
      </c>
      <c r="I110" s="326"/>
      <c r="J110" s="323"/>
    </row>
    <row r="111" spans="2:10" ht="15.75">
      <c r="B111" s="208" t="s">
        <v>37</v>
      </c>
      <c r="C111" s="295">
        <f>SUM(C76:C109)</f>
        <v>79840.73000000001</v>
      </c>
      <c r="D111" s="295">
        <f>SUM(D76:D109)</f>
        <v>82156</v>
      </c>
      <c r="E111" s="209">
        <f>SUM(E76:E109)</f>
        <v>117328</v>
      </c>
      <c r="G111" s="324">
        <f>E56</f>
        <v>41688</v>
      </c>
      <c r="H111" s="327" t="str">
        <f>CONCATENATE("",E1," Non-AV Receipts (est.)")</f>
        <v>2015 Non-AV Receipts (est.)</v>
      </c>
      <c r="I111" s="326"/>
      <c r="J111" s="323"/>
    </row>
    <row r="112" spans="2:11" ht="15.75">
      <c r="B112" s="109" t="s">
        <v>131</v>
      </c>
      <c r="C112" s="296">
        <f>C57-C111</f>
        <v>28197.26999999999</v>
      </c>
      <c r="D112" s="296">
        <f>D57-D111</f>
        <v>29070.26999999999</v>
      </c>
      <c r="E112" s="227" t="s">
        <v>13</v>
      </c>
      <c r="G112" s="328">
        <f>IF(E117&gt;0,E116,E118)</f>
        <v>46569.73000000001</v>
      </c>
      <c r="H112" s="327" t="str">
        <f>CONCATENATE("",E1," Ad Valorem Tax (est.)")</f>
        <v>2015 Ad Valorem Tax (est.)</v>
      </c>
      <c r="I112" s="326"/>
      <c r="J112" s="323"/>
      <c r="K112" s="491">
        <f>IF(G112=E118,"","Note: Does not include Delinquent Taxes")</f>
      </c>
    </row>
    <row r="113" spans="2:10" ht="15.75">
      <c r="B113" s="126" t="str">
        <f>CONCATENATE("",E1-2,"/",E1-1,"/",E1," Budget Authority Amount:")</f>
        <v>2013/2014/2015 Budget Authority Amount:</v>
      </c>
      <c r="C113" s="374">
        <f>inputOth!B61</f>
        <v>104032</v>
      </c>
      <c r="D113" s="509">
        <f>inputPrYr!D17</f>
        <v>106239</v>
      </c>
      <c r="E113" s="169">
        <f>E111</f>
        <v>117328</v>
      </c>
      <c r="F113" s="217"/>
      <c r="G113" s="324">
        <f>SUM(G110:G112)</f>
        <v>117328</v>
      </c>
      <c r="H113" s="327" t="str">
        <f>CONCATENATE("Total ",E1," Resources Available")</f>
        <v>Total 2015 Resources Available</v>
      </c>
      <c r="I113" s="326"/>
      <c r="J113" s="323"/>
    </row>
    <row r="114" spans="2:10" ht="15.75">
      <c r="B114" s="97"/>
      <c r="C114" s="577" t="s">
        <v>240</v>
      </c>
      <c r="D114" s="578"/>
      <c r="E114" s="28"/>
      <c r="F114" s="316">
        <f>IF((E111/0.95)-E111&lt;E114,"Exceeds 5% ","")</f>
      </c>
      <c r="G114" s="329"/>
      <c r="H114" s="327"/>
      <c r="I114" s="327"/>
      <c r="J114" s="323"/>
    </row>
    <row r="115" spans="2:10" ht="15.75">
      <c r="B115" s="301" t="str">
        <f>CONCATENATE(C143,"     ",D143)</f>
        <v>     </v>
      </c>
      <c r="C115" s="579" t="s">
        <v>241</v>
      </c>
      <c r="D115" s="580"/>
      <c r="E115" s="169">
        <f>E111+E114</f>
        <v>117328</v>
      </c>
      <c r="G115" s="328">
        <f>ROUND(C111*0.05+C111,0)</f>
        <v>83833</v>
      </c>
      <c r="H115" s="327" t="str">
        <f>CONCATENATE("Less ",E1-2," Expenditures + 5%")</f>
        <v>Less 2013 Expenditures + 5%</v>
      </c>
      <c r="I115" s="326"/>
      <c r="J115" s="323"/>
    </row>
    <row r="116" spans="2:10" ht="15.75">
      <c r="B116" s="301" t="str">
        <f>CONCATENATE(C144,"     ",D144)</f>
        <v>     </v>
      </c>
      <c r="C116" s="218"/>
      <c r="D116" s="124" t="s">
        <v>38</v>
      </c>
      <c r="E116" s="35">
        <f>IF(E115-E57&gt;0,E115-E57,0)</f>
        <v>46569.73000000001</v>
      </c>
      <c r="G116" s="334">
        <f>G113-G115</f>
        <v>33495</v>
      </c>
      <c r="H116" s="330" t="str">
        <f>CONCATENATE("Projected ",E1+1," Carryover (est.)")</f>
        <v>Projected 2016 Carryover (est.)</v>
      </c>
      <c r="I116" s="331"/>
      <c r="J116" s="332"/>
    </row>
    <row r="117" spans="2:5" ht="15.75">
      <c r="B117" s="97"/>
      <c r="C117" s="287" t="s">
        <v>242</v>
      </c>
      <c r="D117" s="425">
        <f>inputOth!E47</f>
        <v>0</v>
      </c>
      <c r="E117" s="35">
        <f>ROUND(IF(D117&gt;0,(E116*D117),0),0)</f>
        <v>0</v>
      </c>
    </row>
    <row r="118" spans="2:10" ht="16.5" thickBot="1">
      <c r="B118" s="4"/>
      <c r="C118" s="581" t="str">
        <f>CONCATENATE("Amount of  ",$E$1-1," Ad Valorem Tax")</f>
        <v>Amount of  2014 Ad Valorem Tax</v>
      </c>
      <c r="D118" s="582"/>
      <c r="E118" s="284">
        <f>E116+E117</f>
        <v>46569.73000000001</v>
      </c>
      <c r="G118" s="585" t="s">
        <v>273</v>
      </c>
      <c r="H118" s="586"/>
      <c r="I118" s="586"/>
      <c r="J118" s="587"/>
    </row>
    <row r="119" spans="2:10" ht="16.5" thickTop="1">
      <c r="B119" s="4"/>
      <c r="C119" s="581"/>
      <c r="D119" s="583"/>
      <c r="E119" s="459"/>
      <c r="G119" s="460"/>
      <c r="H119" s="461"/>
      <c r="I119" s="462"/>
      <c r="J119" s="463"/>
    </row>
    <row r="120" spans="2:10" ht="15.75">
      <c r="B120" s="501" t="s">
        <v>379</v>
      </c>
      <c r="C120" s="502"/>
      <c r="D120" s="502"/>
      <c r="E120" s="502"/>
      <c r="G120" s="464">
        <f>summ!H16</f>
        <v>80.298</v>
      </c>
      <c r="H120" s="461" t="str">
        <f>CONCATENATE("",E1," Fund Mill Rate")</f>
        <v>2015 Fund Mill Rate</v>
      </c>
      <c r="I120" s="462"/>
      <c r="J120" s="463"/>
    </row>
    <row r="121" spans="2:10" ht="15.75">
      <c r="B121" s="127"/>
      <c r="C121" s="97" t="s">
        <v>40</v>
      </c>
      <c r="D121" s="126" t="str">
        <f>CONCATENATE("",D59,"a")</f>
        <v>7a</v>
      </c>
      <c r="E121" s="127"/>
      <c r="G121" s="465">
        <f>summ!E16</f>
        <v>62.438</v>
      </c>
      <c r="H121" s="461" t="str">
        <f>CONCATENATE("",E1-1," Fund Mill Rate")</f>
        <v>2014 Fund Mill Rate</v>
      </c>
      <c r="I121" s="462"/>
      <c r="J121" s="463"/>
    </row>
    <row r="122" spans="7:10" ht="15.75">
      <c r="G122" s="466">
        <f>summ!H24</f>
        <v>80.298</v>
      </c>
      <c r="H122" s="461" t="str">
        <f>CONCATENATE("Total ",E1," Mill Rate")</f>
        <v>Total 2015 Mill Rate</v>
      </c>
      <c r="I122" s="462"/>
      <c r="J122" s="463"/>
    </row>
    <row r="123" spans="2:10" ht="15.75">
      <c r="B123" s="61"/>
      <c r="G123" s="465">
        <f>summ!E24</f>
        <v>62.438</v>
      </c>
      <c r="H123" s="467" t="str">
        <f>CONCATENATE("Total ",E1-1," Mill Rate")</f>
        <v>Total 2014 Mill Rate</v>
      </c>
      <c r="I123" s="468"/>
      <c r="J123" s="469"/>
    </row>
    <row r="124" ht="15.75">
      <c r="K124" s="399"/>
    </row>
    <row r="125" spans="7:9" ht="15.75">
      <c r="G125" s="530" t="s">
        <v>308</v>
      </c>
      <c r="H125" s="495"/>
      <c r="I125" s="494" t="str">
        <f>cert!F49</f>
        <v>No</v>
      </c>
    </row>
    <row r="126" spans="2:3" ht="15.75">
      <c r="B126" s="1"/>
      <c r="C126" s="1"/>
    </row>
    <row r="143" spans="3:4" ht="15.75" hidden="1">
      <c r="C143" s="5">
        <f>IF(C111&gt;C113,"See Tab A","")</f>
      </c>
      <c r="D143" s="5">
        <f>IF(D111&gt;D113,"See Tab C","")</f>
      </c>
    </row>
    <row r="144" spans="3:4" ht="15.75" hidden="1">
      <c r="C144" s="5">
        <f>IF(C112&lt;0,"See Tab B","")</f>
      </c>
      <c r="D144" s="5">
        <f>IF(D112&lt;0,"See Tab D","")</f>
      </c>
    </row>
  </sheetData>
  <sheetProtection/>
  <mergeCells count="8">
    <mergeCell ref="B120:E120"/>
    <mergeCell ref="G101:J101"/>
    <mergeCell ref="C114:D114"/>
    <mergeCell ref="C115:D115"/>
    <mergeCell ref="C118:D118"/>
    <mergeCell ref="C119:D119"/>
    <mergeCell ref="G108:J108"/>
    <mergeCell ref="G118:J118"/>
  </mergeCells>
  <conditionalFormatting sqref="E114">
    <cfRule type="cellIs" priority="2" dxfId="9" operator="greaterThan" stopIfTrue="1">
      <formula>$E$111/0.95-$E$111</formula>
    </cfRule>
  </conditionalFormatting>
  <conditionalFormatting sqref="E109">
    <cfRule type="cellIs" priority="3" dxfId="9" operator="greaterThan" stopIfTrue="1">
      <formula>$E$111*0.1</formula>
    </cfRule>
  </conditionalFormatting>
  <conditionalFormatting sqref="D111">
    <cfRule type="cellIs" priority="4" dxfId="0" operator="greaterThan" stopIfTrue="1">
      <formula>$D$113</formula>
    </cfRule>
  </conditionalFormatting>
  <conditionalFormatting sqref="C111">
    <cfRule type="cellIs" priority="5" dxfId="0" operator="greaterThan" stopIfTrue="1">
      <formula>$C$113</formula>
    </cfRule>
  </conditionalFormatting>
  <conditionalFormatting sqref="C112">
    <cfRule type="cellIs" priority="6" dxfId="0" operator="lessThan" stopIfTrue="1">
      <formula>0</formula>
    </cfRule>
  </conditionalFormatting>
  <conditionalFormatting sqref="C109">
    <cfRule type="cellIs" priority="7" dxfId="0" operator="greaterThan" stopIfTrue="1">
      <formula>$C$111*0.1</formula>
    </cfRule>
  </conditionalFormatting>
  <conditionalFormatting sqref="D109">
    <cfRule type="cellIs" priority="8" dxfId="0" operator="greaterThan" stopIfTrue="1">
      <formula>$D$111*0.1</formula>
    </cfRule>
  </conditionalFormatting>
  <conditionalFormatting sqref="D54">
    <cfRule type="cellIs" priority="9" dxfId="0" operator="greaterThan" stopIfTrue="1">
      <formula>$D$56*0.1</formula>
    </cfRule>
  </conditionalFormatting>
  <conditionalFormatting sqref="C54">
    <cfRule type="cellIs" priority="10" dxfId="0" operator="greaterThan" stopIfTrue="1">
      <formula>$C$56*0.1</formula>
    </cfRule>
  </conditionalFormatting>
  <conditionalFormatting sqref="E54">
    <cfRule type="cellIs" priority="11" dxfId="9" operator="greaterThan" stopIfTrue="1">
      <formula>$E$56*0.1+E118</formula>
    </cfRule>
  </conditionalFormatting>
  <conditionalFormatting sqref="D112">
    <cfRule type="cellIs" priority="1" dxfId="2" operator="lessThan" stopIfTrue="1">
      <formula>0</formula>
    </cfRule>
  </conditionalFormatting>
  <printOptions/>
  <pageMargins left="0.5" right="0.5" top="1" bottom="0.5" header="0.5" footer="0.25"/>
  <pageSetup blackAndWhite="1" fitToHeight="2" horizontalDpi="120" verticalDpi="120" orientation="portrait" scale="68" r:id="rId1"/>
  <headerFooter alignWithMargins="0">
    <oddHeader>&amp;RState of Kansas
City
</oddHeader>
  </headerFooter>
  <rowBreaks count="1" manualBreakCount="1">
    <brk id="60"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D62"/>
  <sheetViews>
    <sheetView zoomScalePageLayoutView="0" workbookViewId="0" topLeftCell="A22">
      <selection activeCell="D36" sqref="D36"/>
    </sheetView>
  </sheetViews>
  <sheetFormatPr defaultColWidth="8.796875" defaultRowHeight="15"/>
  <cols>
    <col min="1" max="1" width="28.296875" style="1" customWidth="1"/>
    <col min="2" max="3" width="15.69921875" style="1" customWidth="1"/>
    <col min="4" max="4" width="16.09765625" style="1" customWidth="1"/>
    <col min="5" max="16384" width="8.8984375" style="1" customWidth="1"/>
  </cols>
  <sheetData>
    <row r="1" spans="1:4" ht="15.75">
      <c r="A1" s="128" t="str">
        <f>inputPrYr!D2</f>
        <v>City of Buffalo</v>
      </c>
      <c r="B1" s="4"/>
      <c r="C1" s="126"/>
      <c r="D1" s="4">
        <f>inputPrYr!C5</f>
        <v>2015</v>
      </c>
    </row>
    <row r="2" spans="1:4" ht="15.75">
      <c r="A2" s="4"/>
      <c r="B2" s="4"/>
      <c r="C2" s="4"/>
      <c r="D2" s="126"/>
    </row>
    <row r="3" spans="1:4" ht="15.75">
      <c r="A3" s="19"/>
      <c r="B3" s="220"/>
      <c r="C3" s="220"/>
      <c r="D3" s="220"/>
    </row>
    <row r="4" spans="1:4" ht="15.75">
      <c r="A4" s="126" t="s">
        <v>24</v>
      </c>
      <c r="B4" s="221" t="s">
        <v>263</v>
      </c>
      <c r="C4" s="103" t="s">
        <v>266</v>
      </c>
      <c r="D4" s="103" t="s">
        <v>267</v>
      </c>
    </row>
    <row r="5" spans="1:4" ht="15.75">
      <c r="A5" s="378" t="s">
        <v>210</v>
      </c>
      <c r="B5" s="281" t="str">
        <f>CONCATENATE("Actual for ",D1-2,"")</f>
        <v>Actual for 2013</v>
      </c>
      <c r="C5" s="281" t="str">
        <f>CONCATENATE("Estimate for ",D1-1,"")</f>
        <v>Estimate for 2014</v>
      </c>
      <c r="D5" s="198" t="str">
        <f>CONCATENATE("Year for ",D1,"")</f>
        <v>Year for 2015</v>
      </c>
    </row>
    <row r="6" spans="1:4" ht="15.75">
      <c r="A6" s="167" t="s">
        <v>34</v>
      </c>
      <c r="B6" s="46"/>
      <c r="C6" s="46"/>
      <c r="D6" s="46"/>
    </row>
    <row r="7" spans="1:4" ht="15.75">
      <c r="A7" s="551" t="s">
        <v>341</v>
      </c>
      <c r="B7" s="46"/>
      <c r="C7" s="46"/>
      <c r="D7" s="46"/>
    </row>
    <row r="8" spans="1:4" ht="15.75">
      <c r="A8" s="552" t="s">
        <v>342</v>
      </c>
      <c r="B8" s="205">
        <v>25018</v>
      </c>
      <c r="C8" s="205">
        <v>26796</v>
      </c>
      <c r="D8" s="205">
        <v>29476</v>
      </c>
    </row>
    <row r="9" spans="1:4" ht="15.75">
      <c r="A9" s="552" t="s">
        <v>343</v>
      </c>
      <c r="B9" s="205">
        <v>19288</v>
      </c>
      <c r="C9" s="205">
        <v>12828</v>
      </c>
      <c r="D9" s="205">
        <v>15000</v>
      </c>
    </row>
    <row r="10" spans="1:4" ht="15.75">
      <c r="A10" s="552" t="s">
        <v>35</v>
      </c>
      <c r="B10" s="205">
        <v>5549</v>
      </c>
      <c r="C10" s="205">
        <v>6222</v>
      </c>
      <c r="D10" s="205">
        <v>6300</v>
      </c>
    </row>
    <row r="11" spans="1:4" ht="15.75">
      <c r="A11" s="552" t="s">
        <v>36</v>
      </c>
      <c r="B11" s="205">
        <v>0</v>
      </c>
      <c r="C11" s="205">
        <v>0</v>
      </c>
      <c r="D11" s="205">
        <v>0</v>
      </c>
    </row>
    <row r="12" spans="1:4" ht="15.75">
      <c r="A12" s="222"/>
      <c r="B12" s="205"/>
      <c r="C12" s="205"/>
      <c r="D12" s="205"/>
    </row>
    <row r="13" spans="1:4" ht="15.75">
      <c r="A13" s="31"/>
      <c r="B13" s="205"/>
      <c r="C13" s="205"/>
      <c r="D13" s="205"/>
    </row>
    <row r="14" spans="1:4" ht="15.75">
      <c r="A14" s="31"/>
      <c r="B14" s="205"/>
      <c r="C14" s="205"/>
      <c r="D14" s="205"/>
    </row>
    <row r="15" spans="1:4" ht="15.75">
      <c r="A15" s="167" t="s">
        <v>215</v>
      </c>
      <c r="B15" s="216">
        <f>SUM(B8:B14)</f>
        <v>49855</v>
      </c>
      <c r="C15" s="216">
        <f>SUM(C8:C14)</f>
        <v>45846</v>
      </c>
      <c r="D15" s="216">
        <f>SUM(D8:D14)</f>
        <v>50776</v>
      </c>
    </row>
    <row r="16" spans="1:4" ht="15.75">
      <c r="A16" s="553" t="s">
        <v>344</v>
      </c>
      <c r="B16" s="128"/>
      <c r="C16" s="128"/>
      <c r="D16" s="128"/>
    </row>
    <row r="17" spans="1:4" ht="15.75">
      <c r="A17" s="552" t="s">
        <v>343</v>
      </c>
      <c r="B17" s="205">
        <v>4868</v>
      </c>
      <c r="C17" s="205">
        <v>4771</v>
      </c>
      <c r="D17" s="205">
        <v>6000</v>
      </c>
    </row>
    <row r="18" spans="1:4" ht="15.75">
      <c r="A18" s="222"/>
      <c r="B18" s="205"/>
      <c r="C18" s="205"/>
      <c r="D18" s="205"/>
    </row>
    <row r="19" spans="1:4" ht="15.75">
      <c r="A19" s="222"/>
      <c r="B19" s="205"/>
      <c r="C19" s="205"/>
      <c r="D19" s="205"/>
    </row>
    <row r="20" spans="1:4" ht="15.75">
      <c r="A20" s="222"/>
      <c r="B20" s="205"/>
      <c r="C20" s="205"/>
      <c r="D20" s="205"/>
    </row>
    <row r="21" spans="1:4" ht="15.75">
      <c r="A21" s="167" t="s">
        <v>215</v>
      </c>
      <c r="B21" s="216">
        <f>SUM(B17:B20)</f>
        <v>4868</v>
      </c>
      <c r="C21" s="216">
        <f>SUM(C17:C20)</f>
        <v>4771</v>
      </c>
      <c r="D21" s="216">
        <f>SUM(D17:D20)</f>
        <v>6000</v>
      </c>
    </row>
    <row r="22" spans="1:4" ht="15.75">
      <c r="A22" s="553" t="s">
        <v>345</v>
      </c>
      <c r="B22" s="128"/>
      <c r="C22" s="128"/>
      <c r="D22" s="128"/>
    </row>
    <row r="23" spans="1:4" ht="15.75">
      <c r="A23" s="552" t="s">
        <v>343</v>
      </c>
      <c r="B23" s="205">
        <v>0</v>
      </c>
      <c r="C23" s="205">
        <v>0</v>
      </c>
      <c r="D23" s="205">
        <v>1000</v>
      </c>
    </row>
    <row r="24" spans="1:4" ht="15.75">
      <c r="A24" s="552" t="s">
        <v>35</v>
      </c>
      <c r="B24" s="205">
        <v>168.73</v>
      </c>
      <c r="C24" s="205">
        <v>0</v>
      </c>
      <c r="D24" s="205">
        <v>1000</v>
      </c>
    </row>
    <row r="25" spans="1:4" ht="15.75">
      <c r="A25" s="222" t="s">
        <v>36</v>
      </c>
      <c r="B25" s="205">
        <v>0</v>
      </c>
      <c r="C25" s="205">
        <v>0</v>
      </c>
      <c r="D25" s="205">
        <v>0</v>
      </c>
    </row>
    <row r="26" spans="1:4" ht="15.75">
      <c r="A26" s="222"/>
      <c r="B26" s="205"/>
      <c r="C26" s="205"/>
      <c r="D26" s="205"/>
    </row>
    <row r="27" spans="1:4" ht="15.75">
      <c r="A27" s="167" t="s">
        <v>215</v>
      </c>
      <c r="B27" s="216">
        <f>SUM(B23:B26)</f>
        <v>168.73</v>
      </c>
      <c r="C27" s="216">
        <f>SUM(C23:C26)</f>
        <v>0</v>
      </c>
      <c r="D27" s="216">
        <f>SUM(D23:D26)</f>
        <v>2000</v>
      </c>
    </row>
    <row r="28" spans="1:4" ht="15.75">
      <c r="A28" s="553" t="s">
        <v>346</v>
      </c>
      <c r="B28" s="128"/>
      <c r="C28" s="128"/>
      <c r="D28" s="128"/>
    </row>
    <row r="29" spans="1:4" ht="15.75">
      <c r="A29" s="552" t="s">
        <v>347</v>
      </c>
      <c r="B29" s="205">
        <v>1303</v>
      </c>
      <c r="C29" s="205">
        <v>1522</v>
      </c>
      <c r="D29" s="205">
        <v>1674</v>
      </c>
    </row>
    <row r="30" spans="1:4" ht="15.75">
      <c r="A30" s="552" t="s">
        <v>343</v>
      </c>
      <c r="B30" s="205">
        <v>18637</v>
      </c>
      <c r="C30" s="205">
        <v>19162</v>
      </c>
      <c r="D30" s="205">
        <v>19200</v>
      </c>
    </row>
    <row r="31" spans="1:4" ht="15.75">
      <c r="A31" s="552" t="s">
        <v>35</v>
      </c>
      <c r="B31" s="205">
        <v>630</v>
      </c>
      <c r="C31" s="205">
        <v>782</v>
      </c>
      <c r="D31" s="205">
        <v>800</v>
      </c>
    </row>
    <row r="32" spans="1:4" ht="15.75">
      <c r="A32" s="222" t="s">
        <v>36</v>
      </c>
      <c r="B32" s="205">
        <v>0</v>
      </c>
      <c r="C32" s="205">
        <v>0</v>
      </c>
      <c r="D32" s="205">
        <v>0</v>
      </c>
    </row>
    <row r="33" spans="1:4" ht="15.75">
      <c r="A33" s="167" t="s">
        <v>215</v>
      </c>
      <c r="B33" s="216">
        <f>SUM(B29:B32)</f>
        <v>20570</v>
      </c>
      <c r="C33" s="216">
        <f>SUM(C29:C32)</f>
        <v>21466</v>
      </c>
      <c r="D33" s="216">
        <f>SUM(D29:D32)</f>
        <v>21674</v>
      </c>
    </row>
    <row r="34" spans="1:4" ht="15.75">
      <c r="A34" s="553" t="s">
        <v>348</v>
      </c>
      <c r="B34" s="128"/>
      <c r="C34" s="128"/>
      <c r="D34" s="128"/>
    </row>
    <row r="35" spans="1:4" ht="15.75">
      <c r="A35" s="552" t="s">
        <v>35</v>
      </c>
      <c r="B35" s="205">
        <v>0</v>
      </c>
      <c r="C35" s="205">
        <v>0</v>
      </c>
      <c r="D35" s="205">
        <v>20853</v>
      </c>
    </row>
    <row r="36" spans="1:4" ht="15.75">
      <c r="A36" s="222"/>
      <c r="B36" s="205"/>
      <c r="C36" s="205"/>
      <c r="D36" s="205"/>
    </row>
    <row r="37" spans="1:4" ht="15.75">
      <c r="A37" s="222"/>
      <c r="B37" s="205"/>
      <c r="C37" s="205"/>
      <c r="D37" s="205"/>
    </row>
    <row r="38" spans="1:4" ht="15.75">
      <c r="A38" s="222"/>
      <c r="B38" s="205"/>
      <c r="C38" s="205"/>
      <c r="D38" s="205"/>
    </row>
    <row r="39" spans="1:4" ht="15.75">
      <c r="A39" s="167" t="s">
        <v>215</v>
      </c>
      <c r="B39" s="216">
        <f>SUM(B35:B38)</f>
        <v>0</v>
      </c>
      <c r="C39" s="216">
        <f>SUM(C35:C38)</f>
        <v>0</v>
      </c>
      <c r="D39" s="216">
        <f>SUM(D35:D38)</f>
        <v>20853</v>
      </c>
    </row>
    <row r="40" spans="1:4" ht="15.75">
      <c r="A40" s="553" t="s">
        <v>349</v>
      </c>
      <c r="B40" s="128"/>
      <c r="C40" s="128"/>
      <c r="D40" s="128"/>
    </row>
    <row r="41" spans="1:4" ht="15.75">
      <c r="A41" s="552" t="s">
        <v>347</v>
      </c>
      <c r="B41" s="205">
        <v>632</v>
      </c>
      <c r="C41" s="205">
        <v>665</v>
      </c>
      <c r="D41" s="205">
        <v>665</v>
      </c>
    </row>
    <row r="42" spans="1:4" ht="15.75">
      <c r="A42" s="552" t="s">
        <v>343</v>
      </c>
      <c r="B42" s="205">
        <v>2800</v>
      </c>
      <c r="C42" s="205">
        <v>4354</v>
      </c>
      <c r="D42" s="205">
        <v>4360</v>
      </c>
    </row>
    <row r="43" spans="1:4" ht="15.75">
      <c r="A43" s="552" t="s">
        <v>35</v>
      </c>
      <c r="B43" s="205">
        <v>947</v>
      </c>
      <c r="C43" s="205">
        <v>54</v>
      </c>
      <c r="D43" s="205">
        <v>1000</v>
      </c>
    </row>
    <row r="44" spans="1:4" ht="15.75">
      <c r="A44" s="552" t="s">
        <v>36</v>
      </c>
      <c r="B44" s="205">
        <v>0</v>
      </c>
      <c r="C44" s="205">
        <v>0</v>
      </c>
      <c r="D44" s="205">
        <v>0</v>
      </c>
    </row>
    <row r="45" spans="1:4" ht="15.75">
      <c r="A45" s="167" t="s">
        <v>215</v>
      </c>
      <c r="B45" s="216">
        <f>SUM(B41:B44)</f>
        <v>4379</v>
      </c>
      <c r="C45" s="216">
        <f>SUM(C41:C44)</f>
        <v>5073</v>
      </c>
      <c r="D45" s="216">
        <f>SUM(D41:D44)</f>
        <v>6025</v>
      </c>
    </row>
    <row r="46" spans="1:4" ht="15.75">
      <c r="A46" s="553" t="s">
        <v>350</v>
      </c>
      <c r="B46" s="128"/>
      <c r="C46" s="128"/>
      <c r="D46" s="128"/>
    </row>
    <row r="47" spans="1:4" ht="15.75">
      <c r="A47" s="552" t="s">
        <v>343</v>
      </c>
      <c r="B47" s="205">
        <v>0</v>
      </c>
      <c r="C47" s="205">
        <v>0</v>
      </c>
      <c r="D47" s="205">
        <v>5000</v>
      </c>
    </row>
    <row r="48" spans="1:4" ht="15.75">
      <c r="A48" s="552"/>
      <c r="B48" s="205"/>
      <c r="C48" s="205"/>
      <c r="D48" s="205"/>
    </row>
    <row r="49" spans="1:4" ht="15.75">
      <c r="A49" s="222"/>
      <c r="B49" s="205"/>
      <c r="C49" s="205"/>
      <c r="D49" s="205"/>
    </row>
    <row r="50" spans="1:4" ht="15.75">
      <c r="A50" s="222"/>
      <c r="B50" s="205"/>
      <c r="C50" s="205"/>
      <c r="D50" s="205"/>
    </row>
    <row r="51" spans="1:4" ht="15.75">
      <c r="A51" s="167" t="s">
        <v>215</v>
      </c>
      <c r="B51" s="216">
        <f>SUM(B47:B50)</f>
        <v>0</v>
      </c>
      <c r="C51" s="216">
        <f>SUM(C47:C50)</f>
        <v>0</v>
      </c>
      <c r="D51" s="216">
        <f>SUM(D47:D50)</f>
        <v>5000</v>
      </c>
    </row>
    <row r="52" spans="1:4" ht="15.75">
      <c r="A52" s="223"/>
      <c r="B52" s="128"/>
      <c r="C52" s="128"/>
      <c r="D52" s="128"/>
    </row>
    <row r="53" spans="1:4" ht="15.75">
      <c r="A53" s="222"/>
      <c r="B53" s="205"/>
      <c r="C53" s="205"/>
      <c r="D53" s="205"/>
    </row>
    <row r="54" spans="1:4" ht="15.75">
      <c r="A54" s="222"/>
      <c r="B54" s="205"/>
      <c r="C54" s="205"/>
      <c r="D54" s="205"/>
    </row>
    <row r="55" spans="1:4" ht="15.75">
      <c r="A55" s="222"/>
      <c r="B55" s="205"/>
      <c r="C55" s="205"/>
      <c r="D55" s="205"/>
    </row>
    <row r="56" spans="1:4" ht="15.75">
      <c r="A56" s="222"/>
      <c r="B56" s="205"/>
      <c r="C56" s="205"/>
      <c r="D56" s="205"/>
    </row>
    <row r="57" spans="1:4" ht="15.75">
      <c r="A57" s="167" t="s">
        <v>215</v>
      </c>
      <c r="B57" s="216">
        <f>SUM(B53:B56)</f>
        <v>0</v>
      </c>
      <c r="C57" s="216">
        <f>SUM(C53:C56)</f>
        <v>0</v>
      </c>
      <c r="D57" s="216">
        <f>SUM(D53:D56)</f>
        <v>0</v>
      </c>
    </row>
    <row r="58" spans="1:4" ht="15.75">
      <c r="A58" s="4"/>
      <c r="B58" s="128"/>
      <c r="C58" s="128"/>
      <c r="D58" s="128"/>
    </row>
    <row r="59" spans="1:4" ht="16.5" thickBot="1">
      <c r="A59" s="167" t="s">
        <v>41</v>
      </c>
      <c r="B59" s="224">
        <f>B15+B21+B27+B33+B39+B45+B51+B57</f>
        <v>79840.73000000001</v>
      </c>
      <c r="C59" s="224">
        <f>C15+C21+C27+C33+C39+C45+C51+C57</f>
        <v>77156</v>
      </c>
      <c r="D59" s="224">
        <f>D15+D21+D27+D33+D39+D45+D51+D57</f>
        <v>112328</v>
      </c>
    </row>
    <row r="60" spans="1:4" ht="16.5" thickTop="1">
      <c r="A60" s="225" t="s">
        <v>209</v>
      </c>
      <c r="B60" s="128"/>
      <c r="C60" s="128"/>
      <c r="D60" s="128"/>
    </row>
    <row r="61" spans="1:4" ht="15.75">
      <c r="A61" s="501" t="s">
        <v>379</v>
      </c>
      <c r="B61" s="502"/>
      <c r="C61" s="502"/>
      <c r="D61" s="502"/>
    </row>
    <row r="62" spans="1:4" ht="15.75">
      <c r="A62" s="97" t="s">
        <v>40</v>
      </c>
      <c r="B62" s="406" t="str">
        <f>CONCATENATE("",general!D59,"b")</f>
        <v>7b</v>
      </c>
      <c r="C62" s="128"/>
      <c r="D62" s="128"/>
    </row>
  </sheetData>
  <sheetProtection/>
  <mergeCells count="1">
    <mergeCell ref="A61:D61"/>
  </mergeCells>
  <printOptions/>
  <pageMargins left="0.5" right="0.5" top="1" bottom="0.5" header="0.5" footer="0.5"/>
  <pageSetup blackAndWhite="1" fitToHeight="1" fitToWidth="1" horizontalDpi="300" verticalDpi="300" orientation="portrait" scale="78" r:id="rId1"/>
  <headerFooter alignWithMargins="0">
    <oddHeader>&amp;RState of Kansas
City
</oddHeader>
  </headerFooter>
</worksheet>
</file>

<file path=xl/worksheets/sheet12.xml><?xml version="1.0" encoding="utf-8"?>
<worksheet xmlns="http://schemas.openxmlformats.org/spreadsheetml/2006/main" xmlns:r="http://schemas.openxmlformats.org/officeDocument/2006/relationships">
  <dimension ref="B1:K94"/>
  <sheetViews>
    <sheetView zoomScale="85" zoomScaleNormal="85" workbookViewId="0" topLeftCell="A1">
      <selection activeCell="F77" sqref="F77"/>
    </sheetView>
  </sheetViews>
  <sheetFormatPr defaultColWidth="8.796875" defaultRowHeight="15"/>
  <cols>
    <col min="1" max="1" width="2.3984375" style="5" customWidth="1"/>
    <col min="2" max="2" width="31.09765625" style="5" customWidth="1"/>
    <col min="3" max="4" width="15.69921875" style="5" customWidth="1"/>
    <col min="5" max="5" width="16.19921875" style="5" customWidth="1"/>
    <col min="6" max="6" width="8.09765625" style="5" customWidth="1"/>
    <col min="7" max="7" width="10.19921875" style="5" customWidth="1"/>
    <col min="8" max="8" width="8.8984375" style="5" customWidth="1"/>
    <col min="9" max="9" width="5" style="5" customWidth="1"/>
    <col min="10" max="10" width="10" style="5" customWidth="1"/>
    <col min="11" max="16384" width="8.8984375" style="5" customWidth="1"/>
  </cols>
  <sheetData>
    <row r="1" spans="2:5" ht="15.75">
      <c r="B1" s="128" t="str">
        <f>(inputPrYr!D2)</f>
        <v>City of Buffalo</v>
      </c>
      <c r="C1" s="128"/>
      <c r="D1" s="4"/>
      <c r="E1" s="161">
        <f>inputPrYr!$C$5</f>
        <v>2015</v>
      </c>
    </row>
    <row r="2" spans="2:5" ht="15.75">
      <c r="B2" s="4"/>
      <c r="C2" s="4"/>
      <c r="D2" s="4"/>
      <c r="E2" s="124"/>
    </row>
    <row r="3" spans="2:5" ht="15.75">
      <c r="B3" s="19" t="s">
        <v>87</v>
      </c>
      <c r="C3" s="19"/>
      <c r="D3" s="290"/>
      <c r="E3" s="289"/>
    </row>
    <row r="4" spans="2:5" ht="15.75">
      <c r="B4" s="7" t="s">
        <v>24</v>
      </c>
      <c r="C4" s="457" t="s">
        <v>263</v>
      </c>
      <c r="D4" s="458" t="s">
        <v>266</v>
      </c>
      <c r="E4" s="103" t="s">
        <v>267</v>
      </c>
    </row>
    <row r="5" spans="2:5" ht="15.75">
      <c r="B5" s="297" t="str">
        <f>inputPrYr!B18</f>
        <v>G.O. Bond &amp; Interest</v>
      </c>
      <c r="C5" s="281" t="str">
        <f>CONCATENATE("Actual for ",E1-2,"")</f>
        <v>Actual for 2013</v>
      </c>
      <c r="D5" s="281" t="str">
        <f>CONCATENATE("Estimate for ",E1-1,"")</f>
        <v>Estimate for 2014</v>
      </c>
      <c r="E5" s="198" t="str">
        <f>CONCATENATE("Year for ",E1,"")</f>
        <v>Year for 2015</v>
      </c>
    </row>
    <row r="6" spans="2:5" ht="15.75">
      <c r="B6" s="109" t="s">
        <v>130</v>
      </c>
      <c r="C6" s="427">
        <v>0</v>
      </c>
      <c r="D6" s="280">
        <f>C34</f>
        <v>0</v>
      </c>
      <c r="E6" s="169">
        <f>D34</f>
        <v>0</v>
      </c>
    </row>
    <row r="7" spans="2:5" ht="15.75">
      <c r="B7" s="109" t="s">
        <v>132</v>
      </c>
      <c r="C7" s="280"/>
      <c r="D7" s="280"/>
      <c r="E7" s="169"/>
    </row>
    <row r="8" spans="2:5" ht="15.75">
      <c r="B8" s="109" t="s">
        <v>25</v>
      </c>
      <c r="C8" s="413"/>
      <c r="D8" s="280">
        <f>IF(inputPrYr!H16&gt;0,inputPrYr!G18,inputPrYr!E18)</f>
        <v>0</v>
      </c>
      <c r="E8" s="227" t="s">
        <v>13</v>
      </c>
    </row>
    <row r="9" spans="2:5" ht="15.75">
      <c r="B9" s="109" t="s">
        <v>26</v>
      </c>
      <c r="C9" s="413"/>
      <c r="D9" s="200"/>
      <c r="E9" s="28"/>
    </row>
    <row r="10" spans="2:5" ht="15.75">
      <c r="B10" s="109" t="s">
        <v>27</v>
      </c>
      <c r="C10" s="413"/>
      <c r="D10" s="200"/>
      <c r="E10" s="169" t="str">
        <f>mvalloc!D8</f>
        <v>  </v>
      </c>
    </row>
    <row r="11" spans="2:5" ht="15.75">
      <c r="B11" s="109" t="s">
        <v>28</v>
      </c>
      <c r="C11" s="413"/>
      <c r="D11" s="200"/>
      <c r="E11" s="169" t="str">
        <f>mvalloc!E8</f>
        <v> </v>
      </c>
    </row>
    <row r="12" spans="2:5" ht="15.75">
      <c r="B12" s="215" t="s">
        <v>119</v>
      </c>
      <c r="C12" s="413"/>
      <c r="D12" s="200"/>
      <c r="E12" s="169" t="str">
        <f>mvalloc!F8</f>
        <v> </v>
      </c>
    </row>
    <row r="13" spans="2:5" ht="15.75">
      <c r="B13" s="28"/>
      <c r="C13" s="413"/>
      <c r="D13" s="200"/>
      <c r="E13" s="28"/>
    </row>
    <row r="14" spans="2:5" ht="15.75">
      <c r="B14" s="200"/>
      <c r="C14" s="413"/>
      <c r="D14" s="200"/>
      <c r="E14" s="28"/>
    </row>
    <row r="15" spans="2:5" ht="15.75">
      <c r="B15" s="206"/>
      <c r="C15" s="413"/>
      <c r="D15" s="200"/>
      <c r="E15" s="28"/>
    </row>
    <row r="16" spans="2:5" ht="15.75">
      <c r="B16" s="206"/>
      <c r="C16" s="413"/>
      <c r="D16" s="200"/>
      <c r="E16" s="28"/>
    </row>
    <row r="17" spans="2:5" ht="15.75">
      <c r="B17" s="234" t="s">
        <v>30</v>
      </c>
      <c r="C17" s="413"/>
      <c r="D17" s="200"/>
      <c r="E17" s="28"/>
    </row>
    <row r="18" spans="2:5" ht="15.75">
      <c r="B18" s="109" t="s">
        <v>204</v>
      </c>
      <c r="C18" s="413"/>
      <c r="D18" s="200"/>
      <c r="E18" s="28"/>
    </row>
    <row r="19" spans="2:5" ht="15.75">
      <c r="B19" s="109" t="s">
        <v>257</v>
      </c>
      <c r="C19" s="282">
        <f>IF(C20*0.1&lt;C18,"Exceed 10% Rule","")</f>
      </c>
      <c r="D19" s="299">
        <f>IF(D20*0.1&lt;D18,"Exceed 10% Rule","")</f>
      </c>
      <c r="E19" s="228">
        <f>IF(E21*0.01+E40&lt;E18,"Exceed 10% Rule","")</f>
      </c>
    </row>
    <row r="20" spans="2:5" ht="15.75">
      <c r="B20" s="208" t="s">
        <v>31</v>
      </c>
      <c r="C20" s="283">
        <f>SUM(C8:C18)</f>
        <v>0</v>
      </c>
      <c r="D20" s="283">
        <f>SUM(D8:D18)</f>
        <v>0</v>
      </c>
      <c r="E20" s="231">
        <f>SUM(E8:E18)</f>
        <v>0</v>
      </c>
    </row>
    <row r="21" spans="2:5" ht="15.75">
      <c r="B21" s="208" t="s">
        <v>32</v>
      </c>
      <c r="C21" s="283">
        <f>C6+C20</f>
        <v>0</v>
      </c>
      <c r="D21" s="283">
        <f>D6+D20</f>
        <v>0</v>
      </c>
      <c r="E21" s="231">
        <f>E6+E20</f>
        <v>0</v>
      </c>
    </row>
    <row r="22" spans="2:5" ht="15.75">
      <c r="B22" s="109" t="s">
        <v>34</v>
      </c>
      <c r="C22" s="109"/>
      <c r="D22" s="280"/>
      <c r="E22" s="169"/>
    </row>
    <row r="23" spans="2:5" ht="15.75">
      <c r="B23" s="554" t="s">
        <v>208</v>
      </c>
      <c r="C23" s="294"/>
      <c r="D23" s="200"/>
      <c r="E23" s="28"/>
    </row>
    <row r="24" spans="2:10" ht="15.75">
      <c r="B24" s="554" t="s">
        <v>351</v>
      </c>
      <c r="C24" s="294"/>
      <c r="D24" s="200"/>
      <c r="E24" s="28"/>
      <c r="G24" s="593" t="str">
        <f>CONCATENATE("Desired Carryover Into ",E1+1,"")</f>
        <v>Desired Carryover Into 2016</v>
      </c>
      <c r="H24" s="573"/>
      <c r="I24" s="573"/>
      <c r="J24" s="584"/>
    </row>
    <row r="25" spans="2:10" ht="15.75">
      <c r="B25" s="554" t="s">
        <v>352</v>
      </c>
      <c r="C25" s="294"/>
      <c r="D25" s="200"/>
      <c r="E25" s="28"/>
      <c r="G25" s="414"/>
      <c r="H25" s="307"/>
      <c r="I25" s="410"/>
      <c r="J25" s="415"/>
    </row>
    <row r="26" spans="2:10" ht="15.75">
      <c r="B26" s="554" t="s">
        <v>353</v>
      </c>
      <c r="C26" s="294"/>
      <c r="D26" s="200"/>
      <c r="E26" s="28"/>
      <c r="G26" s="411" t="s">
        <v>248</v>
      </c>
      <c r="H26" s="410"/>
      <c r="I26" s="410"/>
      <c r="J26" s="409">
        <v>0</v>
      </c>
    </row>
    <row r="27" spans="2:10" ht="15.75">
      <c r="B27" s="206"/>
      <c r="C27" s="294"/>
      <c r="D27" s="200"/>
      <c r="E27" s="28"/>
      <c r="G27" s="414" t="s">
        <v>249</v>
      </c>
      <c r="H27" s="307"/>
      <c r="I27" s="307"/>
      <c r="J27" s="428">
        <f>IF(J26=0,"",ROUND((J26+E40-G39)/inputOth!E7*1000,3)-G44)</f>
      </c>
    </row>
    <row r="28" spans="2:10" ht="15.75">
      <c r="B28" s="206"/>
      <c r="C28" s="294"/>
      <c r="D28" s="200"/>
      <c r="E28" s="28"/>
      <c r="G28" s="419" t="str">
        <f>CONCATENATE("",E1," Tot Exp/Non-Appr Must Be:")</f>
        <v>2015 Tot Exp/Non-Appr Must Be:</v>
      </c>
      <c r="H28" s="417"/>
      <c r="I28" s="418"/>
      <c r="J28" s="416">
        <f>IF(J26&gt;0,IF(E37&lt;E21,IF(J26=G39,E37,((J26-G39)*(1-D39))+E21),E37+(J26-G39)),0)</f>
        <v>0</v>
      </c>
    </row>
    <row r="29" spans="2:10" ht="15.75">
      <c r="B29" s="206"/>
      <c r="C29" s="294"/>
      <c r="D29" s="200"/>
      <c r="E29" s="28"/>
      <c r="G29" s="423" t="s">
        <v>268</v>
      </c>
      <c r="H29" s="424"/>
      <c r="I29" s="424"/>
      <c r="J29" s="420">
        <f>IF(J26&gt;0,J28-E37,0)</f>
        <v>0</v>
      </c>
    </row>
    <row r="30" spans="2:5" ht="15.75">
      <c r="B30" s="292" t="s">
        <v>205</v>
      </c>
      <c r="C30" s="294"/>
      <c r="D30" s="200"/>
      <c r="E30" s="169"/>
    </row>
    <row r="31" spans="2:10" ht="15.75">
      <c r="B31" s="292" t="s">
        <v>204</v>
      </c>
      <c r="C31" s="294"/>
      <c r="D31" s="200"/>
      <c r="E31" s="28"/>
      <c r="G31" s="589" t="str">
        <f>CONCATENATE("Projected Carryover Into ",E1+1,"")</f>
        <v>Projected Carryover Into 2016</v>
      </c>
      <c r="H31" s="590"/>
      <c r="I31" s="590"/>
      <c r="J31" s="584"/>
    </row>
    <row r="32" spans="2:10" ht="15.75">
      <c r="B32" s="292" t="s">
        <v>244</v>
      </c>
      <c r="C32" s="293">
        <f>IF(C33*0.1&lt;C31,"Exceed 10% Rule","")</f>
      </c>
      <c r="D32" s="300">
        <f>IF(D33*0.1&lt;D31,"Exceed 10% Rule","")</f>
      </c>
      <c r="E32" s="291">
        <f>IF(E33*0.1&lt;E31,"Exceed 10% Rule","")</f>
      </c>
      <c r="G32" s="343"/>
      <c r="H32" s="342"/>
      <c r="I32" s="342"/>
      <c r="J32" s="407"/>
    </row>
    <row r="33" spans="2:10" ht="15.75">
      <c r="B33" s="208" t="s">
        <v>37</v>
      </c>
      <c r="C33" s="295">
        <f>SUM(C23:C31)</f>
        <v>0</v>
      </c>
      <c r="D33" s="295">
        <f>SUM(D23:D31)</f>
        <v>0</v>
      </c>
      <c r="E33" s="209">
        <f>SUM(E23:E31)</f>
        <v>0</v>
      </c>
      <c r="G33" s="345">
        <f>D34</f>
        <v>0</v>
      </c>
      <c r="H33" s="346" t="str">
        <f>CONCATENATE("",E1-1," Ending Cash Balance (est.)")</f>
        <v>2014 Ending Cash Balance (est.)</v>
      </c>
      <c r="I33" s="323"/>
      <c r="J33" s="407"/>
    </row>
    <row r="34" spans="2:10" ht="15.75">
      <c r="B34" s="109" t="s">
        <v>131</v>
      </c>
      <c r="C34" s="296">
        <f>C21-C33</f>
        <v>0</v>
      </c>
      <c r="D34" s="296">
        <f>D21-D33</f>
        <v>0</v>
      </c>
      <c r="E34" s="227" t="s">
        <v>13</v>
      </c>
      <c r="G34" s="345">
        <f>E20</f>
        <v>0</v>
      </c>
      <c r="H34" s="347" t="str">
        <f>CONCATENATE("",E1," Non-AV Receipts (est.)")</f>
        <v>2015 Non-AV Receipts (est.)</v>
      </c>
      <c r="I34" s="342"/>
      <c r="J34" s="407"/>
    </row>
    <row r="35" spans="2:11" ht="15.75">
      <c r="B35" s="126" t="str">
        <f>CONCATENATE("",E1-2,"/",E1-1,"/",E1," Budget Authority Amount:")</f>
        <v>2013/2014/2015 Budget Authority Amount:</v>
      </c>
      <c r="C35" s="374">
        <f>inputOth!B62</f>
        <v>4343</v>
      </c>
      <c r="D35" s="509">
        <f>inputPrYr!D18</f>
        <v>0</v>
      </c>
      <c r="E35" s="169">
        <f>E33</f>
        <v>0</v>
      </c>
      <c r="F35" s="217"/>
      <c r="G35" s="349">
        <f>IF(E39&gt;0,E38,E40)</f>
        <v>0</v>
      </c>
      <c r="H35" s="347" t="str">
        <f>CONCATENATE("",E1," Ad Valorem Tax (est.)")</f>
        <v>2015 Ad Valorem Tax (est.)</v>
      </c>
      <c r="I35" s="342"/>
      <c r="J35" s="407"/>
      <c r="K35" s="426">
        <f>IF(G35=E40,"","Note: Does not include Delinquent Taxes")</f>
      </c>
    </row>
    <row r="36" spans="2:10" ht="15.75">
      <c r="B36" s="97"/>
      <c r="C36" s="577" t="s">
        <v>240</v>
      </c>
      <c r="D36" s="578"/>
      <c r="E36" s="28"/>
      <c r="F36" s="316">
        <f>IF(E33/0.95-E33&lt;E36,"Exceeds 5%","")</f>
      </c>
      <c r="G36" s="345">
        <f>SUM(G33:G35)</f>
        <v>0</v>
      </c>
      <c r="H36" s="347" t="str">
        <f>CONCATENATE("Total ",E1," Resources Available")</f>
        <v>Total 2015 Resources Available</v>
      </c>
      <c r="I36" s="323"/>
      <c r="J36" s="407"/>
    </row>
    <row r="37" spans="2:10" ht="15.75">
      <c r="B37" s="301" t="str">
        <f>CONCATENATE(C90,"     ",D90)</f>
        <v>     </v>
      </c>
      <c r="C37" s="579" t="s">
        <v>241</v>
      </c>
      <c r="D37" s="580"/>
      <c r="E37" s="169">
        <f>E33+E36</f>
        <v>0</v>
      </c>
      <c r="G37" s="350"/>
      <c r="H37" s="347"/>
      <c r="I37" s="342"/>
      <c r="J37" s="407"/>
    </row>
    <row r="38" spans="2:10" ht="15.75">
      <c r="B38" s="301" t="str">
        <f>CONCATENATE(C91,"     ",D91)</f>
        <v>     </v>
      </c>
      <c r="C38" s="218"/>
      <c r="D38" s="124" t="s">
        <v>38</v>
      </c>
      <c r="E38" s="35">
        <f>IF(E37-E21&gt;0,E37-E21,0)</f>
        <v>0</v>
      </c>
      <c r="G38" s="349">
        <f>C33</f>
        <v>0</v>
      </c>
      <c r="H38" s="347" t="str">
        <f>CONCATENATE("Less ",E1-2," Expenditures")</f>
        <v>Less 2013 Expenditures</v>
      </c>
      <c r="I38" s="342"/>
      <c r="J38" s="407"/>
    </row>
    <row r="39" spans="2:10" ht="15.75">
      <c r="B39" s="124"/>
      <c r="C39" s="287" t="s">
        <v>242</v>
      </c>
      <c r="D39" s="425">
        <f>inputOth!E47</f>
        <v>0</v>
      </c>
      <c r="E39" s="169">
        <f>ROUND(IF(D39&gt;0,(E38*D39),0),0)</f>
        <v>0</v>
      </c>
      <c r="G39" s="339">
        <f>SUM(G36-G38)</f>
        <v>0</v>
      </c>
      <c r="H39" s="340" t="str">
        <f>CONCATENATE("Projected ",E1+1," carryover (est.)")</f>
        <v>Projected 2016 carryover (est.)</v>
      </c>
      <c r="I39" s="332"/>
      <c r="J39" s="405"/>
    </row>
    <row r="40" spans="2:5" ht="16.5" thickBot="1">
      <c r="B40" s="4"/>
      <c r="C40" s="588" t="str">
        <f>CONCATENATE("Amount of  ",E1-1," Ad Valorem Tax")</f>
        <v>Amount of  2014 Ad Valorem Tax</v>
      </c>
      <c r="D40" s="596"/>
      <c r="E40" s="232">
        <f>E38+E39</f>
        <v>0</v>
      </c>
    </row>
    <row r="41" spans="2:10" ht="16.5" thickTop="1">
      <c r="B41" s="4"/>
      <c r="C41" s="588"/>
      <c r="D41" s="588"/>
      <c r="E41" s="288"/>
      <c r="G41" s="585" t="s">
        <v>273</v>
      </c>
      <c r="H41" s="586"/>
      <c r="I41" s="586"/>
      <c r="J41" s="587"/>
    </row>
    <row r="42" spans="2:10" ht="15.75">
      <c r="B42" s="4"/>
      <c r="C42" s="288"/>
      <c r="D42" s="288"/>
      <c r="E42" s="288"/>
      <c r="G42" s="460"/>
      <c r="H42" s="461"/>
      <c r="I42" s="462"/>
      <c r="J42" s="463"/>
    </row>
    <row r="43" spans="2:10" ht="15.75">
      <c r="B43" s="7"/>
      <c r="C43" s="7"/>
      <c r="D43" s="290"/>
      <c r="E43" s="290"/>
      <c r="G43" s="464" t="str">
        <f>summ!H17</f>
        <v> </v>
      </c>
      <c r="H43" s="461" t="str">
        <f>CONCATENATE("",E1," Fund Mill Rate")</f>
        <v>2015 Fund Mill Rate</v>
      </c>
      <c r="I43" s="462"/>
      <c r="J43" s="463"/>
    </row>
    <row r="44" spans="2:10" ht="15.75">
      <c r="B44" s="7" t="s">
        <v>24</v>
      </c>
      <c r="C44" s="457" t="str">
        <f aca="true" t="shared" si="0" ref="C44:E45">C4</f>
        <v>Prior Year </v>
      </c>
      <c r="D44" s="458" t="str">
        <f t="shared" si="0"/>
        <v>Current Year </v>
      </c>
      <c r="E44" s="103" t="str">
        <f t="shared" si="0"/>
        <v>Proposed Budget </v>
      </c>
      <c r="G44" s="465" t="str">
        <f>summ!E17</f>
        <v>  </v>
      </c>
      <c r="H44" s="461" t="str">
        <f>CONCATENATE("",E1-1," Fund Mill Rate")</f>
        <v>2014 Fund Mill Rate</v>
      </c>
      <c r="I44" s="462"/>
      <c r="J44" s="463"/>
    </row>
    <row r="45" spans="2:10" ht="15.75">
      <c r="B45" s="298" t="str">
        <f>inputPrYr!B19</f>
        <v>G.O. Sewer B &amp; I</v>
      </c>
      <c r="C45" s="281" t="str">
        <f t="shared" si="0"/>
        <v>Actual for 2013</v>
      </c>
      <c r="D45" s="281" t="str">
        <f t="shared" si="0"/>
        <v>Estimate for 2014</v>
      </c>
      <c r="E45" s="154" t="str">
        <f t="shared" si="0"/>
        <v>Year for 2015</v>
      </c>
      <c r="G45" s="466">
        <f>summ!H24</f>
        <v>80.298</v>
      </c>
      <c r="H45" s="461" t="str">
        <f>CONCATENATE("Total ",E1," Mill Rate")</f>
        <v>Total 2015 Mill Rate</v>
      </c>
      <c r="I45" s="462"/>
      <c r="J45" s="463"/>
    </row>
    <row r="46" spans="2:10" ht="15.75">
      <c r="B46" s="109" t="s">
        <v>130</v>
      </c>
      <c r="C46" s="294">
        <v>3478</v>
      </c>
      <c r="D46" s="280">
        <f>C74</f>
        <v>3407</v>
      </c>
      <c r="E46" s="169">
        <f>D74</f>
        <v>3370</v>
      </c>
      <c r="G46" s="465">
        <f>summ!E24</f>
        <v>62.438</v>
      </c>
      <c r="H46" s="467" t="str">
        <f>CONCATENATE("Total ",E1-1," Mill Rate")</f>
        <v>Total 2014 Mill Rate</v>
      </c>
      <c r="I46" s="468"/>
      <c r="J46" s="469"/>
    </row>
    <row r="47" spans="2:5" ht="15.75">
      <c r="B47" s="120" t="s">
        <v>132</v>
      </c>
      <c r="C47" s="109"/>
      <c r="D47" s="280"/>
      <c r="E47" s="169"/>
    </row>
    <row r="48" spans="2:9" ht="15.75">
      <c r="B48" s="109" t="s">
        <v>25</v>
      </c>
      <c r="C48" s="294"/>
      <c r="D48" s="280">
        <f>IF(inputPrYr!H16&gt;0,inputPrYr!G19,inputPrYr!E19)</f>
        <v>0</v>
      </c>
      <c r="E48" s="227" t="s">
        <v>13</v>
      </c>
      <c r="G48" s="530" t="s">
        <v>308</v>
      </c>
      <c r="H48" s="495"/>
      <c r="I48" s="494" t="str">
        <f>cert!F49</f>
        <v>No</v>
      </c>
    </row>
    <row r="49" spans="2:5" ht="15.75">
      <c r="B49" s="109" t="s">
        <v>26</v>
      </c>
      <c r="C49" s="294"/>
      <c r="D49" s="200"/>
      <c r="E49" s="28"/>
    </row>
    <row r="50" spans="2:5" ht="15.75">
      <c r="B50" s="109" t="s">
        <v>27</v>
      </c>
      <c r="C50" s="294"/>
      <c r="D50" s="200"/>
      <c r="E50" s="169" t="str">
        <f>mvalloc!D9</f>
        <v>  </v>
      </c>
    </row>
    <row r="51" spans="2:5" ht="15.75">
      <c r="B51" s="109" t="s">
        <v>28</v>
      </c>
      <c r="C51" s="294"/>
      <c r="D51" s="200"/>
      <c r="E51" s="169" t="str">
        <f>mvalloc!E9</f>
        <v> </v>
      </c>
    </row>
    <row r="52" spans="2:5" ht="15.75">
      <c r="B52" s="215" t="s">
        <v>119</v>
      </c>
      <c r="C52" s="294"/>
      <c r="D52" s="200"/>
      <c r="E52" s="169" t="str">
        <f>mvalloc!F9</f>
        <v> </v>
      </c>
    </row>
    <row r="53" spans="2:5" ht="15.75">
      <c r="B53" s="206" t="s">
        <v>354</v>
      </c>
      <c r="C53" s="294"/>
      <c r="D53" s="200"/>
      <c r="E53" s="28"/>
    </row>
    <row r="54" spans="2:5" ht="15.75">
      <c r="B54" s="206" t="s">
        <v>355</v>
      </c>
      <c r="C54" s="294">
        <v>18052</v>
      </c>
      <c r="D54" s="200">
        <v>18052</v>
      </c>
      <c r="E54" s="28">
        <v>18052</v>
      </c>
    </row>
    <row r="55" spans="2:5" ht="15.75">
      <c r="B55" s="206"/>
      <c r="C55" s="294"/>
      <c r="D55" s="200"/>
      <c r="E55" s="28"/>
    </row>
    <row r="56" spans="2:5" ht="15.75">
      <c r="B56" s="206"/>
      <c r="C56" s="294"/>
      <c r="D56" s="200"/>
      <c r="E56" s="28"/>
    </row>
    <row r="57" spans="2:5" ht="15.75">
      <c r="B57" s="234" t="s">
        <v>30</v>
      </c>
      <c r="C57" s="294">
        <v>0</v>
      </c>
      <c r="D57" s="200">
        <v>0</v>
      </c>
      <c r="E57" s="28">
        <v>0</v>
      </c>
    </row>
    <row r="58" spans="2:5" ht="15.75">
      <c r="B58" s="109" t="s">
        <v>204</v>
      </c>
      <c r="C58" s="294">
        <v>0</v>
      </c>
      <c r="D58" s="200">
        <v>0</v>
      </c>
      <c r="E58" s="28">
        <v>0</v>
      </c>
    </row>
    <row r="59" spans="2:5" ht="15.75">
      <c r="B59" s="109" t="s">
        <v>257</v>
      </c>
      <c r="C59" s="282">
        <f>IF(C60*0.1&lt;C58,"Exceed 10% Rule","")</f>
      </c>
      <c r="D59" s="299">
        <f>IF(D60*0.1&lt;D58,"Exceed 10% Rule","")</f>
      </c>
      <c r="E59" s="228">
        <f>IF(E61*0.01+E80&lt;E58,"Exceed 10% Rule","")</f>
      </c>
    </row>
    <row r="60" spans="2:5" ht="15.75">
      <c r="B60" s="208" t="s">
        <v>31</v>
      </c>
      <c r="C60" s="295">
        <f>SUM(C48:C58)</f>
        <v>18052</v>
      </c>
      <c r="D60" s="295">
        <f>SUM(D48:D58)</f>
        <v>18052</v>
      </c>
      <c r="E60" s="209">
        <f>SUM(E48:E58)</f>
        <v>18052</v>
      </c>
    </row>
    <row r="61" spans="2:5" ht="15.75">
      <c r="B61" s="208" t="s">
        <v>32</v>
      </c>
      <c r="C61" s="295">
        <f>C46+C60</f>
        <v>21530</v>
      </c>
      <c r="D61" s="295">
        <f>D46+D60</f>
        <v>21459</v>
      </c>
      <c r="E61" s="209">
        <f>E46+E60</f>
        <v>21422</v>
      </c>
    </row>
    <row r="62" spans="2:5" ht="15.75">
      <c r="B62" s="109" t="s">
        <v>34</v>
      </c>
      <c r="C62" s="109"/>
      <c r="D62" s="280"/>
      <c r="E62" s="169"/>
    </row>
    <row r="63" spans="2:5" ht="15.75">
      <c r="B63" s="554" t="s">
        <v>208</v>
      </c>
      <c r="C63" s="294"/>
      <c r="D63" s="200"/>
      <c r="E63" s="28"/>
    </row>
    <row r="64" spans="2:10" ht="15.75">
      <c r="B64" s="554" t="s">
        <v>351</v>
      </c>
      <c r="C64" s="294">
        <v>4800</v>
      </c>
      <c r="D64" s="200">
        <v>5000</v>
      </c>
      <c r="E64" s="28">
        <v>5200</v>
      </c>
      <c r="G64" s="591" t="str">
        <f>CONCATENATE("Desired Carryover Into ",E1+1,"")</f>
        <v>Desired Carryover Into 2016</v>
      </c>
      <c r="H64" s="594"/>
      <c r="I64" s="594"/>
      <c r="J64" s="595"/>
    </row>
    <row r="65" spans="2:10" ht="15.75">
      <c r="B65" s="554" t="s">
        <v>352</v>
      </c>
      <c r="C65" s="294">
        <v>13323</v>
      </c>
      <c r="D65" s="200">
        <v>13089</v>
      </c>
      <c r="E65" s="28">
        <v>12846</v>
      </c>
      <c r="G65" s="433"/>
      <c r="H65" s="429"/>
      <c r="I65" s="431"/>
      <c r="J65" s="434"/>
    </row>
    <row r="66" spans="2:10" ht="15.75">
      <c r="B66" s="206"/>
      <c r="C66" s="294"/>
      <c r="D66" s="200"/>
      <c r="E66" s="28"/>
      <c r="G66" s="432" t="s">
        <v>248</v>
      </c>
      <c r="H66" s="431"/>
      <c r="I66" s="431"/>
      <c r="J66" s="430">
        <v>0</v>
      </c>
    </row>
    <row r="67" spans="2:10" ht="15.75">
      <c r="B67" s="206" t="s">
        <v>384</v>
      </c>
      <c r="C67" s="294">
        <v>0</v>
      </c>
      <c r="D67" s="200">
        <v>0</v>
      </c>
      <c r="E67" s="28">
        <v>3376</v>
      </c>
      <c r="G67" s="433" t="s">
        <v>249</v>
      </c>
      <c r="H67" s="429"/>
      <c r="I67" s="429"/>
      <c r="J67" s="428">
        <f>IF(J66=0,"",ROUND((J66+E80-G79)/inputOth!E7*1000,3)-G84)</f>
      </c>
    </row>
    <row r="68" spans="2:10" ht="15.75">
      <c r="B68" s="206"/>
      <c r="C68" s="294"/>
      <c r="D68" s="200"/>
      <c r="E68" s="28"/>
      <c r="G68" s="438" t="str">
        <f>CONCATENATE("",E1," Tot Exp/Non-Appr Must Be:")</f>
        <v>2015 Tot Exp/Non-Appr Must Be:</v>
      </c>
      <c r="H68" s="436"/>
      <c r="I68" s="437"/>
      <c r="J68" s="435">
        <f>IF(J66&gt;0,IF(E77&lt;E61,IF(J66=G79,E77,((J66-G79)*(1-D79))+E61),E77+(J66-G79)),0)</f>
        <v>0</v>
      </c>
    </row>
    <row r="69" spans="2:10" ht="15.75">
      <c r="B69" s="206"/>
      <c r="C69" s="294"/>
      <c r="D69" s="200"/>
      <c r="E69" s="28"/>
      <c r="G69" s="440" t="s">
        <v>268</v>
      </c>
      <c r="H69" s="441"/>
      <c r="I69" s="441"/>
      <c r="J69" s="439">
        <f>IF(J66&gt;0,J68-E77,0)</f>
        <v>0</v>
      </c>
    </row>
    <row r="70" spans="2:5" ht="15.75">
      <c r="B70" s="215" t="s">
        <v>205</v>
      </c>
      <c r="C70" s="294"/>
      <c r="D70" s="200"/>
      <c r="E70" s="169"/>
    </row>
    <row r="71" spans="2:10" ht="15.75">
      <c r="B71" s="215" t="s">
        <v>204</v>
      </c>
      <c r="C71" s="294"/>
      <c r="D71" s="200"/>
      <c r="E71" s="28"/>
      <c r="G71" s="591" t="str">
        <f>CONCATENATE("Projected Carryover Into ",E1+1,"")</f>
        <v>Projected Carryover Into 2016</v>
      </c>
      <c r="H71" s="592"/>
      <c r="I71" s="592"/>
      <c r="J71" s="584"/>
    </row>
    <row r="72" spans="2:10" ht="15.75">
      <c r="B72" s="215" t="s">
        <v>243</v>
      </c>
      <c r="C72" s="282">
        <f>IF(C73*0.1&lt;C71,"Exceed 10% Rule","")</f>
      </c>
      <c r="D72" s="299">
        <f>IF(D73*0.1&lt;D71,"Exceed 10% Rule","")</f>
      </c>
      <c r="E72" s="228">
        <f>IF(E73*0.1&lt;E71,"Exceed 10% Rule","")</f>
      </c>
      <c r="G72" s="442"/>
      <c r="H72" s="429"/>
      <c r="I72" s="429"/>
      <c r="J72" s="490"/>
    </row>
    <row r="73" spans="2:10" ht="15.75">
      <c r="B73" s="208" t="s">
        <v>37</v>
      </c>
      <c r="C73" s="295">
        <f>SUM(C63:C71)</f>
        <v>18123</v>
      </c>
      <c r="D73" s="295">
        <f>SUM(D63:D71)</f>
        <v>18089</v>
      </c>
      <c r="E73" s="209">
        <f>SUM(E63:E71)</f>
        <v>21422</v>
      </c>
      <c r="G73" s="446">
        <f>D74</f>
        <v>3370</v>
      </c>
      <c r="H73" s="447" t="str">
        <f>CONCATENATE("",E1-1," Ending Cash Balance (est.)")</f>
        <v>2014 Ending Cash Balance (est.)</v>
      </c>
      <c r="I73" s="448"/>
      <c r="J73" s="490"/>
    </row>
    <row r="74" spans="2:10" ht="15.75">
      <c r="B74" s="109" t="s">
        <v>131</v>
      </c>
      <c r="C74" s="296">
        <f>C61-C73</f>
        <v>3407</v>
      </c>
      <c r="D74" s="296">
        <f>D61-D73</f>
        <v>3370</v>
      </c>
      <c r="E74" s="227" t="s">
        <v>13</v>
      </c>
      <c r="G74" s="446">
        <f>E60</f>
        <v>18052</v>
      </c>
      <c r="H74" s="431" t="str">
        <f>CONCATENATE("",E1," Non-AV Receipts (est.)")</f>
        <v>2015 Non-AV Receipts (est.)</v>
      </c>
      <c r="I74" s="448"/>
      <c r="J74" s="490"/>
    </row>
    <row r="75" spans="2:11" ht="15.75">
      <c r="B75" s="126" t="str">
        <f>CONCATENATE("",E1-2,"/",E1-1,"/",E1," Budget Authority Amount:")</f>
        <v>2013/2014/2015 Budget Authority Amount:</v>
      </c>
      <c r="C75" s="374">
        <f>inputOth!B63</f>
        <v>21516</v>
      </c>
      <c r="D75" s="374">
        <f>inputPrYr!D19</f>
        <v>21460</v>
      </c>
      <c r="E75" s="169">
        <f>E73</f>
        <v>21422</v>
      </c>
      <c r="F75" s="217"/>
      <c r="G75" s="449">
        <f>IF(E79&gt;0,E78,E80)</f>
        <v>0</v>
      </c>
      <c r="H75" s="431" t="str">
        <f>CONCATENATE("",E1," Ad Valorem Tax (est.)")</f>
        <v>2015 Ad Valorem Tax (est.)</v>
      </c>
      <c r="I75" s="448"/>
      <c r="J75" s="490"/>
      <c r="K75" s="426">
        <f>IF(G75=E80,"","Note: Does not include Delinquent Taxes")</f>
      </c>
    </row>
    <row r="76" spans="2:10" ht="15.75">
      <c r="B76" s="97"/>
      <c r="C76" s="577" t="s">
        <v>240</v>
      </c>
      <c r="D76" s="578"/>
      <c r="E76" s="28"/>
      <c r="F76" s="493">
        <f>IF(E73/0.95-E73&lt;E76,"Exceeds 5%","")</f>
      </c>
      <c r="G76" s="451">
        <f>SUM(G73:G75)</f>
        <v>21422</v>
      </c>
      <c r="H76" s="431" t="str">
        <f>CONCATENATE("Total ",E1," Resources Available")</f>
        <v>Total 2015 Resources Available</v>
      </c>
      <c r="I76" s="445"/>
      <c r="J76" s="490"/>
    </row>
    <row r="77" spans="2:10" ht="15.75">
      <c r="B77" s="301" t="str">
        <f>CONCATENATE(C93,"     ",D93)</f>
        <v>     </v>
      </c>
      <c r="C77" s="579" t="s">
        <v>241</v>
      </c>
      <c r="D77" s="580"/>
      <c r="E77" s="169">
        <f>E73+E76</f>
        <v>21422</v>
      </c>
      <c r="G77" s="454"/>
      <c r="H77" s="452"/>
      <c r="I77" s="429"/>
      <c r="J77" s="490"/>
    </row>
    <row r="78" spans="2:10" ht="15.75">
      <c r="B78" s="301" t="str">
        <f>CONCATENATE(C94,"     ",D94)</f>
        <v>     </v>
      </c>
      <c r="C78" s="218"/>
      <c r="D78" s="124" t="s">
        <v>38</v>
      </c>
      <c r="E78" s="35">
        <f>IF(E77-E61&gt;0,E77-E61,0)</f>
        <v>0</v>
      </c>
      <c r="G78" s="453">
        <f>ROUND(C73*0.05+C73,0)</f>
        <v>19029</v>
      </c>
      <c r="H78" s="452" t="str">
        <f>CONCATENATE("Less ",E1-2," Expenditures + 5%")</f>
        <v>Less 2013 Expenditures + 5%</v>
      </c>
      <c r="I78" s="445"/>
      <c r="J78" s="490"/>
    </row>
    <row r="79" spans="2:10" ht="15.75">
      <c r="B79" s="124"/>
      <c r="C79" s="287" t="s">
        <v>242</v>
      </c>
      <c r="D79" s="425">
        <f>inputOth!E47</f>
        <v>0</v>
      </c>
      <c r="E79" s="169">
        <f>ROUND(IF(D79&gt;0,(E78*D79),0),0)</f>
        <v>0</v>
      </c>
      <c r="G79" s="455">
        <f>G76-G78</f>
        <v>2393</v>
      </c>
      <c r="H79" s="456" t="str">
        <f>CONCATENATE("Projected ",E1+1," carryover (est.)")</f>
        <v>Projected 2016 carryover (est.)</v>
      </c>
      <c r="I79" s="450"/>
      <c r="J79" s="405"/>
    </row>
    <row r="80" spans="2:6" ht="16.5" thickBot="1">
      <c r="B80" s="4"/>
      <c r="C80" s="588" t="str">
        <f>CONCATENATE("Amount of  ",E1-1," Ad Valorem Tax")</f>
        <v>Amount of  2014 Ad Valorem Tax</v>
      </c>
      <c r="D80" s="596"/>
      <c r="E80" s="232">
        <f>E78+E79</f>
        <v>0</v>
      </c>
      <c r="F80" s="408"/>
    </row>
    <row r="81" spans="2:10" ht="16.5" thickTop="1">
      <c r="B81" s="4"/>
      <c r="C81" s="588"/>
      <c r="D81" s="588"/>
      <c r="E81" s="4"/>
      <c r="G81" s="585" t="s">
        <v>273</v>
      </c>
      <c r="H81" s="586"/>
      <c r="I81" s="586"/>
      <c r="J81" s="587"/>
    </row>
    <row r="82" spans="2:10" ht="15.75">
      <c r="B82" s="501" t="s">
        <v>379</v>
      </c>
      <c r="C82" s="502"/>
      <c r="D82" s="502"/>
      <c r="E82" s="502"/>
      <c r="G82" s="460"/>
      <c r="H82" s="461"/>
      <c r="I82" s="462"/>
      <c r="J82" s="463"/>
    </row>
    <row r="83" spans="2:10" ht="15.75">
      <c r="B83" s="97" t="s">
        <v>40</v>
      </c>
      <c r="C83" s="226">
        <v>8</v>
      </c>
      <c r="D83" s="56"/>
      <c r="E83" s="4"/>
      <c r="G83" s="464" t="str">
        <f>summ!H18</f>
        <v> </v>
      </c>
      <c r="H83" s="461" t="str">
        <f>CONCATENATE("",E1," Fund Mill Rate")</f>
        <v>2015 Fund Mill Rate</v>
      </c>
      <c r="I83" s="462"/>
      <c r="J83" s="463"/>
    </row>
    <row r="84" spans="2:10" ht="15.75">
      <c r="B84" s="286"/>
      <c r="G84" s="465" t="str">
        <f>summ!E18</f>
        <v>  </v>
      </c>
      <c r="H84" s="461" t="str">
        <f>CONCATENATE("",E1-1," Fund Mill Rate")</f>
        <v>2014 Fund Mill Rate</v>
      </c>
      <c r="I84" s="462"/>
      <c r="J84" s="463"/>
    </row>
    <row r="85" spans="3:10" ht="15.75">
      <c r="C85" s="61"/>
      <c r="G85" s="466">
        <f>summ!H24</f>
        <v>80.298</v>
      </c>
      <c r="H85" s="461" t="str">
        <f>CONCATENATE("Total ",E1," Mill Rate")</f>
        <v>Total 2015 Mill Rate</v>
      </c>
      <c r="I85" s="462"/>
      <c r="J85" s="463"/>
    </row>
    <row r="86" spans="2:10" ht="15.75">
      <c r="B86" s="61"/>
      <c r="G86" s="465">
        <f>summ!E24</f>
        <v>62.438</v>
      </c>
      <c r="H86" s="467" t="str">
        <f>CONCATENATE("Total ",E1-1," Mill Rate")</f>
        <v>Total 2014 Mill Rate</v>
      </c>
      <c r="I86" s="468"/>
      <c r="J86" s="469"/>
    </row>
    <row r="88" spans="7:9" ht="15.75">
      <c r="G88" s="530" t="s">
        <v>308</v>
      </c>
      <c r="H88" s="495"/>
      <c r="I88" s="494" t="str">
        <f>cert!F49</f>
        <v>No</v>
      </c>
    </row>
    <row r="90" spans="3:4" ht="15.75" hidden="1">
      <c r="C90" s="5">
        <f>IF(C33&gt;C35,"See Tab A","")</f>
      </c>
      <c r="D90" s="5">
        <f>IF(D33&gt;D35,"See Tab C","")</f>
      </c>
    </row>
    <row r="91" spans="3:4" ht="15.75" hidden="1">
      <c r="C91" s="5">
        <f>IF(C34&lt;0,"See Tab B","")</f>
      </c>
      <c r="D91" s="5">
        <f>IF(D34&lt;0,"See Tab D","")</f>
      </c>
    </row>
    <row r="92" ht="15.75" hidden="1"/>
    <row r="93" spans="3:4" ht="15.75" hidden="1">
      <c r="C93" s="5">
        <f>IF(C73&gt;C75,"See Tab A","")</f>
      </c>
      <c r="D93" s="5">
        <f>IF(D73&gt;D75,"See Tab C","")</f>
      </c>
    </row>
    <row r="94" spans="3:4" ht="15.75" hidden="1">
      <c r="C94" s="5">
        <f>IF(C74&lt;0,"See Tab B","")</f>
      </c>
      <c r="D94" s="5">
        <f>IF(D74&lt;0,"See Tab D","")</f>
      </c>
    </row>
  </sheetData>
  <sheetProtection/>
  <mergeCells count="15">
    <mergeCell ref="B82:E82"/>
    <mergeCell ref="G24:J24"/>
    <mergeCell ref="G64:J64"/>
    <mergeCell ref="C81:D81"/>
    <mergeCell ref="C80:D80"/>
    <mergeCell ref="C76:D76"/>
    <mergeCell ref="C77:D77"/>
    <mergeCell ref="C36:D36"/>
    <mergeCell ref="G81:J81"/>
    <mergeCell ref="C37:D37"/>
    <mergeCell ref="C41:D41"/>
    <mergeCell ref="G31:J31"/>
    <mergeCell ref="G41:J41"/>
    <mergeCell ref="G71:J71"/>
    <mergeCell ref="C40:D40"/>
  </mergeCells>
  <conditionalFormatting sqref="E71">
    <cfRule type="cellIs" priority="20" dxfId="9" operator="greaterThan" stopIfTrue="1">
      <formula>$E$73*0.1</formula>
    </cfRule>
  </conditionalFormatting>
  <conditionalFormatting sqref="E76">
    <cfRule type="cellIs" priority="19" dxfId="9" operator="greaterThan" stopIfTrue="1">
      <formula>$E$73/0.95-$E$73</formula>
    </cfRule>
  </conditionalFormatting>
  <conditionalFormatting sqref="E31">
    <cfRule type="cellIs" priority="18" dxfId="9" operator="greaterThan" stopIfTrue="1">
      <formula>$E$33*0.1</formula>
    </cfRule>
  </conditionalFormatting>
  <conditionalFormatting sqref="E36">
    <cfRule type="cellIs" priority="17" dxfId="9" operator="greaterThan" stopIfTrue="1">
      <formula>$E$33/0.95-$E$33</formula>
    </cfRule>
  </conditionalFormatting>
  <conditionalFormatting sqref="C73">
    <cfRule type="cellIs" priority="16" dxfId="0" operator="greaterThan" stopIfTrue="1">
      <formula>$C$75</formula>
    </cfRule>
  </conditionalFormatting>
  <conditionalFormatting sqref="C74 C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C71">
    <cfRule type="cellIs" priority="9" dxfId="0" operator="greaterThan" stopIfTrue="1">
      <formula>$C$73*0.1</formula>
    </cfRule>
  </conditionalFormatting>
  <conditionalFormatting sqref="D71">
    <cfRule type="cellIs" priority="8" dxfId="0" operator="greaterThan" stopIfTrue="1">
      <formula>$D$73*0.1</formula>
    </cfRule>
  </conditionalFormatting>
  <conditionalFormatting sqref="D18">
    <cfRule type="cellIs" priority="7" dxfId="0" operator="greaterThan" stopIfTrue="1">
      <formula>$D$20*0.1</formula>
    </cfRule>
  </conditionalFormatting>
  <conditionalFormatting sqref="C18">
    <cfRule type="cellIs" priority="6" dxfId="0" operator="greaterThan" stopIfTrue="1">
      <formula>$C$20*0.1</formula>
    </cfRule>
  </conditionalFormatting>
  <conditionalFormatting sqref="E18">
    <cfRule type="cellIs" priority="5" dxfId="9" operator="greaterThan" stopIfTrue="1">
      <formula>$E$20*0.1+E40</formula>
    </cfRule>
  </conditionalFormatting>
  <conditionalFormatting sqref="C58">
    <cfRule type="cellIs" priority="4" dxfId="9" operator="greaterThan" stopIfTrue="1">
      <formula>$C$60*0.1</formula>
    </cfRule>
  </conditionalFormatting>
  <conditionalFormatting sqref="D58">
    <cfRule type="cellIs" priority="3" dxfId="9" operator="greaterThan" stopIfTrue="1">
      <formula>$D$60*0.1</formula>
    </cfRule>
  </conditionalFormatting>
  <conditionalFormatting sqref="E58">
    <cfRule type="cellIs" priority="2" dxfId="9" operator="greaterThan" stopIfTrue="1">
      <formula>$E$60*0.1+E80</formula>
    </cfRule>
  </conditionalFormatting>
  <conditionalFormatting sqref="D74 D34">
    <cfRule type="cellIs" priority="1" dxfId="2" operator="lessThan" stopIfTrue="1">
      <formula>0</formula>
    </cfRule>
  </conditionalFormatting>
  <printOptions/>
  <pageMargins left="0.75" right="0.75" top="1" bottom="1" header="0.5" footer="0.5"/>
  <pageSetup blackAndWhite="1" horizontalDpi="600" verticalDpi="600" orientation="portrait" scale="49" r:id="rId1"/>
  <headerFooter alignWithMargins="0">
    <oddHeader>&amp;RState of Kansas
City</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0">
      <selection activeCell="E63" sqref="E63"/>
    </sheetView>
  </sheetViews>
  <sheetFormatPr defaultColWidth="8.796875" defaultRowHeight="15"/>
  <cols>
    <col min="1" max="1" width="2.3984375" style="5" customWidth="1"/>
    <col min="2" max="2" width="31.09765625" style="5" customWidth="1"/>
    <col min="3" max="4" width="15.69921875" style="5" customWidth="1"/>
    <col min="5" max="5" width="16.19921875" style="5" customWidth="1"/>
    <col min="6" max="16384" width="8.8984375" style="5" customWidth="1"/>
  </cols>
  <sheetData>
    <row r="1" spans="2:5" ht="15.75">
      <c r="B1" s="128" t="str">
        <f>(inputPrYr!D2)</f>
        <v>City of Buffalo</v>
      </c>
      <c r="C1" s="4"/>
      <c r="D1" s="4"/>
      <c r="E1" s="188">
        <f>inputPrYr!C5</f>
        <v>2015</v>
      </c>
    </row>
    <row r="2" spans="2:5" ht="15.75">
      <c r="B2" s="4"/>
      <c r="C2" s="4"/>
      <c r="D2" s="4"/>
      <c r="E2" s="124"/>
    </row>
    <row r="3" spans="2:5" ht="15.75">
      <c r="B3" s="19" t="s">
        <v>88</v>
      </c>
      <c r="C3" s="230"/>
      <c r="D3" s="230"/>
      <c r="E3" s="230"/>
    </row>
    <row r="4" spans="2:5" ht="15.75">
      <c r="B4" s="7" t="s">
        <v>24</v>
      </c>
      <c r="C4" s="457" t="s">
        <v>263</v>
      </c>
      <c r="D4" s="458" t="s">
        <v>264</v>
      </c>
      <c r="E4" s="103" t="s">
        <v>265</v>
      </c>
    </row>
    <row r="5" spans="2:5" ht="15.75">
      <c r="B5" s="298" t="str">
        <f>(inputPrYr!B34)</f>
        <v>Special Highway</v>
      </c>
      <c r="C5" s="281" t="str">
        <f>CONCATENATE("Actual for ",E1-2,"")</f>
        <v>Actual for 2013</v>
      </c>
      <c r="D5" s="281" t="str">
        <f>CONCATENATE("Estimate for ",E1-1,"")</f>
        <v>Estimate for 2014</v>
      </c>
      <c r="E5" s="198" t="str">
        <f>CONCATENATE("Year for ",E1,"")</f>
        <v>Year for 2015</v>
      </c>
    </row>
    <row r="6" spans="2:5" ht="15.75">
      <c r="B6" s="199" t="s">
        <v>130</v>
      </c>
      <c r="C6" s="28">
        <v>7423</v>
      </c>
      <c r="D6" s="169">
        <f>C29</f>
        <v>6238</v>
      </c>
      <c r="E6" s="169">
        <f>D29</f>
        <v>6454</v>
      </c>
    </row>
    <row r="7" spans="2:5" ht="15.75">
      <c r="B7" s="202" t="s">
        <v>132</v>
      </c>
      <c r="C7" s="46"/>
      <c r="D7" s="46"/>
      <c r="E7" s="46"/>
    </row>
    <row r="8" spans="2:5" ht="15.75">
      <c r="B8" s="215" t="s">
        <v>122</v>
      </c>
      <c r="C8" s="28">
        <v>5743</v>
      </c>
      <c r="D8" s="169">
        <f>inputOth!E53</f>
        <v>5760</v>
      </c>
      <c r="E8" s="169">
        <f>inputOth!E51</f>
        <v>5810</v>
      </c>
    </row>
    <row r="9" spans="2:5" ht="15.75">
      <c r="B9" s="215" t="s">
        <v>199</v>
      </c>
      <c r="C9" s="28">
        <v>0</v>
      </c>
      <c r="D9" s="169">
        <f>inputOth!E54</f>
        <v>0</v>
      </c>
      <c r="E9" s="169">
        <f>inputOth!E52</f>
        <v>0</v>
      </c>
    </row>
    <row r="10" spans="2:5" ht="15.75">
      <c r="B10" s="214" t="s">
        <v>385</v>
      </c>
      <c r="C10" s="28">
        <v>835</v>
      </c>
      <c r="D10" s="28">
        <v>403</v>
      </c>
      <c r="E10" s="28">
        <v>403</v>
      </c>
    </row>
    <row r="11" spans="2:5" ht="15.75">
      <c r="B11" s="214"/>
      <c r="C11" s="28"/>
      <c r="D11" s="28"/>
      <c r="E11" s="28"/>
    </row>
    <row r="12" spans="2:5" ht="15.75">
      <c r="B12" s="206" t="s">
        <v>30</v>
      </c>
      <c r="C12" s="28">
        <v>0</v>
      </c>
      <c r="D12" s="28">
        <v>0</v>
      </c>
      <c r="E12" s="28">
        <v>0</v>
      </c>
    </row>
    <row r="13" spans="2:5" ht="15.75">
      <c r="B13" s="117" t="s">
        <v>204</v>
      </c>
      <c r="C13" s="28">
        <v>0</v>
      </c>
      <c r="D13" s="28">
        <v>0</v>
      </c>
      <c r="E13" s="28">
        <v>0</v>
      </c>
    </row>
    <row r="14" spans="2:5" ht="15.75">
      <c r="B14" s="199" t="s">
        <v>257</v>
      </c>
      <c r="C14" s="299">
        <f>IF(C15*0.1&lt;C13,"Exceed 10% Rule","")</f>
      </c>
      <c r="D14" s="228">
        <f>IF(D15*0.1&lt;D13,"Exceed 10% Rule","")</f>
      </c>
      <c r="E14" s="228">
        <f>IF(E15*0.1&lt;E13,"Exceed 10% Rule","")</f>
      </c>
    </row>
    <row r="15" spans="2:5" ht="15.75">
      <c r="B15" s="208" t="s">
        <v>31</v>
      </c>
      <c r="C15" s="231">
        <f>SUM(C8:C13)</f>
        <v>6578</v>
      </c>
      <c r="D15" s="231">
        <f>SUM(D8:D13)</f>
        <v>6163</v>
      </c>
      <c r="E15" s="231">
        <f>SUM(E8:E13)</f>
        <v>6213</v>
      </c>
    </row>
    <row r="16" spans="2:5" ht="15.75">
      <c r="B16" s="208" t="s">
        <v>32</v>
      </c>
      <c r="C16" s="231">
        <f>C6+C15</f>
        <v>14001</v>
      </c>
      <c r="D16" s="231">
        <f>D6+D15</f>
        <v>12401</v>
      </c>
      <c r="E16" s="231">
        <f>E6+E15</f>
        <v>12667</v>
      </c>
    </row>
    <row r="17" spans="2:5" ht="15.75">
      <c r="B17" s="109" t="s">
        <v>34</v>
      </c>
      <c r="C17" s="169"/>
      <c r="D17" s="169"/>
      <c r="E17" s="169"/>
    </row>
    <row r="18" spans="2:5" ht="15.75">
      <c r="B18" s="551" t="s">
        <v>356</v>
      </c>
      <c r="C18" s="28"/>
      <c r="D18" s="28"/>
      <c r="E18" s="28"/>
    </row>
    <row r="19" spans="2:5" ht="15.75">
      <c r="B19" s="552" t="s">
        <v>342</v>
      </c>
      <c r="C19" s="28">
        <v>3311</v>
      </c>
      <c r="D19" s="28">
        <v>1836</v>
      </c>
      <c r="E19" s="28">
        <v>2020</v>
      </c>
    </row>
    <row r="20" spans="2:5" ht="15.75">
      <c r="B20" s="552" t="s">
        <v>343</v>
      </c>
      <c r="C20" s="28">
        <v>2426</v>
      </c>
      <c r="D20" s="28">
        <v>2725</v>
      </c>
      <c r="E20" s="28">
        <v>3000</v>
      </c>
    </row>
    <row r="21" spans="2:5" ht="15.75">
      <c r="B21" s="552" t="s">
        <v>35</v>
      </c>
      <c r="C21" s="28">
        <v>2026</v>
      </c>
      <c r="D21" s="28">
        <v>1386</v>
      </c>
      <c r="E21" s="28">
        <v>7647</v>
      </c>
    </row>
    <row r="22" spans="2:5" ht="15.75">
      <c r="B22" s="214"/>
      <c r="C22" s="28"/>
      <c r="D22" s="28"/>
      <c r="E22" s="28"/>
    </row>
    <row r="23" spans="2:5" ht="15.75">
      <c r="B23" s="214"/>
      <c r="C23" s="28"/>
      <c r="D23" s="28"/>
      <c r="E23" s="28"/>
    </row>
    <row r="24" spans="2:5" ht="15.75">
      <c r="B24" s="214"/>
      <c r="C24" s="28"/>
      <c r="D24" s="28"/>
      <c r="E24" s="28"/>
    </row>
    <row r="25" spans="2:5" ht="15.75">
      <c r="B25" s="214"/>
      <c r="C25" s="28"/>
      <c r="D25" s="28"/>
      <c r="E25" s="28"/>
    </row>
    <row r="26" spans="2:5" ht="15.75">
      <c r="B26" s="215" t="s">
        <v>204</v>
      </c>
      <c r="C26" s="28"/>
      <c r="D26" s="28"/>
      <c r="E26" s="28"/>
    </row>
    <row r="27" spans="2:5" ht="15.75">
      <c r="B27" s="215" t="s">
        <v>258</v>
      </c>
      <c r="C27" s="299">
        <f>IF(C28*0.1&lt;C26,"Exceed 10% Rule","")</f>
      </c>
      <c r="D27" s="228">
        <f>IF(D28*0.1&lt;D26,"Exceed 10% Rule","")</f>
      </c>
      <c r="E27" s="228">
        <f>IF(E28*0.1&lt;E26,"Exceed 10% Rule","")</f>
      </c>
    </row>
    <row r="28" spans="2:5" ht="15.75">
      <c r="B28" s="208" t="s">
        <v>37</v>
      </c>
      <c r="C28" s="231">
        <f>SUM(C18:C26)</f>
        <v>7763</v>
      </c>
      <c r="D28" s="231">
        <f>SUM(D18:D26)</f>
        <v>5947</v>
      </c>
      <c r="E28" s="231">
        <f>SUM(E18:E26)</f>
        <v>12667</v>
      </c>
    </row>
    <row r="29" spans="2:5" ht="15.75">
      <c r="B29" s="109" t="s">
        <v>131</v>
      </c>
      <c r="C29" s="169">
        <f>C16-C28</f>
        <v>6238</v>
      </c>
      <c r="D29" s="169">
        <f>D16-D28</f>
        <v>6454</v>
      </c>
      <c r="E29" s="169">
        <f>E16-E28</f>
        <v>0</v>
      </c>
    </row>
    <row r="30" spans="2:5" ht="15.75">
      <c r="B30" s="126" t="str">
        <f>CONCATENATE("",E1-2,"/",E1-1,"/",E1," Budget Authority Amount:")</f>
        <v>2013/2014/2015 Budget Authority Amount:</v>
      </c>
      <c r="C30" s="374">
        <f>inputOth!B74</f>
        <v>14241</v>
      </c>
      <c r="D30" s="374">
        <f>inputPrYr!D34</f>
        <v>13075</v>
      </c>
      <c r="E30" s="169">
        <f>E28</f>
        <v>12667</v>
      </c>
    </row>
    <row r="31" spans="2:5" ht="15.75">
      <c r="B31" s="97"/>
      <c r="C31" s="218">
        <f>IF(C28&gt;C30,"See Tab A","")</f>
      </c>
      <c r="D31" s="218">
        <f>IF(D28&gt;D30,"See Tab C","")</f>
      </c>
      <c r="E31" s="510">
        <f>IF(E29&lt;0,"See Tab E","")</f>
      </c>
    </row>
    <row r="32" spans="2:5" ht="15.75">
      <c r="B32" s="97"/>
      <c r="C32" s="218">
        <f>IF(C29&lt;0,"See Tab B","")</f>
      </c>
      <c r="D32" s="218">
        <f>IF(D29&lt;0,"See Tab D","")</f>
      </c>
      <c r="E32" s="29"/>
    </row>
    <row r="33" spans="2:5" ht="15.75">
      <c r="B33" s="4"/>
      <c r="C33" s="29"/>
      <c r="D33" s="29"/>
      <c r="E33" s="29"/>
    </row>
    <row r="34" spans="2:5" ht="15.75">
      <c r="B34" s="7" t="s">
        <v>24</v>
      </c>
      <c r="C34" s="233"/>
      <c r="D34" s="233"/>
      <c r="E34" s="233"/>
    </row>
    <row r="35" spans="2:5" ht="15.75">
      <c r="B35" s="4"/>
      <c r="C35" s="221" t="str">
        <f aca="true" t="shared" si="0" ref="C35:E36">C4</f>
        <v>Prior Year </v>
      </c>
      <c r="D35" s="103" t="str">
        <f t="shared" si="0"/>
        <v>Current Year</v>
      </c>
      <c r="E35" s="103" t="str">
        <f t="shared" si="0"/>
        <v>Proposed Budget</v>
      </c>
    </row>
    <row r="36" spans="2:5" ht="15.75">
      <c r="B36" s="297" t="str">
        <f>(inputPrYr!B35)</f>
        <v>Special Highway Impr</v>
      </c>
      <c r="C36" s="198" t="str">
        <f t="shared" si="0"/>
        <v>Actual for 2013</v>
      </c>
      <c r="D36" s="198" t="str">
        <f t="shared" si="0"/>
        <v>Estimate for 2014</v>
      </c>
      <c r="E36" s="198" t="str">
        <f t="shared" si="0"/>
        <v>Year for 2015</v>
      </c>
    </row>
    <row r="37" spans="2:5" ht="15.75">
      <c r="B37" s="199" t="s">
        <v>130</v>
      </c>
      <c r="C37" s="28">
        <v>24000</v>
      </c>
      <c r="D37" s="169">
        <f>C60</f>
        <v>29000</v>
      </c>
      <c r="E37" s="169">
        <f>D60</f>
        <v>39000</v>
      </c>
    </row>
    <row r="38" spans="2:5" ht="15.75">
      <c r="B38" s="199" t="s">
        <v>132</v>
      </c>
      <c r="C38" s="46"/>
      <c r="D38" s="46"/>
      <c r="E38" s="46"/>
    </row>
    <row r="39" spans="2:5" ht="15.75">
      <c r="B39" s="214" t="s">
        <v>357</v>
      </c>
      <c r="C39" s="28"/>
      <c r="D39" s="28"/>
      <c r="E39" s="28"/>
    </row>
    <row r="40" spans="2:5" ht="15.75">
      <c r="B40" s="214" t="s">
        <v>358</v>
      </c>
      <c r="C40" s="28">
        <v>5000</v>
      </c>
      <c r="D40" s="28">
        <v>5000</v>
      </c>
      <c r="E40" s="28">
        <v>5000</v>
      </c>
    </row>
    <row r="41" spans="2:5" ht="15.75">
      <c r="B41" s="214" t="s">
        <v>359</v>
      </c>
      <c r="C41" s="28">
        <v>0</v>
      </c>
      <c r="D41" s="28">
        <v>5000</v>
      </c>
      <c r="E41" s="28">
        <v>5000</v>
      </c>
    </row>
    <row r="42" spans="2:5" ht="15.75">
      <c r="B42" s="214"/>
      <c r="C42" s="28"/>
      <c r="D42" s="28"/>
      <c r="E42" s="28"/>
    </row>
    <row r="43" spans="2:5" ht="15.75">
      <c r="B43" s="206" t="s">
        <v>30</v>
      </c>
      <c r="C43" s="28">
        <v>0</v>
      </c>
      <c r="D43" s="28">
        <v>0</v>
      </c>
      <c r="E43" s="28">
        <v>0</v>
      </c>
    </row>
    <row r="44" spans="2:5" ht="15.75">
      <c r="B44" s="117" t="s">
        <v>204</v>
      </c>
      <c r="C44" s="28">
        <v>0</v>
      </c>
      <c r="D44" s="28">
        <v>0</v>
      </c>
      <c r="E44" s="28">
        <v>0</v>
      </c>
    </row>
    <row r="45" spans="2:5" ht="15.75">
      <c r="B45" s="199" t="s">
        <v>257</v>
      </c>
      <c r="C45" s="299">
        <f>IF(C46*0.1&lt;C44,"Exceed 10% Rule","")</f>
      </c>
      <c r="D45" s="228">
        <f>IF(D46*0.1&lt;D44,"Exceed 10% Rule","")</f>
      </c>
      <c r="E45" s="228">
        <f>IF(E46*0.1&lt;E44,"Exceed 10% Rule","")</f>
      </c>
    </row>
    <row r="46" spans="2:5" ht="15.75">
      <c r="B46" s="208" t="s">
        <v>31</v>
      </c>
      <c r="C46" s="231">
        <f>SUM(C39:C44)</f>
        <v>5000</v>
      </c>
      <c r="D46" s="231">
        <f>SUM(D39:D44)</f>
        <v>10000</v>
      </c>
      <c r="E46" s="231">
        <f>SUM(E39:E44)</f>
        <v>10000</v>
      </c>
    </row>
    <row r="47" spans="2:5" ht="15.75">
      <c r="B47" s="208" t="s">
        <v>32</v>
      </c>
      <c r="C47" s="231">
        <f>C37+C46</f>
        <v>29000</v>
      </c>
      <c r="D47" s="231">
        <f>D37+D46</f>
        <v>39000</v>
      </c>
      <c r="E47" s="231">
        <f>E37+E46</f>
        <v>49000</v>
      </c>
    </row>
    <row r="48" spans="2:5" ht="15.75">
      <c r="B48" s="109" t="s">
        <v>34</v>
      </c>
      <c r="C48" s="169"/>
      <c r="D48" s="169"/>
      <c r="E48" s="169"/>
    </row>
    <row r="49" spans="2:5" ht="15.75">
      <c r="B49" s="214" t="s">
        <v>360</v>
      </c>
      <c r="C49" s="28"/>
      <c r="D49" s="28"/>
      <c r="E49" s="28"/>
    </row>
    <row r="50" spans="2:5" ht="15.75">
      <c r="B50" s="214" t="s">
        <v>36</v>
      </c>
      <c r="C50" s="28">
        <v>0</v>
      </c>
      <c r="D50" s="28">
        <v>0</v>
      </c>
      <c r="E50" s="28">
        <v>49000</v>
      </c>
    </row>
    <row r="51" spans="2:5" ht="15.75">
      <c r="B51" s="214"/>
      <c r="C51" s="28"/>
      <c r="D51" s="28"/>
      <c r="E51" s="28"/>
    </row>
    <row r="52" spans="2:5" ht="15.75">
      <c r="B52" s="214"/>
      <c r="C52" s="28"/>
      <c r="D52" s="28"/>
      <c r="E52" s="28"/>
    </row>
    <row r="53" spans="2:5" ht="15.75">
      <c r="B53" s="214"/>
      <c r="C53" s="28"/>
      <c r="D53" s="28"/>
      <c r="E53" s="28"/>
    </row>
    <row r="54" spans="2:5" ht="15.75">
      <c r="B54" s="214"/>
      <c r="C54" s="28"/>
      <c r="D54" s="28"/>
      <c r="E54" s="28"/>
    </row>
    <row r="55" spans="2:5" ht="15.75">
      <c r="B55" s="214"/>
      <c r="C55" s="28"/>
      <c r="D55" s="28"/>
      <c r="E55" s="28"/>
    </row>
    <row r="56" spans="2:5" ht="15.75">
      <c r="B56" s="214"/>
      <c r="C56" s="28"/>
      <c r="D56" s="28"/>
      <c r="E56" s="28"/>
    </row>
    <row r="57" spans="2:5" ht="15.75">
      <c r="B57" s="215" t="s">
        <v>204</v>
      </c>
      <c r="C57" s="28">
        <v>0</v>
      </c>
      <c r="D57" s="28">
        <v>0</v>
      </c>
      <c r="E57" s="28">
        <v>0</v>
      </c>
    </row>
    <row r="58" spans="2:5" ht="15.75">
      <c r="B58" s="215" t="s">
        <v>258</v>
      </c>
      <c r="C58" s="299">
        <f>IF(C59*0.1&lt;C57,"Exceed 10% Rule","")</f>
      </c>
      <c r="D58" s="228">
        <f>IF(D59*0.1&lt;D57,"Exceed 10% Rule","")</f>
      </c>
      <c r="E58" s="228">
        <f>IF(E59*0.1&lt;E57,"Exceed 10% Rule","")</f>
      </c>
    </row>
    <row r="59" spans="2:5" ht="15.75">
      <c r="B59" s="208" t="s">
        <v>37</v>
      </c>
      <c r="C59" s="231">
        <f>SUM(C49:C57)</f>
        <v>0</v>
      </c>
      <c r="D59" s="231">
        <f>SUM(D49:D57)</f>
        <v>0</v>
      </c>
      <c r="E59" s="231">
        <f>SUM(E49:E57)</f>
        <v>49000</v>
      </c>
    </row>
    <row r="60" spans="2:5" ht="15.75">
      <c r="B60" s="109" t="s">
        <v>131</v>
      </c>
      <c r="C60" s="169">
        <f>C47-C59</f>
        <v>29000</v>
      </c>
      <c r="D60" s="169">
        <f>D47-D59</f>
        <v>39000</v>
      </c>
      <c r="E60" s="169">
        <f>E47-E59</f>
        <v>0</v>
      </c>
    </row>
    <row r="61" spans="2:5" ht="15.75">
      <c r="B61" s="126" t="str">
        <f>CONCATENATE("",E1-2,"/",E1-1,"/",E1," Budget Authority Amount:")</f>
        <v>2013/2014/2015 Budget Authority Amount:</v>
      </c>
      <c r="C61" s="374">
        <f>inputOth!B75</f>
        <v>51253</v>
      </c>
      <c r="D61" s="374">
        <f>inputPrYr!D35</f>
        <v>44000</v>
      </c>
      <c r="E61" s="169">
        <f>E59</f>
        <v>49000</v>
      </c>
    </row>
    <row r="62" spans="2:5" ht="15.75">
      <c r="B62" s="97"/>
      <c r="C62" s="218">
        <f>IF(C59&gt;C61,"See Tab A","")</f>
      </c>
      <c r="D62" s="218">
        <f>IF(D59&gt;D61,"See Tab C","")</f>
      </c>
      <c r="E62" s="510">
        <f>IF(E60&lt;0,"See Tab E","")</f>
      </c>
    </row>
    <row r="63" spans="2:5" ht="15.75">
      <c r="B63" s="97"/>
      <c r="C63" s="218">
        <f>IF(C60&lt;0,"See Tab B","")</f>
      </c>
      <c r="D63" s="218">
        <f>IF(D60&lt;0,"See Tab D","")</f>
      </c>
      <c r="E63" s="4"/>
    </row>
    <row r="64" spans="2:5" ht="15.75">
      <c r="B64" s="501" t="s">
        <v>379</v>
      </c>
      <c r="C64" s="502"/>
      <c r="D64" s="502"/>
      <c r="E64" s="502"/>
    </row>
    <row r="65" spans="2:5" ht="15.75">
      <c r="B65" s="97" t="s">
        <v>40</v>
      </c>
      <c r="C65" s="223">
        <v>9</v>
      </c>
      <c r="D65" s="4"/>
      <c r="E65" s="4"/>
    </row>
  </sheetData>
  <sheetProtection/>
  <mergeCells count="1">
    <mergeCell ref="B64:E64"/>
  </mergeCells>
  <conditionalFormatting sqref="C44">
    <cfRule type="cellIs" priority="5" dxfId="9" operator="greaterThan" stopIfTrue="1">
      <formula>$C$46*0.1</formula>
    </cfRule>
  </conditionalFormatting>
  <conditionalFormatting sqref="D44">
    <cfRule type="cellIs" priority="6" dxfId="9" operator="greaterThan" stopIfTrue="1">
      <formula>$D$46*0.1</formula>
    </cfRule>
  </conditionalFormatting>
  <conditionalFormatting sqref="E44">
    <cfRule type="cellIs" priority="7" dxfId="9" operator="greaterThan" stopIfTrue="1">
      <formula>$E$46*0.1</formula>
    </cfRule>
  </conditionalFormatting>
  <conditionalFormatting sqref="C57">
    <cfRule type="cellIs" priority="8" dxfId="9" operator="greaterThan" stopIfTrue="1">
      <formula>$C$59*0.1</formula>
    </cfRule>
  </conditionalFormatting>
  <conditionalFormatting sqref="D57">
    <cfRule type="cellIs" priority="9" dxfId="9" operator="greaterThan" stopIfTrue="1">
      <formula>$D$59*0.1</formula>
    </cfRule>
  </conditionalFormatting>
  <conditionalFormatting sqref="E57">
    <cfRule type="cellIs" priority="10" dxfId="9" operator="greaterThan" stopIfTrue="1">
      <formula>$E$59*0.1</formula>
    </cfRule>
  </conditionalFormatting>
  <conditionalFormatting sqref="C13">
    <cfRule type="cellIs" priority="11" dxfId="9" operator="greaterThan" stopIfTrue="1">
      <formula>$C$15*0.1</formula>
    </cfRule>
  </conditionalFormatting>
  <conditionalFormatting sqref="D13">
    <cfRule type="cellIs" priority="12" dxfId="9" operator="greaterThan" stopIfTrue="1">
      <formula>$D$15*0.1</formula>
    </cfRule>
  </conditionalFormatting>
  <conditionalFormatting sqref="E13">
    <cfRule type="cellIs" priority="13" dxfId="9" operator="greaterThan" stopIfTrue="1">
      <formula>$E$15*0.1</formula>
    </cfRule>
  </conditionalFormatting>
  <conditionalFormatting sqref="C26">
    <cfRule type="cellIs" priority="14" dxfId="9" operator="greaterThan" stopIfTrue="1">
      <formula>$C$28*0.1</formula>
    </cfRule>
  </conditionalFormatting>
  <conditionalFormatting sqref="D26">
    <cfRule type="cellIs" priority="15" dxfId="9" operator="greaterThan" stopIfTrue="1">
      <formula>$D$28*0.1</formula>
    </cfRule>
  </conditionalFormatting>
  <conditionalFormatting sqref="E26">
    <cfRule type="cellIs" priority="16" dxfId="9" operator="greaterThan" stopIfTrue="1">
      <formula>$E$28*0.1</formula>
    </cfRule>
  </conditionalFormatting>
  <conditionalFormatting sqref="E60 C60 E29 C29">
    <cfRule type="cellIs" priority="17" dxfId="0" operator="lessThan" stopIfTrue="1">
      <formula>0</formula>
    </cfRule>
  </conditionalFormatting>
  <conditionalFormatting sqref="D59">
    <cfRule type="cellIs" priority="18" dxfId="0" operator="greaterThan" stopIfTrue="1">
      <formula>$D$61</formula>
    </cfRule>
  </conditionalFormatting>
  <conditionalFormatting sqref="C59">
    <cfRule type="cellIs" priority="19" dxfId="0" operator="greaterThan" stopIfTrue="1">
      <formula>$C$61</formula>
    </cfRule>
  </conditionalFormatting>
  <conditionalFormatting sqref="D28">
    <cfRule type="cellIs" priority="20" dxfId="0" operator="greaterThan" stopIfTrue="1">
      <formula>$D$30</formula>
    </cfRule>
  </conditionalFormatting>
  <conditionalFormatting sqref="C28">
    <cfRule type="cellIs" priority="21" dxfId="0" operator="greaterThan" stopIfTrue="1">
      <formula>$C$30</formula>
    </cfRule>
  </conditionalFormatting>
  <conditionalFormatting sqref="D60">
    <cfRule type="cellIs" priority="4" dxfId="2" operator="lessThan" stopIfTrue="1">
      <formula>0</formula>
    </cfRule>
  </conditionalFormatting>
  <conditionalFormatting sqref="D29">
    <cfRule type="cellIs" priority="3" dxfId="2" operator="lessThan" stopIfTrue="1">
      <formula>0</formula>
    </cfRule>
  </conditionalFormatting>
  <conditionalFormatting sqref="E30">
    <cfRule type="cellIs" priority="2" dxfId="0" operator="lessThan" stopIfTrue="1">
      <formula>0</formula>
    </cfRule>
  </conditionalFormatting>
  <conditionalFormatting sqref="E61">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4"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42">
      <selection activeCell="E56" sqref="E56"/>
    </sheetView>
  </sheetViews>
  <sheetFormatPr defaultColWidth="8.796875" defaultRowHeight="15"/>
  <cols>
    <col min="1" max="1" width="2.3984375" style="5" customWidth="1"/>
    <col min="2" max="2" width="31.09765625" style="5" customWidth="1"/>
    <col min="3" max="4" width="15.69921875" style="5" customWidth="1"/>
    <col min="5" max="5" width="16.19921875" style="5" customWidth="1"/>
    <col min="6" max="16384" width="8.8984375" style="5" customWidth="1"/>
  </cols>
  <sheetData>
    <row r="1" spans="2:5" ht="15.75">
      <c r="B1" s="128" t="str">
        <f>(inputPrYr!D2)</f>
        <v>City of Buffalo</v>
      </c>
      <c r="C1" s="4"/>
      <c r="D1" s="4"/>
      <c r="E1" s="188">
        <f>inputPrYr!C5</f>
        <v>2015</v>
      </c>
    </row>
    <row r="2" spans="2:5" ht="15.75">
      <c r="B2" s="4"/>
      <c r="C2" s="4"/>
      <c r="D2" s="4"/>
      <c r="E2" s="124"/>
    </row>
    <row r="3" spans="2:5" ht="15.75">
      <c r="B3" s="19" t="s">
        <v>88</v>
      </c>
      <c r="C3" s="230"/>
      <c r="D3" s="230"/>
      <c r="E3" s="230"/>
    </row>
    <row r="4" spans="2:5" ht="15.75">
      <c r="B4" s="7" t="s">
        <v>24</v>
      </c>
      <c r="C4" s="457" t="s">
        <v>263</v>
      </c>
      <c r="D4" s="458" t="s">
        <v>264</v>
      </c>
      <c r="E4" s="103" t="s">
        <v>265</v>
      </c>
    </row>
    <row r="5" spans="2:5" ht="15.75">
      <c r="B5" s="298" t="str">
        <f>(inputPrYr!B36)</f>
        <v>Water Utility</v>
      </c>
      <c r="C5" s="281" t="str">
        <f>CONCATENATE("Actual for ",E1-2,"")</f>
        <v>Actual for 2013</v>
      </c>
      <c r="D5" s="281" t="str">
        <f>CONCATENATE("Estimate for ",E1-1,"")</f>
        <v>Estimate for 2014</v>
      </c>
      <c r="E5" s="198" t="str">
        <f>CONCATENATE("Year for ",E1,"")</f>
        <v>Year for 2015</v>
      </c>
    </row>
    <row r="6" spans="2:5" ht="15.75">
      <c r="B6" s="199" t="s">
        <v>130</v>
      </c>
      <c r="C6" s="28">
        <v>23805</v>
      </c>
      <c r="D6" s="169">
        <f>C31</f>
        <v>25313</v>
      </c>
      <c r="E6" s="169">
        <f>D31</f>
        <v>15799</v>
      </c>
    </row>
    <row r="7" spans="2:5" ht="15.75">
      <c r="B7" s="202" t="s">
        <v>132</v>
      </c>
      <c r="C7" s="46"/>
      <c r="D7" s="46"/>
      <c r="E7" s="46"/>
    </row>
    <row r="8" spans="2:5" ht="15.75">
      <c r="B8" s="214" t="s">
        <v>361</v>
      </c>
      <c r="C8" s="28">
        <v>97226</v>
      </c>
      <c r="D8" s="28">
        <v>88592</v>
      </c>
      <c r="E8" s="28">
        <f>D8+44296</f>
        <v>132888</v>
      </c>
    </row>
    <row r="9" spans="2:5" ht="15.75">
      <c r="B9" s="214" t="s">
        <v>362</v>
      </c>
      <c r="C9" s="28">
        <v>2744</v>
      </c>
      <c r="D9" s="28">
        <v>2480</v>
      </c>
      <c r="E9" s="28">
        <v>2480</v>
      </c>
    </row>
    <row r="10" spans="2:5" ht="15.75">
      <c r="B10" s="214" t="s">
        <v>363</v>
      </c>
      <c r="C10" s="28">
        <v>109</v>
      </c>
      <c r="D10" s="28">
        <v>96</v>
      </c>
      <c r="E10" s="28">
        <v>96</v>
      </c>
    </row>
    <row r="11" spans="2:5" ht="15.75">
      <c r="B11" s="214"/>
      <c r="C11" s="28"/>
      <c r="D11" s="28"/>
      <c r="E11" s="28"/>
    </row>
    <row r="12" spans="2:5" ht="15.75">
      <c r="B12" s="206" t="s">
        <v>30</v>
      </c>
      <c r="C12" s="28">
        <v>0</v>
      </c>
      <c r="D12" s="28">
        <v>0</v>
      </c>
      <c r="E12" s="28">
        <v>0</v>
      </c>
    </row>
    <row r="13" spans="2:5" ht="15.75">
      <c r="B13" s="117" t="s">
        <v>204</v>
      </c>
      <c r="C13" s="28">
        <v>1549</v>
      </c>
      <c r="D13" s="201">
        <v>725</v>
      </c>
      <c r="E13" s="201">
        <v>0</v>
      </c>
    </row>
    <row r="14" spans="2:5" ht="15.75">
      <c r="B14" s="199" t="s">
        <v>257</v>
      </c>
      <c r="C14" s="299">
        <f>IF(C15*0.1&lt;C13,"Exceed 10% Rule","")</f>
      </c>
      <c r="D14" s="228">
        <f>IF(D15*0.1&lt;D13,"Exceed 10% Rule","")</f>
      </c>
      <c r="E14" s="228">
        <f>IF(E15*0.1&lt;E13,"Exceed 10% Rule","")</f>
      </c>
    </row>
    <row r="15" spans="2:5" ht="15.75">
      <c r="B15" s="208" t="s">
        <v>31</v>
      </c>
      <c r="C15" s="231">
        <f>SUM(C8:C13)</f>
        <v>101628</v>
      </c>
      <c r="D15" s="231">
        <f>SUM(D8:D13)</f>
        <v>91893</v>
      </c>
      <c r="E15" s="231">
        <f>SUM(E8:E13)</f>
        <v>135464</v>
      </c>
    </row>
    <row r="16" spans="2:5" ht="15.75">
      <c r="B16" s="208" t="s">
        <v>32</v>
      </c>
      <c r="C16" s="231">
        <f>C6+C15</f>
        <v>125433</v>
      </c>
      <c r="D16" s="231">
        <f>D6+D15</f>
        <v>117206</v>
      </c>
      <c r="E16" s="231">
        <f>E6+E15</f>
        <v>151263</v>
      </c>
    </row>
    <row r="17" spans="2:5" ht="15.75">
      <c r="B17" s="109" t="s">
        <v>34</v>
      </c>
      <c r="C17" s="169"/>
      <c r="D17" s="169"/>
      <c r="E17" s="169"/>
    </row>
    <row r="18" spans="2:5" ht="15.75">
      <c r="B18" s="552" t="s">
        <v>342</v>
      </c>
      <c r="C18" s="28">
        <v>12542</v>
      </c>
      <c r="D18" s="28">
        <v>14096</v>
      </c>
      <c r="E18" s="28">
        <v>15505</v>
      </c>
    </row>
    <row r="19" spans="2:5" ht="15.75">
      <c r="B19" s="552" t="s">
        <v>343</v>
      </c>
      <c r="C19" s="28">
        <v>38318</v>
      </c>
      <c r="D19" s="28">
        <v>42117</v>
      </c>
      <c r="E19" s="28">
        <v>86796</v>
      </c>
    </row>
    <row r="20" spans="2:5" ht="15.75">
      <c r="B20" s="552" t="s">
        <v>35</v>
      </c>
      <c r="C20" s="28">
        <v>10880</v>
      </c>
      <c r="D20" s="28">
        <v>6814</v>
      </c>
      <c r="E20" s="28">
        <v>7000</v>
      </c>
    </row>
    <row r="21" spans="2:5" ht="15.75">
      <c r="B21" s="552" t="s">
        <v>36</v>
      </c>
      <c r="C21" s="28">
        <v>0</v>
      </c>
      <c r="D21" s="28">
        <v>0</v>
      </c>
      <c r="E21" s="28">
        <v>3582</v>
      </c>
    </row>
    <row r="22" spans="2:5" ht="15.75">
      <c r="B22" s="214" t="s">
        <v>364</v>
      </c>
      <c r="C22" s="28"/>
      <c r="D22" s="28"/>
      <c r="E22" s="28"/>
    </row>
    <row r="23" spans="2:5" ht="15.75">
      <c r="B23" s="214" t="s">
        <v>365</v>
      </c>
      <c r="C23" s="28">
        <v>22217</v>
      </c>
      <c r="D23" s="28">
        <v>22217</v>
      </c>
      <c r="E23" s="28">
        <v>22217</v>
      </c>
    </row>
    <row r="24" spans="2:5" ht="15.75">
      <c r="B24" s="214" t="s">
        <v>366</v>
      </c>
      <c r="C24" s="28">
        <v>11163</v>
      </c>
      <c r="D24" s="28">
        <v>11163</v>
      </c>
      <c r="E24" s="28">
        <v>11163</v>
      </c>
    </row>
    <row r="25" spans="2:5" ht="15.75">
      <c r="B25" s="214" t="s">
        <v>367</v>
      </c>
      <c r="C25" s="28">
        <v>5000</v>
      </c>
      <c r="D25" s="28">
        <v>5000</v>
      </c>
      <c r="E25" s="28">
        <v>5000</v>
      </c>
    </row>
    <row r="26" spans="2:5" ht="15.75">
      <c r="B26" s="214"/>
      <c r="C26" s="28"/>
      <c r="D26" s="28"/>
      <c r="E26" s="28"/>
    </row>
    <row r="27" spans="2:5" ht="15.75">
      <c r="B27" s="214"/>
      <c r="C27" s="28"/>
      <c r="D27" s="28"/>
      <c r="E27" s="28"/>
    </row>
    <row r="28" spans="2:5" ht="15.75">
      <c r="B28" s="215" t="s">
        <v>204</v>
      </c>
      <c r="C28" s="28">
        <v>0</v>
      </c>
      <c r="D28" s="201">
        <v>0</v>
      </c>
      <c r="E28" s="201">
        <v>0</v>
      </c>
    </row>
    <row r="29" spans="2:5" ht="15.75">
      <c r="B29" s="215" t="s">
        <v>258</v>
      </c>
      <c r="C29" s="299">
        <f>IF(C30*0.1&lt;C28,"Exceed 10% Rule","")</f>
      </c>
      <c r="D29" s="228">
        <f>IF(D30*0.1&lt;D28,"Exceed 10% Rule","")</f>
      </c>
      <c r="E29" s="228">
        <f>IF(E30*0.1&lt;E28,"Exceed 10% Rule","")</f>
      </c>
    </row>
    <row r="30" spans="2:5" ht="15.75">
      <c r="B30" s="208" t="s">
        <v>37</v>
      </c>
      <c r="C30" s="231">
        <f>SUM(C18:C28)</f>
        <v>100120</v>
      </c>
      <c r="D30" s="231">
        <f>SUM(D18:D28)</f>
        <v>101407</v>
      </c>
      <c r="E30" s="231">
        <f>SUM(E18:E28)</f>
        <v>151263</v>
      </c>
    </row>
    <row r="31" spans="2:5" ht="15.75">
      <c r="B31" s="109" t="s">
        <v>131</v>
      </c>
      <c r="C31" s="169">
        <f>C16-C30</f>
        <v>25313</v>
      </c>
      <c r="D31" s="169">
        <f>D16-D30</f>
        <v>15799</v>
      </c>
      <c r="E31" s="169">
        <f>E16-E30</f>
        <v>0</v>
      </c>
    </row>
    <row r="32" spans="2:5" ht="15.75">
      <c r="B32" s="126" t="str">
        <f>CONCATENATE("",E1-2,"/",E1-1,"/",E1," Budget Authority Amount:")</f>
        <v>2013/2014/2015 Budget Authority Amount:</v>
      </c>
      <c r="C32" s="374">
        <f>inputOth!B76</f>
        <v>128138</v>
      </c>
      <c r="D32" s="374">
        <f>inputPrYr!D36</f>
        <v>141174</v>
      </c>
      <c r="E32" s="169">
        <f>E30</f>
        <v>151263</v>
      </c>
    </row>
    <row r="33" spans="2:5" ht="15.75">
      <c r="B33" s="97"/>
      <c r="C33" s="218">
        <f>IF(C30&gt;C32,"See Tab A","")</f>
      </c>
      <c r="D33" s="218">
        <f>IF(D30&gt;D32,"See Tab C","")</f>
      </c>
      <c r="E33" s="511">
        <f>IF(E31&lt;0,"See Tab E","")</f>
      </c>
    </row>
    <row r="34" spans="2:5" ht="15.75">
      <c r="B34" s="97"/>
      <c r="C34" s="218">
        <f>IF(C31&lt;0,"See Tab B","")</f>
      </c>
      <c r="D34" s="218">
        <f>IF(D31&lt;0,"See Tab D","")</f>
      </c>
      <c r="E34" s="29"/>
    </row>
    <row r="35" spans="2:5" ht="15.75">
      <c r="B35" s="4"/>
      <c r="C35" s="29"/>
      <c r="D35" s="29"/>
      <c r="E35" s="29"/>
    </row>
    <row r="36" spans="2:5" ht="15.75">
      <c r="B36" s="7" t="s">
        <v>24</v>
      </c>
      <c r="C36" s="233"/>
      <c r="D36" s="233"/>
      <c r="E36" s="233"/>
    </row>
    <row r="37" spans="2:5" ht="15.75">
      <c r="B37" s="4"/>
      <c r="C37" s="221" t="str">
        <f aca="true" t="shared" si="0" ref="C37:E38">C4</f>
        <v>Prior Year </v>
      </c>
      <c r="D37" s="103" t="str">
        <f t="shared" si="0"/>
        <v>Current Year</v>
      </c>
      <c r="E37" s="103" t="str">
        <f t="shared" si="0"/>
        <v>Proposed Budget</v>
      </c>
    </row>
    <row r="38" spans="2:5" ht="15.75">
      <c r="B38" s="297" t="str">
        <f>(inputPrYr!B37)</f>
        <v>Sewer Utility</v>
      </c>
      <c r="C38" s="198" t="str">
        <f t="shared" si="0"/>
        <v>Actual for 2013</v>
      </c>
      <c r="D38" s="198" t="str">
        <f t="shared" si="0"/>
        <v>Estimate for 2014</v>
      </c>
      <c r="E38" s="198" t="str">
        <f t="shared" si="0"/>
        <v>Year for 2015</v>
      </c>
    </row>
    <row r="39" spans="2:5" ht="15.75">
      <c r="B39" s="199" t="s">
        <v>130</v>
      </c>
      <c r="C39" s="28">
        <v>9829</v>
      </c>
      <c r="D39" s="169">
        <f>C62</f>
        <v>5511</v>
      </c>
      <c r="E39" s="169">
        <f>D62</f>
        <v>3880</v>
      </c>
    </row>
    <row r="40" spans="2:5" ht="15.75">
      <c r="B40" s="199" t="s">
        <v>132</v>
      </c>
      <c r="C40" s="46"/>
      <c r="D40" s="46"/>
      <c r="E40" s="46"/>
    </row>
    <row r="41" spans="2:5" ht="15.75">
      <c r="B41" s="554" t="s">
        <v>368</v>
      </c>
      <c r="C41" s="28">
        <v>27059</v>
      </c>
      <c r="D41" s="28">
        <v>26218</v>
      </c>
      <c r="E41" s="28">
        <v>28858</v>
      </c>
    </row>
    <row r="42" spans="2:5" ht="15.75">
      <c r="B42" s="554" t="s">
        <v>339</v>
      </c>
      <c r="C42" s="28">
        <v>2700</v>
      </c>
      <c r="D42" s="28">
        <v>0</v>
      </c>
      <c r="E42" s="28">
        <v>0</v>
      </c>
    </row>
    <row r="43" spans="2:5" ht="15.75">
      <c r="B43" s="214"/>
      <c r="C43" s="28"/>
      <c r="D43" s="28"/>
      <c r="E43" s="28"/>
    </row>
    <row r="44" spans="2:5" ht="15.75">
      <c r="B44" s="214"/>
      <c r="C44" s="28"/>
      <c r="D44" s="28"/>
      <c r="E44" s="28"/>
    </row>
    <row r="45" spans="2:5" ht="15.75">
      <c r="B45" s="206" t="s">
        <v>30</v>
      </c>
      <c r="C45" s="28">
        <v>0</v>
      </c>
      <c r="D45" s="28">
        <v>0</v>
      </c>
      <c r="E45" s="28">
        <v>0</v>
      </c>
    </row>
    <row r="46" spans="2:5" ht="15.75">
      <c r="B46" s="117" t="s">
        <v>204</v>
      </c>
      <c r="C46" s="28">
        <v>572</v>
      </c>
      <c r="D46" s="28">
        <v>493</v>
      </c>
      <c r="E46" s="28">
        <v>493</v>
      </c>
    </row>
    <row r="47" spans="2:5" ht="15.75">
      <c r="B47" s="199" t="s">
        <v>257</v>
      </c>
      <c r="C47" s="299">
        <f>IF(C48*0.1&lt;C46,"Exceed 10% Rule","")</f>
      </c>
      <c r="D47" s="228">
        <f>IF(D48*0.1&lt;D46,"Exceed 10% Rule","")</f>
      </c>
      <c r="E47" s="228">
        <f>IF(E48*0.1&lt;E46,"Exceed 10% Rule","")</f>
      </c>
    </row>
    <row r="48" spans="2:5" ht="15.75">
      <c r="B48" s="208" t="s">
        <v>31</v>
      </c>
      <c r="C48" s="231">
        <f>SUM(C41:C46)</f>
        <v>30331</v>
      </c>
      <c r="D48" s="231">
        <f>SUM(D41:D46)</f>
        <v>26711</v>
      </c>
      <c r="E48" s="231">
        <f>SUM(E41:E46)</f>
        <v>29351</v>
      </c>
    </row>
    <row r="49" spans="2:5" ht="15.75">
      <c r="B49" s="208" t="s">
        <v>32</v>
      </c>
      <c r="C49" s="231">
        <f>C39+C48</f>
        <v>40160</v>
      </c>
      <c r="D49" s="231">
        <f>D39+D48</f>
        <v>32222</v>
      </c>
      <c r="E49" s="231">
        <f>E39+E48</f>
        <v>33231</v>
      </c>
    </row>
    <row r="50" spans="2:5" ht="15.75">
      <c r="B50" s="109" t="s">
        <v>34</v>
      </c>
      <c r="C50" s="169"/>
      <c r="D50" s="169"/>
      <c r="E50" s="169"/>
    </row>
    <row r="51" spans="2:5" ht="15.75">
      <c r="B51" s="554" t="s">
        <v>369</v>
      </c>
      <c r="C51" s="28"/>
      <c r="D51" s="28"/>
      <c r="E51" s="28"/>
    </row>
    <row r="52" spans="2:5" ht="15.75">
      <c r="B52" s="554" t="s">
        <v>342</v>
      </c>
      <c r="C52" s="28">
        <v>3789</v>
      </c>
      <c r="D52" s="28">
        <v>2934</v>
      </c>
      <c r="E52" s="28">
        <v>3239</v>
      </c>
    </row>
    <row r="53" spans="2:5" ht="15.75">
      <c r="B53" s="554" t="s">
        <v>343</v>
      </c>
      <c r="C53" s="28">
        <v>4922</v>
      </c>
      <c r="D53" s="28">
        <v>5762</v>
      </c>
      <c r="E53" s="28">
        <v>6000</v>
      </c>
    </row>
    <row r="54" spans="2:5" ht="15.75">
      <c r="B54" s="554" t="s">
        <v>35</v>
      </c>
      <c r="C54" s="28">
        <v>7886</v>
      </c>
      <c r="D54" s="28">
        <v>1594</v>
      </c>
      <c r="E54" s="28">
        <v>5000</v>
      </c>
    </row>
    <row r="55" spans="2:5" ht="15.75">
      <c r="B55" s="554" t="s">
        <v>36</v>
      </c>
      <c r="C55" s="28">
        <v>0</v>
      </c>
      <c r="D55" s="28">
        <v>0</v>
      </c>
      <c r="E55" s="28">
        <v>940</v>
      </c>
    </row>
    <row r="56" spans="2:5" ht="15.75">
      <c r="B56" s="554" t="s">
        <v>370</v>
      </c>
      <c r="C56" s="28"/>
      <c r="D56" s="28"/>
      <c r="E56" s="28"/>
    </row>
    <row r="57" spans="2:5" ht="15.75">
      <c r="B57" s="554" t="s">
        <v>371</v>
      </c>
      <c r="C57" s="28">
        <v>18052</v>
      </c>
      <c r="D57" s="28">
        <v>18052</v>
      </c>
      <c r="E57" s="28">
        <v>18052</v>
      </c>
    </row>
    <row r="58" spans="2:5" ht="15.75">
      <c r="B58" s="554"/>
      <c r="C58" s="28"/>
      <c r="D58" s="28"/>
      <c r="E58" s="28"/>
    </row>
    <row r="59" spans="2:5" ht="15.75">
      <c r="B59" s="215" t="s">
        <v>204</v>
      </c>
      <c r="C59" s="28">
        <v>0</v>
      </c>
      <c r="D59" s="201">
        <v>0</v>
      </c>
      <c r="E59" s="201">
        <v>0</v>
      </c>
    </row>
    <row r="60" spans="2:5" ht="15.75">
      <c r="B60" s="215" t="s">
        <v>258</v>
      </c>
      <c r="C60" s="299">
        <f>IF(C61*0.1&lt;C59,"Exceed 10% Rule","")</f>
      </c>
      <c r="D60" s="228">
        <f>IF(D61*0.1&lt;D59,"Exceed 10% Rule","")</f>
      </c>
      <c r="E60" s="228">
        <f>IF(E61*0.1&lt;E59,"Exceed 10% Rule","")</f>
      </c>
    </row>
    <row r="61" spans="2:5" ht="15.75">
      <c r="B61" s="208" t="s">
        <v>37</v>
      </c>
      <c r="C61" s="231">
        <f>SUM(C51:C59)</f>
        <v>34649</v>
      </c>
      <c r="D61" s="231">
        <f>SUM(D51:D59)</f>
        <v>28342</v>
      </c>
      <c r="E61" s="231">
        <f>SUM(E51:E59)</f>
        <v>33231</v>
      </c>
    </row>
    <row r="62" spans="2:5" ht="15.75">
      <c r="B62" s="109" t="s">
        <v>131</v>
      </c>
      <c r="C62" s="169">
        <f>C49-C61</f>
        <v>5511</v>
      </c>
      <c r="D62" s="169">
        <f>D49-D61</f>
        <v>3880</v>
      </c>
      <c r="E62" s="169">
        <f>E49-E61</f>
        <v>0</v>
      </c>
    </row>
    <row r="63" spans="2:5" ht="15.75">
      <c r="B63" s="126" t="str">
        <f>CONCATENATE("",E1-2,"/",E1-1,"/",E1," Budget Authority Amount:")</f>
        <v>2013/2014/2015 Budget Authority Amount:</v>
      </c>
      <c r="C63" s="374">
        <f>inputOth!B77</f>
        <v>39606</v>
      </c>
      <c r="D63" s="374">
        <f>inputPrYr!D37</f>
        <v>40982</v>
      </c>
      <c r="E63" s="338">
        <f>E61</f>
        <v>33231</v>
      </c>
    </row>
    <row r="64" spans="2:5" ht="15.75">
      <c r="B64" s="97"/>
      <c r="C64" s="218">
        <f>IF(C61&gt;C63,"See Tab A","")</f>
      </c>
      <c r="D64" s="218">
        <f>IF(D61&gt;D63,"See Tab C","")</f>
      </c>
      <c r="E64" s="511">
        <f>IF(E62&lt;0,"See Tab E","")</f>
      </c>
    </row>
    <row r="65" spans="2:5" ht="15.75">
      <c r="B65" s="97"/>
      <c r="C65" s="218">
        <f>IF(C62&lt;0,"See Tab B","")</f>
      </c>
      <c r="D65" s="218">
        <f>IF(D62&lt;0,"See Tab D","")</f>
      </c>
      <c r="E65" s="4"/>
    </row>
    <row r="66" spans="2:5" ht="15.75">
      <c r="B66" s="501" t="s">
        <v>379</v>
      </c>
      <c r="C66" s="502"/>
      <c r="D66" s="502"/>
      <c r="E66" s="502"/>
    </row>
    <row r="67" spans="2:5" ht="15.75">
      <c r="B67" s="97" t="s">
        <v>40</v>
      </c>
      <c r="C67" s="223">
        <v>10</v>
      </c>
      <c r="D67" s="4"/>
      <c r="E67" s="4"/>
    </row>
  </sheetData>
  <sheetProtection/>
  <mergeCells count="1">
    <mergeCell ref="B66:E66"/>
  </mergeCells>
  <conditionalFormatting sqref="C13">
    <cfRule type="cellIs" priority="5" dxfId="9" operator="greaterThan" stopIfTrue="1">
      <formula>$C$15*0.1</formula>
    </cfRule>
  </conditionalFormatting>
  <conditionalFormatting sqref="D13">
    <cfRule type="cellIs" priority="6" dxfId="9" operator="greaterThan" stopIfTrue="1">
      <formula>$D$15*0.1</formula>
    </cfRule>
  </conditionalFormatting>
  <conditionalFormatting sqref="E13">
    <cfRule type="cellIs" priority="7" dxfId="9" operator="greaterThan" stopIfTrue="1">
      <formula>$E$15*0.1</formula>
    </cfRule>
  </conditionalFormatting>
  <conditionalFormatting sqref="C28">
    <cfRule type="cellIs" priority="8" dxfId="9" operator="greaterThan" stopIfTrue="1">
      <formula>$C$30*0.1</formula>
    </cfRule>
  </conditionalFormatting>
  <conditionalFormatting sqref="D28">
    <cfRule type="cellIs" priority="9" dxfId="9" operator="greaterThan" stopIfTrue="1">
      <formula>$D$30*0.1</formula>
    </cfRule>
  </conditionalFormatting>
  <conditionalFormatting sqref="E28">
    <cfRule type="cellIs" priority="10" dxfId="9" operator="greaterThan" stopIfTrue="1">
      <formula>$E$30*0.1</formula>
    </cfRule>
  </conditionalFormatting>
  <conditionalFormatting sqref="C46">
    <cfRule type="cellIs" priority="11" dxfId="9" operator="greaterThan" stopIfTrue="1">
      <formula>$C$48*0.1</formula>
    </cfRule>
  </conditionalFormatting>
  <conditionalFormatting sqref="D46">
    <cfRule type="cellIs" priority="12" dxfId="9" operator="greaterThan" stopIfTrue="1">
      <formula>$D$48*0.1</formula>
    </cfRule>
  </conditionalFormatting>
  <conditionalFormatting sqref="E46">
    <cfRule type="cellIs" priority="13" dxfId="9" operator="greaterThan" stopIfTrue="1">
      <formula>$E$48*0.1</formula>
    </cfRule>
  </conditionalFormatting>
  <conditionalFormatting sqref="C59">
    <cfRule type="cellIs" priority="14" dxfId="9" operator="greaterThan" stopIfTrue="1">
      <formula>$C$61*0.1</formula>
    </cfRule>
  </conditionalFormatting>
  <conditionalFormatting sqref="D59">
    <cfRule type="cellIs" priority="15" dxfId="9" operator="greaterThan" stopIfTrue="1">
      <formula>$D$61*0.1</formula>
    </cfRule>
  </conditionalFormatting>
  <conditionalFormatting sqref="E59">
    <cfRule type="cellIs" priority="16" dxfId="9" operator="greaterThan" stopIfTrue="1">
      <formula>$E$61*0.1</formula>
    </cfRule>
  </conditionalFormatting>
  <conditionalFormatting sqref="E62 C62 E31 C31">
    <cfRule type="cellIs" priority="17" dxfId="0" operator="lessThan" stopIfTrue="1">
      <formula>0</formula>
    </cfRule>
  </conditionalFormatting>
  <conditionalFormatting sqref="D61">
    <cfRule type="cellIs" priority="18" dxfId="0" operator="greaterThan" stopIfTrue="1">
      <formula>$D$63</formula>
    </cfRule>
  </conditionalFormatting>
  <conditionalFormatting sqref="C61">
    <cfRule type="cellIs" priority="19" dxfId="0" operator="greaterThan" stopIfTrue="1">
      <formula>$C$63</formula>
    </cfRule>
  </conditionalFormatting>
  <conditionalFormatting sqref="D30">
    <cfRule type="cellIs" priority="20" dxfId="0" operator="greaterThan" stopIfTrue="1">
      <formula>$D$32</formula>
    </cfRule>
  </conditionalFormatting>
  <conditionalFormatting sqref="C30">
    <cfRule type="cellIs" priority="21" dxfId="0" operator="greaterThan" stopIfTrue="1">
      <formula>$C$32</formula>
    </cfRule>
  </conditionalFormatting>
  <conditionalFormatting sqref="D62">
    <cfRule type="cellIs" priority="4" dxfId="2" operator="lessThan" stopIfTrue="1">
      <formula>0</formula>
    </cfRule>
  </conditionalFormatting>
  <conditionalFormatting sqref="D31">
    <cfRule type="cellIs" priority="3" dxfId="2" operator="lessThan" stopIfTrue="1">
      <formula>0</formula>
    </cfRule>
  </conditionalFormatting>
  <conditionalFormatting sqref="E32">
    <cfRule type="cellIs" priority="2" dxfId="0" operator="lessThan" stopIfTrue="1">
      <formula>0</formula>
    </cfRule>
  </conditionalFormatting>
  <conditionalFormatting sqref="E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M23" sqref="M23"/>
    </sheetView>
  </sheetViews>
  <sheetFormatPr defaultColWidth="8.796875" defaultRowHeight="15"/>
  <cols>
    <col min="1" max="1" width="11.59765625" style="1" customWidth="1"/>
    <col min="2" max="2" width="7.3984375" style="1" customWidth="1"/>
    <col min="3" max="3" width="11.59765625" style="1" customWidth="1"/>
    <col min="4" max="4" width="7.3984375" style="1" customWidth="1"/>
    <col min="5" max="5" width="11.59765625" style="1" customWidth="1"/>
    <col min="6" max="6" width="7.3984375" style="1" customWidth="1"/>
    <col min="7" max="7" width="11.59765625" style="1" customWidth="1"/>
    <col min="8" max="8" width="7.3984375" style="1" customWidth="1"/>
    <col min="9" max="9" width="11.59765625" style="1" customWidth="1"/>
    <col min="10" max="16384" width="8.8984375" style="1" customWidth="1"/>
  </cols>
  <sheetData>
    <row r="1" spans="1:11" ht="15.75">
      <c r="A1" s="64">
        <f>inputPrYr!$C$2</f>
        <v>0</v>
      </c>
      <c r="B1" s="235"/>
      <c r="C1" s="64"/>
      <c r="D1" s="64"/>
      <c r="E1" s="64"/>
      <c r="F1" s="236" t="s">
        <v>159</v>
      </c>
      <c r="G1" s="64"/>
      <c r="H1" s="64"/>
      <c r="I1" s="64"/>
      <c r="J1" s="64"/>
      <c r="K1" s="64">
        <f>inputPrYr!$C$5</f>
        <v>2015</v>
      </c>
    </row>
    <row r="2" spans="1:11" ht="15.75">
      <c r="A2" s="64"/>
      <c r="B2" s="64"/>
      <c r="C2" s="64"/>
      <c r="D2" s="64"/>
      <c r="E2" s="64"/>
      <c r="F2" s="237" t="str">
        <f>CONCATENATE("(Only the actual budget year for ",K1-2," is to be shown)")</f>
        <v>(Only the actual budget year for 2013 is to be shown)</v>
      </c>
      <c r="G2" s="64"/>
      <c r="H2" s="64"/>
      <c r="I2" s="64"/>
      <c r="J2" s="64"/>
      <c r="K2" s="64"/>
    </row>
    <row r="3" spans="1:11" ht="15.75">
      <c r="A3" s="64" t="s">
        <v>182</v>
      </c>
      <c r="B3" s="64"/>
      <c r="C3" s="64"/>
      <c r="D3" s="64"/>
      <c r="E3" s="64"/>
      <c r="F3" s="235"/>
      <c r="G3" s="64"/>
      <c r="H3" s="64"/>
      <c r="I3" s="64"/>
      <c r="J3" s="64"/>
      <c r="K3" s="64"/>
    </row>
    <row r="4" spans="1:11" ht="15.75">
      <c r="A4" s="64" t="s">
        <v>161</v>
      </c>
      <c r="B4" s="64"/>
      <c r="C4" s="64" t="s">
        <v>162</v>
      </c>
      <c r="D4" s="64"/>
      <c r="E4" s="64" t="s">
        <v>163</v>
      </c>
      <c r="F4" s="235"/>
      <c r="G4" s="64" t="s">
        <v>164</v>
      </c>
      <c r="H4" s="64"/>
      <c r="I4" s="64" t="s">
        <v>165</v>
      </c>
      <c r="J4" s="64"/>
      <c r="K4" s="64"/>
    </row>
    <row r="5" spans="1:11" ht="15.75">
      <c r="A5" s="597" t="str">
        <f>inputPrYr!$B51</f>
        <v>Wtr Util Lease Purch P &amp; I</v>
      </c>
      <c r="B5" s="598"/>
      <c r="C5" s="597" t="str">
        <f>inputPrYr!$B52</f>
        <v>Water Util Bond &amp; Interest</v>
      </c>
      <c r="D5" s="598"/>
      <c r="E5" s="597" t="str">
        <f>inputPrYr!$B53</f>
        <v>Water Utility Bond Reserve</v>
      </c>
      <c r="F5" s="598"/>
      <c r="G5" s="597">
        <f>inputPrYr!$B54</f>
        <v>0</v>
      </c>
      <c r="H5" s="598"/>
      <c r="I5" s="597">
        <f>inputPrYr!$B55</f>
        <v>0</v>
      </c>
      <c r="J5" s="598"/>
      <c r="K5" s="85"/>
    </row>
    <row r="6" spans="1:11" ht="15.75">
      <c r="A6" s="239" t="s">
        <v>156</v>
      </c>
      <c r="B6" s="240"/>
      <c r="C6" s="241" t="s">
        <v>156</v>
      </c>
      <c r="D6" s="242"/>
      <c r="E6" s="241" t="s">
        <v>156</v>
      </c>
      <c r="F6" s="243"/>
      <c r="G6" s="241" t="s">
        <v>156</v>
      </c>
      <c r="H6" s="238"/>
      <c r="I6" s="241" t="s">
        <v>156</v>
      </c>
      <c r="J6" s="64"/>
      <c r="K6" s="244" t="s">
        <v>215</v>
      </c>
    </row>
    <row r="7" spans="1:11" ht="15.75">
      <c r="A7" s="245" t="s">
        <v>206</v>
      </c>
      <c r="B7" s="246">
        <v>22340</v>
      </c>
      <c r="C7" s="247" t="s">
        <v>206</v>
      </c>
      <c r="D7" s="246">
        <v>11961</v>
      </c>
      <c r="E7" s="247" t="s">
        <v>206</v>
      </c>
      <c r="F7" s="246">
        <v>22500</v>
      </c>
      <c r="G7" s="247" t="s">
        <v>206</v>
      </c>
      <c r="H7" s="246"/>
      <c r="I7" s="247" t="s">
        <v>206</v>
      </c>
      <c r="J7" s="246"/>
      <c r="K7" s="248">
        <f>SUM(B7+D7+F7+H7+J7)</f>
        <v>56801</v>
      </c>
    </row>
    <row r="8" spans="1:11" ht="15.75">
      <c r="A8" s="249" t="s">
        <v>132</v>
      </c>
      <c r="B8" s="250"/>
      <c r="C8" s="249" t="s">
        <v>132</v>
      </c>
      <c r="D8" s="251"/>
      <c r="E8" s="249" t="s">
        <v>132</v>
      </c>
      <c r="F8" s="235"/>
      <c r="G8" s="249" t="s">
        <v>132</v>
      </c>
      <c r="H8" s="64"/>
      <c r="I8" s="249" t="s">
        <v>132</v>
      </c>
      <c r="J8" s="64"/>
      <c r="K8" s="235"/>
    </row>
    <row r="9" spans="1:11" ht="15.75">
      <c r="A9" s="555" t="s">
        <v>372</v>
      </c>
      <c r="B9" s="246"/>
      <c r="C9" s="555" t="s">
        <v>372</v>
      </c>
      <c r="D9" s="246"/>
      <c r="E9" s="252"/>
      <c r="F9" s="246"/>
      <c r="G9" s="252"/>
      <c r="H9" s="246"/>
      <c r="I9" s="252"/>
      <c r="J9" s="246"/>
      <c r="K9" s="235"/>
    </row>
    <row r="10" spans="1:11" ht="15.75">
      <c r="A10" s="555" t="s">
        <v>373</v>
      </c>
      <c r="B10" s="246">
        <v>11163</v>
      </c>
      <c r="C10" s="555" t="s">
        <v>373</v>
      </c>
      <c r="D10" s="246">
        <v>22217</v>
      </c>
      <c r="E10" s="252"/>
      <c r="F10" s="246"/>
      <c r="G10" s="252"/>
      <c r="H10" s="246"/>
      <c r="I10" s="252"/>
      <c r="J10" s="246"/>
      <c r="K10" s="235"/>
    </row>
    <row r="11" spans="1:11" ht="15.75">
      <c r="A11" s="252"/>
      <c r="B11" s="246"/>
      <c r="C11" s="253"/>
      <c r="D11" s="254"/>
      <c r="E11" s="253"/>
      <c r="F11" s="254"/>
      <c r="G11" s="253"/>
      <c r="H11" s="254"/>
      <c r="I11" s="255"/>
      <c r="J11" s="246"/>
      <c r="K11" s="235"/>
    </row>
    <row r="12" spans="1:11" ht="15.75">
      <c r="A12" s="252"/>
      <c r="B12" s="256"/>
      <c r="C12" s="252"/>
      <c r="D12" s="257"/>
      <c r="E12" s="258"/>
      <c r="F12" s="257"/>
      <c r="G12" s="258"/>
      <c r="H12" s="257"/>
      <c r="I12" s="258"/>
      <c r="J12" s="246"/>
      <c r="K12" s="235"/>
    </row>
    <row r="13" spans="1:11" ht="15.75">
      <c r="A13" s="259"/>
      <c r="B13" s="260"/>
      <c r="C13" s="261"/>
      <c r="D13" s="260"/>
      <c r="E13" s="261"/>
      <c r="F13" s="260"/>
      <c r="G13" s="261"/>
      <c r="H13" s="260"/>
      <c r="I13" s="255"/>
      <c r="J13" s="246"/>
      <c r="K13" s="235"/>
    </row>
    <row r="14" spans="1:11" ht="15.75">
      <c r="A14" s="252"/>
      <c r="B14" s="246"/>
      <c r="C14" s="258"/>
      <c r="D14" s="257"/>
      <c r="E14" s="258"/>
      <c r="F14" s="257"/>
      <c r="G14" s="258"/>
      <c r="H14" s="257"/>
      <c r="I14" s="258"/>
      <c r="J14" s="246"/>
      <c r="K14" s="235"/>
    </row>
    <row r="15" spans="1:11" ht="15.75">
      <c r="A15" s="252"/>
      <c r="B15" s="246"/>
      <c r="C15" s="258"/>
      <c r="D15" s="257"/>
      <c r="E15" s="258"/>
      <c r="F15" s="257"/>
      <c r="G15" s="258"/>
      <c r="H15" s="257"/>
      <c r="I15" s="258"/>
      <c r="J15" s="246"/>
      <c r="K15" s="235"/>
    </row>
    <row r="16" spans="1:11" ht="15.75">
      <c r="A16" s="252"/>
      <c r="B16" s="260"/>
      <c r="C16" s="252"/>
      <c r="D16" s="260"/>
      <c r="E16" s="252"/>
      <c r="F16" s="246"/>
      <c r="G16" s="258"/>
      <c r="H16" s="260"/>
      <c r="I16" s="252"/>
      <c r="J16" s="257"/>
      <c r="K16" s="235"/>
    </row>
    <row r="17" spans="1:11" ht="15.75">
      <c r="A17" s="249" t="s">
        <v>31</v>
      </c>
      <c r="B17" s="248">
        <f>SUM(B9:B16)</f>
        <v>11163</v>
      </c>
      <c r="C17" s="249" t="s">
        <v>31</v>
      </c>
      <c r="D17" s="262">
        <f>SUM(D9:D16)</f>
        <v>22217</v>
      </c>
      <c r="E17" s="249" t="s">
        <v>31</v>
      </c>
      <c r="F17" s="263">
        <f>SUM(F9:F16)</f>
        <v>0</v>
      </c>
      <c r="G17" s="249" t="s">
        <v>31</v>
      </c>
      <c r="H17" s="262">
        <f>SUM(H9:H16)</f>
        <v>0</v>
      </c>
      <c r="I17" s="249" t="s">
        <v>31</v>
      </c>
      <c r="J17" s="262">
        <f>SUM(J9:J16)</f>
        <v>0</v>
      </c>
      <c r="K17" s="248">
        <f>SUM(B17+D17+F17+H17+J17)</f>
        <v>33380</v>
      </c>
    </row>
    <row r="18" spans="1:11" ht="15.75">
      <c r="A18" s="249" t="s">
        <v>32</v>
      </c>
      <c r="B18" s="248">
        <f>SUM(B7+B17)</f>
        <v>33503</v>
      </c>
      <c r="C18" s="249" t="s">
        <v>32</v>
      </c>
      <c r="D18" s="248">
        <f>SUM(D7+D17)</f>
        <v>34178</v>
      </c>
      <c r="E18" s="249" t="s">
        <v>32</v>
      </c>
      <c r="F18" s="248">
        <f>SUM(F7+F17)</f>
        <v>22500</v>
      </c>
      <c r="G18" s="249" t="s">
        <v>32</v>
      </c>
      <c r="H18" s="248">
        <f>SUM(H7+H17)</f>
        <v>0</v>
      </c>
      <c r="I18" s="249" t="s">
        <v>32</v>
      </c>
      <c r="J18" s="248">
        <f>SUM(J7+J17)</f>
        <v>0</v>
      </c>
      <c r="K18" s="248">
        <f>SUM(B18+D18+F18+H18+J18)</f>
        <v>90181</v>
      </c>
    </row>
    <row r="19" spans="1:11" ht="15.75">
      <c r="A19" s="249" t="s">
        <v>34</v>
      </c>
      <c r="B19" s="250"/>
      <c r="C19" s="249" t="s">
        <v>34</v>
      </c>
      <c r="D19" s="251"/>
      <c r="E19" s="249" t="s">
        <v>34</v>
      </c>
      <c r="F19" s="235"/>
      <c r="G19" s="249" t="s">
        <v>34</v>
      </c>
      <c r="H19" s="64"/>
      <c r="I19" s="249" t="s">
        <v>34</v>
      </c>
      <c r="J19" s="64"/>
      <c r="K19" s="235"/>
    </row>
    <row r="20" spans="1:11" ht="15.75">
      <c r="A20" s="555" t="s">
        <v>208</v>
      </c>
      <c r="B20" s="246"/>
      <c r="C20" s="555" t="s">
        <v>208</v>
      </c>
      <c r="D20" s="246"/>
      <c r="E20" s="258"/>
      <c r="F20" s="246"/>
      <c r="G20" s="258"/>
      <c r="H20" s="246"/>
      <c r="I20" s="258"/>
      <c r="J20" s="246"/>
      <c r="K20" s="235"/>
    </row>
    <row r="21" spans="1:11" ht="15.75">
      <c r="A21" s="555" t="s">
        <v>351</v>
      </c>
      <c r="B21" s="246">
        <v>7188</v>
      </c>
      <c r="C21" s="555" t="s">
        <v>351</v>
      </c>
      <c r="D21" s="257">
        <v>12000</v>
      </c>
      <c r="E21" s="258"/>
      <c r="F21" s="257"/>
      <c r="G21" s="258"/>
      <c r="H21" s="257"/>
      <c r="I21" s="258"/>
      <c r="J21" s="264"/>
      <c r="K21" s="235"/>
    </row>
    <row r="22" spans="1:11" ht="15.75">
      <c r="A22" s="555" t="s">
        <v>352</v>
      </c>
      <c r="B22" s="265">
        <v>4823</v>
      </c>
      <c r="C22" s="555" t="s">
        <v>352</v>
      </c>
      <c r="D22" s="260">
        <v>9350</v>
      </c>
      <c r="E22" s="261"/>
      <c r="F22" s="260"/>
      <c r="G22" s="261"/>
      <c r="H22" s="260"/>
      <c r="I22" s="255"/>
      <c r="J22" s="246"/>
      <c r="K22" s="235"/>
    </row>
    <row r="23" spans="1:11" ht="15.75">
      <c r="A23" s="252"/>
      <c r="B23" s="246"/>
      <c r="C23" s="258"/>
      <c r="D23" s="257"/>
      <c r="E23" s="258"/>
      <c r="F23" s="257"/>
      <c r="G23" s="258"/>
      <c r="H23" s="257"/>
      <c r="I23" s="258"/>
      <c r="J23" s="246"/>
      <c r="K23" s="235"/>
    </row>
    <row r="24" spans="1:11" ht="15.75">
      <c r="A24" s="252"/>
      <c r="B24" s="265"/>
      <c r="C24" s="261"/>
      <c r="D24" s="260"/>
      <c r="E24" s="261"/>
      <c r="F24" s="260"/>
      <c r="G24" s="261"/>
      <c r="H24" s="260"/>
      <c r="I24" s="255"/>
      <c r="J24" s="246"/>
      <c r="K24" s="235"/>
    </row>
    <row r="25" spans="1:11" ht="15.75">
      <c r="A25" s="252"/>
      <c r="B25" s="246"/>
      <c r="C25" s="258"/>
      <c r="D25" s="257"/>
      <c r="E25" s="258"/>
      <c r="F25" s="257"/>
      <c r="G25" s="258"/>
      <c r="H25" s="257"/>
      <c r="I25" s="258"/>
      <c r="J25" s="246"/>
      <c r="K25" s="235"/>
    </row>
    <row r="26" spans="1:11" ht="15.75">
      <c r="A26" s="252"/>
      <c r="B26" s="246"/>
      <c r="C26" s="258"/>
      <c r="D26" s="257"/>
      <c r="E26" s="258"/>
      <c r="F26" s="257"/>
      <c r="G26" s="258"/>
      <c r="H26" s="257"/>
      <c r="I26" s="258"/>
      <c r="J26" s="246"/>
      <c r="K26" s="235"/>
    </row>
    <row r="27" spans="1:11" ht="15.75">
      <c r="A27" s="252"/>
      <c r="B27" s="264"/>
      <c r="C27" s="252"/>
      <c r="D27" s="256"/>
      <c r="E27" s="252"/>
      <c r="F27" s="257"/>
      <c r="G27" s="258"/>
      <c r="H27" s="257"/>
      <c r="I27" s="258"/>
      <c r="J27" s="246"/>
      <c r="K27" s="235"/>
    </row>
    <row r="28" spans="1:11" ht="15.75">
      <c r="A28" s="249" t="s">
        <v>37</v>
      </c>
      <c r="B28" s="248">
        <f>SUM(B20:B27)</f>
        <v>12011</v>
      </c>
      <c r="C28" s="249" t="s">
        <v>37</v>
      </c>
      <c r="D28" s="248">
        <f>SUM(D20:D27)</f>
        <v>21350</v>
      </c>
      <c r="E28" s="249" t="s">
        <v>37</v>
      </c>
      <c r="F28" s="312">
        <f>SUM(F20:F27)</f>
        <v>0</v>
      </c>
      <c r="G28" s="249" t="s">
        <v>37</v>
      </c>
      <c r="H28" s="312">
        <f>SUM(H20:H27)</f>
        <v>0</v>
      </c>
      <c r="I28" s="249" t="s">
        <v>37</v>
      </c>
      <c r="J28" s="248">
        <f>SUM(J20:J27)</f>
        <v>0</v>
      </c>
      <c r="K28" s="248">
        <f>SUM(B28+D28+F28+H28+J28)</f>
        <v>33361</v>
      </c>
    </row>
    <row r="29" spans="1:12" ht="15.75">
      <c r="A29" s="249" t="s">
        <v>155</v>
      </c>
      <c r="B29" s="248">
        <f>SUM(B18-B28)</f>
        <v>21492</v>
      </c>
      <c r="C29" s="249" t="s">
        <v>155</v>
      </c>
      <c r="D29" s="248">
        <f>SUM(D18-D28)</f>
        <v>12828</v>
      </c>
      <c r="E29" s="249" t="s">
        <v>155</v>
      </c>
      <c r="F29" s="248">
        <f>SUM(F18-F28)</f>
        <v>22500</v>
      </c>
      <c r="G29" s="249" t="s">
        <v>155</v>
      </c>
      <c r="H29" s="248">
        <f>SUM(H18-H28)</f>
        <v>0</v>
      </c>
      <c r="I29" s="249" t="s">
        <v>155</v>
      </c>
      <c r="J29" s="248">
        <f>SUM(J18-J28)</f>
        <v>0</v>
      </c>
      <c r="K29" s="266">
        <f>SUM(B29+D29+F29+H29+J29)</f>
        <v>56820</v>
      </c>
      <c r="L29" s="267" t="s">
        <v>194</v>
      </c>
    </row>
    <row r="30" spans="1:12" ht="15.75">
      <c r="A30" s="249"/>
      <c r="B30" s="274">
        <f>IF(B29&lt;0,"See Tab B","")</f>
      </c>
      <c r="C30" s="249"/>
      <c r="D30" s="274">
        <f>IF(D29&lt;0,"See Tab B","")</f>
      </c>
      <c r="E30" s="249"/>
      <c r="F30" s="274">
        <f>IF(F29&lt;0,"See Tab B","")</f>
      </c>
      <c r="G30" s="64"/>
      <c r="H30" s="274">
        <f>IF(H29&lt;0,"See Tab B","")</f>
      </c>
      <c r="I30" s="64"/>
      <c r="J30" s="274">
        <f>IF(J29&lt;0,"See Tab B","")</f>
      </c>
      <c r="K30" s="266">
        <f>SUM(K7+K17-K28)</f>
        <v>56820</v>
      </c>
      <c r="L30" s="267" t="s">
        <v>194</v>
      </c>
    </row>
    <row r="31" spans="1:11" ht="15.75">
      <c r="A31" s="64"/>
      <c r="B31" s="268"/>
      <c r="C31" s="64"/>
      <c r="D31" s="235"/>
      <c r="E31" s="64"/>
      <c r="F31" s="64"/>
      <c r="G31" s="2" t="s">
        <v>195</v>
      </c>
      <c r="H31" s="2"/>
      <c r="I31" s="2"/>
      <c r="J31" s="2"/>
      <c r="K31" s="64"/>
    </row>
    <row r="32" spans="1:11" ht="15.75">
      <c r="A32" s="501" t="s">
        <v>379</v>
      </c>
      <c r="B32" s="502"/>
      <c r="C32" s="502"/>
      <c r="D32" s="502"/>
      <c r="E32" s="498"/>
      <c r="F32" s="498"/>
      <c r="G32" s="498"/>
      <c r="H32" s="498"/>
      <c r="I32" s="498"/>
      <c r="J32" s="498"/>
      <c r="K32" s="498"/>
    </row>
    <row r="33" spans="1:11" ht="15.75">
      <c r="A33" s="64"/>
      <c r="B33" s="268"/>
      <c r="C33" s="64"/>
      <c r="D33" s="64"/>
      <c r="E33" s="219" t="s">
        <v>40</v>
      </c>
      <c r="F33" s="223">
        <v>11</v>
      </c>
      <c r="G33" s="64"/>
      <c r="H33" s="64"/>
      <c r="I33" s="64"/>
      <c r="J33" s="64"/>
      <c r="K33" s="64"/>
    </row>
    <row r="34" ht="15.75">
      <c r="B34" s="269"/>
    </row>
    <row r="35" ht="15.75">
      <c r="B35" s="269"/>
    </row>
    <row r="36" ht="15.75">
      <c r="B36" s="269"/>
    </row>
    <row r="37" ht="15.75">
      <c r="B37" s="269"/>
    </row>
    <row r="38" ht="15.75">
      <c r="B38" s="269"/>
    </row>
    <row r="39" ht="15.75">
      <c r="B39" s="269"/>
    </row>
    <row r="40" ht="15.75">
      <c r="B40" s="269"/>
    </row>
    <row r="41" ht="15.75">
      <c r="B41" s="269"/>
    </row>
  </sheetData>
  <sheetProtection/>
  <mergeCells count="6">
    <mergeCell ref="A32:K32"/>
    <mergeCell ref="I5:J5"/>
    <mergeCell ref="A5:B5"/>
    <mergeCell ref="C5:D5"/>
    <mergeCell ref="E5:F5"/>
    <mergeCell ref="G5:H5"/>
  </mergeCells>
  <printOptions/>
  <pageMargins left="0" right="0" top="1" bottom="1" header="0.5" footer="0.5"/>
  <pageSetup blackAndWhite="1" fitToHeight="1" fitToWidth="1" horizontalDpi="600" verticalDpi="600" orientation="landscape" scale="93"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M42"/>
  <sheetViews>
    <sheetView tabSelected="1" zoomScale="75" zoomScaleNormal="75" zoomScalePageLayoutView="0" workbookViewId="0" topLeftCell="A8">
      <selection activeCell="A1" sqref="A1:H50"/>
    </sheetView>
  </sheetViews>
  <sheetFormatPr defaultColWidth="8.796875" defaultRowHeight="15"/>
  <cols>
    <col min="1" max="1" width="20.69921875" style="1" customWidth="1"/>
    <col min="2" max="2" width="15.69921875" style="1" customWidth="1"/>
    <col min="3" max="3" width="10.69921875" style="1" customWidth="1"/>
    <col min="4" max="4" width="15.69921875" style="1" customWidth="1"/>
    <col min="5" max="5" width="10.69921875" style="1" customWidth="1"/>
    <col min="6" max="6" width="15.69921875" style="1" customWidth="1"/>
    <col min="7" max="7" width="12.69921875" style="1" customWidth="1"/>
    <col min="8" max="8" width="10.69921875" style="1" customWidth="1"/>
    <col min="9" max="9" width="8.8984375" style="1" customWidth="1"/>
    <col min="10" max="10" width="12.3984375" style="1" customWidth="1"/>
    <col min="11" max="11" width="12.296875" style="1" customWidth="1"/>
    <col min="12" max="12" width="10.59765625" style="1" customWidth="1"/>
    <col min="13" max="13" width="12.09765625" style="1" customWidth="1"/>
    <col min="14" max="16384" width="8.8984375" style="1" customWidth="1"/>
  </cols>
  <sheetData>
    <row r="1" spans="1:8" ht="15.75">
      <c r="A1" s="64"/>
      <c r="B1" s="64"/>
      <c r="C1" s="64"/>
      <c r="D1" s="64"/>
      <c r="E1" s="64"/>
      <c r="F1" s="64"/>
      <c r="G1" s="64"/>
      <c r="H1" s="64">
        <f>inputPrYr!$C$5</f>
        <v>2015</v>
      </c>
    </row>
    <row r="2" spans="1:9" ht="15.75">
      <c r="A2" s="504" t="s">
        <v>84</v>
      </c>
      <c r="B2" s="504"/>
      <c r="C2" s="504"/>
      <c r="D2" s="504"/>
      <c r="E2" s="504"/>
      <c r="F2" s="504"/>
      <c r="G2" s="504"/>
      <c r="H2" s="504"/>
      <c r="I2" s="270"/>
    </row>
    <row r="3" spans="1:8" ht="15.75">
      <c r="A3" s="4"/>
      <c r="B3" s="4"/>
      <c r="C3" s="4"/>
      <c r="D3" s="4"/>
      <c r="E3" s="4"/>
      <c r="F3" s="4"/>
      <c r="G3" s="4"/>
      <c r="H3" s="4"/>
    </row>
    <row r="4" spans="1:8" ht="15.75">
      <c r="A4" s="496" t="s">
        <v>42</v>
      </c>
      <c r="B4" s="496"/>
      <c r="C4" s="496"/>
      <c r="D4" s="496"/>
      <c r="E4" s="496"/>
      <c r="F4" s="496"/>
      <c r="G4" s="496"/>
      <c r="H4" s="496"/>
    </row>
    <row r="5" spans="1:8" ht="15.75">
      <c r="A5" s="539" t="str">
        <f>inputPrYr!D2</f>
        <v>City of Buffalo</v>
      </c>
      <c r="B5" s="539"/>
      <c r="C5" s="539"/>
      <c r="D5" s="539"/>
      <c r="E5" s="539"/>
      <c r="F5" s="539"/>
      <c r="G5" s="539"/>
      <c r="H5" s="539"/>
    </row>
    <row r="6" spans="1:8" ht="15.75">
      <c r="A6" s="600" t="str">
        <f>CONCATENATE("will meet on ",inputBudSum!B7," at ",inputBudSum!B9," at ",inputBudSum!B11," for the purpose of")</f>
        <v>will meet on August 12, 2014 at 6:45 PM at Buffalo City Hall for the purpose of</v>
      </c>
      <c r="B6" s="600"/>
      <c r="C6" s="600"/>
      <c r="D6" s="600"/>
      <c r="E6" s="600"/>
      <c r="F6" s="600"/>
      <c r="G6" s="600"/>
      <c r="H6" s="600"/>
    </row>
    <row r="7" spans="1:8" ht="15.75">
      <c r="A7" s="496" t="s">
        <v>232</v>
      </c>
      <c r="B7" s="496"/>
      <c r="C7" s="496"/>
      <c r="D7" s="496"/>
      <c r="E7" s="496"/>
      <c r="F7" s="496"/>
      <c r="G7" s="496"/>
      <c r="H7" s="496"/>
    </row>
    <row r="8" spans="1:8" ht="15.75">
      <c r="A8" s="599" t="str">
        <f>CONCATENATE("Detailed budget information is available at ",inputBudSum!B14," and will be available at this hearing.")</f>
        <v>Detailed budget information is available at Buffalo City Hall and will be available at this hearing.</v>
      </c>
      <c r="B8" s="599"/>
      <c r="C8" s="599"/>
      <c r="D8" s="599"/>
      <c r="E8" s="599"/>
      <c r="F8" s="599"/>
      <c r="G8" s="599"/>
      <c r="H8" s="599"/>
    </row>
    <row r="9" spans="1:8" ht="15.75">
      <c r="A9" s="10" t="s">
        <v>85</v>
      </c>
      <c r="B9" s="11"/>
      <c r="C9" s="11"/>
      <c r="D9" s="11"/>
      <c r="E9" s="11"/>
      <c r="F9" s="11"/>
      <c r="G9" s="11"/>
      <c r="H9" s="11"/>
    </row>
    <row r="10" spans="1:8" ht="15.75">
      <c r="A10" s="12" t="str">
        <f>CONCATENATE("Proposed Budget ",H1," Expenditures and Amount of  ",H1-1," Ad Valorem Tax establish the maximum limits of the ",H1," budget.")</f>
        <v>Proposed Budget 2015 Expenditures and Amount of  2014 Ad Valorem Tax establish the maximum limits of the 2015 budget.</v>
      </c>
      <c r="B10" s="11"/>
      <c r="C10" s="11"/>
      <c r="D10" s="11"/>
      <c r="E10" s="11"/>
      <c r="F10" s="11"/>
      <c r="G10" s="11"/>
      <c r="H10" s="11"/>
    </row>
    <row r="11" spans="1:8" ht="15.75">
      <c r="A11" s="12" t="s">
        <v>136</v>
      </c>
      <c r="B11" s="11"/>
      <c r="C11" s="11"/>
      <c r="D11" s="11"/>
      <c r="E11" s="11"/>
      <c r="F11" s="11"/>
      <c r="G11" s="11"/>
      <c r="H11" s="11"/>
    </row>
    <row r="12" spans="1:8" ht="15.75">
      <c r="A12" s="4"/>
      <c r="B12" s="230"/>
      <c r="C12" s="230"/>
      <c r="D12" s="230"/>
      <c r="E12" s="230"/>
      <c r="F12" s="230"/>
      <c r="G12" s="230"/>
      <c r="H12" s="230"/>
    </row>
    <row r="13" spans="1:8" ht="15.75">
      <c r="A13" s="4"/>
      <c r="B13" s="271" t="str">
        <f>CONCATENATE("Prior Year Actual for ",H1-2,"")</f>
        <v>Prior Year Actual for 2013</v>
      </c>
      <c r="C13" s="100"/>
      <c r="D13" s="271" t="str">
        <f>CONCATENATE("Current Year Estimate for ",H1-1,"")</f>
        <v>Current Year Estimate for 2014</v>
      </c>
      <c r="E13" s="100"/>
      <c r="F13" s="98" t="str">
        <f>CONCATENATE("Proposed Budget for ",H1,"")</f>
        <v>Proposed Budget for 2015</v>
      </c>
      <c r="G13" s="99"/>
      <c r="H13" s="100"/>
    </row>
    <row r="14" spans="1:8" ht="21" customHeight="1">
      <c r="A14" s="4"/>
      <c r="B14" s="221"/>
      <c r="C14" s="103" t="s">
        <v>43</v>
      </c>
      <c r="D14" s="103"/>
      <c r="E14" s="103" t="s">
        <v>43</v>
      </c>
      <c r="F14" s="318" t="s">
        <v>201</v>
      </c>
      <c r="G14" s="103" t="str">
        <f>CONCATENATE("Amount of ",H1-1,"")</f>
        <v>Amount of 2014</v>
      </c>
      <c r="H14" s="103" t="s">
        <v>181</v>
      </c>
    </row>
    <row r="15" spans="1:8" ht="15.75">
      <c r="A15" s="25" t="s">
        <v>44</v>
      </c>
      <c r="B15" s="107" t="s">
        <v>45</v>
      </c>
      <c r="C15" s="107" t="s">
        <v>46</v>
      </c>
      <c r="D15" s="107" t="s">
        <v>45</v>
      </c>
      <c r="E15" s="107" t="s">
        <v>46</v>
      </c>
      <c r="F15" s="319" t="s">
        <v>247</v>
      </c>
      <c r="G15" s="108" t="s">
        <v>25</v>
      </c>
      <c r="H15" s="107" t="s">
        <v>46</v>
      </c>
    </row>
    <row r="16" spans="1:13" ht="15.75" customHeight="1">
      <c r="A16" s="46" t="str">
        <f>inputPrYr!B17</f>
        <v>General</v>
      </c>
      <c r="B16" s="169">
        <f>IF(general!$C$111&lt;&gt;0,general!$C$111,"  ")</f>
        <v>79840.73000000001</v>
      </c>
      <c r="C16" s="37">
        <f>IF(inputPrYr!D64&gt;0,inputPrYr!D64,"  ")</f>
        <v>76.848</v>
      </c>
      <c r="D16" s="169">
        <f>IF(general!$D$111&lt;&gt;0,general!$D$111,"  ")</f>
        <v>82156</v>
      </c>
      <c r="E16" s="37">
        <f>IF(inputOth!D21&gt;0,inputOth!D21,"  ")</f>
        <v>62.438</v>
      </c>
      <c r="F16" s="169">
        <f>IF(general!$E$111&lt;&gt;0,general!$E$111,"  ")</f>
        <v>117328</v>
      </c>
      <c r="G16" s="169">
        <f>IF(general!$E$118&lt;&gt;0,general!$E$118,"  ")</f>
        <v>46569.73000000001</v>
      </c>
      <c r="H16" s="37">
        <f>IF(general!E118&gt;0,ROUND(G16/$F$29*1000,3),"  ")</f>
        <v>80.298</v>
      </c>
      <c r="J16" s="601" t="str">
        <f>CONCATENATE("Estimated Value Of One Mill For ",H1,"")</f>
        <v>Estimated Value Of One Mill For 2015</v>
      </c>
      <c r="K16" s="602"/>
      <c r="L16" s="602"/>
      <c r="M16" s="603"/>
    </row>
    <row r="17" spans="1:13" ht="15.75">
      <c r="A17" s="46" t="str">
        <f>IF(inputPrYr!$B18&gt;"  ",(inputPrYr!$B18),"  ")</f>
        <v>G.O. Bond &amp; Interest</v>
      </c>
      <c r="B17" s="169" t="str">
        <f>IF('G.O. B&amp;I-G.O. Sewer B&amp;I'!C33&lt;&gt;0,'G.O. B&amp;I-G.O. Sewer B&amp;I'!C33,"  ")</f>
        <v>  </v>
      </c>
      <c r="C17" s="37" t="str">
        <f>IF(inputPrYr!D65&gt;0,inputPrYr!D65,"  ")</f>
        <v>  </v>
      </c>
      <c r="D17" s="169" t="str">
        <f>IF('G.O. B&amp;I-G.O. Sewer B&amp;I'!D33&lt;&gt;0,'G.O. B&amp;I-G.O. Sewer B&amp;I'!D33,"  ")</f>
        <v>  </v>
      </c>
      <c r="E17" s="37" t="str">
        <f>IF(inputOth!D22&gt;0,inputOth!D22,"  ")</f>
        <v>  </v>
      </c>
      <c r="F17" s="169" t="str">
        <f>IF('G.O. B&amp;I-G.O. Sewer B&amp;I'!E33&lt;&gt;0,'G.O. B&amp;I-G.O. Sewer B&amp;I'!E33,"  ")</f>
        <v>  </v>
      </c>
      <c r="G17" s="169" t="str">
        <f>IF('G.O. B&amp;I-G.O. Sewer B&amp;I'!E40&lt;&gt;0,'G.O. B&amp;I-G.O. Sewer B&amp;I'!E40," ")</f>
        <v> </v>
      </c>
      <c r="H17" s="37" t="str">
        <f>IF('G.O. B&amp;I-G.O. Sewer B&amp;I'!E40&gt;0,ROUND(G17/$F$29*1000,3)," ")</f>
        <v> </v>
      </c>
      <c r="J17" s="353"/>
      <c r="K17" s="354"/>
      <c r="L17" s="354"/>
      <c r="M17" s="355"/>
    </row>
    <row r="18" spans="1:13" ht="15.75">
      <c r="A18" s="46" t="str">
        <f>IF(inputPrYr!$B19&gt;"  ",(inputPrYr!$B19),"  ")</f>
        <v>G.O. Sewer B &amp; I</v>
      </c>
      <c r="B18" s="169">
        <f>IF('G.O. B&amp;I-G.O. Sewer B&amp;I'!C73&lt;&gt;0,'G.O. B&amp;I-G.O. Sewer B&amp;I'!C73,"  ")</f>
        <v>18123</v>
      </c>
      <c r="C18" s="37" t="str">
        <f>IF(inputPrYr!D66&gt;0,inputPrYr!D66,"  ")</f>
        <v>  </v>
      </c>
      <c r="D18" s="169">
        <f>IF('G.O. B&amp;I-G.O. Sewer B&amp;I'!D73&lt;&gt;0,'G.O. B&amp;I-G.O. Sewer B&amp;I'!D73,"  ")</f>
        <v>18089</v>
      </c>
      <c r="E18" s="37" t="str">
        <f>IF(inputOth!D23&gt;0,inputOth!D23,"  ")</f>
        <v>  </v>
      </c>
      <c r="F18" s="169">
        <f>IF('G.O. B&amp;I-G.O. Sewer B&amp;I'!E73&lt;&gt;0,'G.O. B&amp;I-G.O. Sewer B&amp;I'!E73,"  ")</f>
        <v>21422</v>
      </c>
      <c r="G18" s="169" t="str">
        <f>IF('G.O. B&amp;I-G.O. Sewer B&amp;I'!E80&lt;&gt;0,'G.O. B&amp;I-G.O. Sewer B&amp;I'!E80," ")</f>
        <v> </v>
      </c>
      <c r="H18" s="37" t="str">
        <f>IF('G.O. B&amp;I-G.O. Sewer B&amp;I'!E80&gt;0,ROUND(G18/$F$29*1000,3)," ")</f>
        <v> </v>
      </c>
      <c r="J18" s="356" t="s">
        <v>251</v>
      </c>
      <c r="K18" s="357"/>
      <c r="L18" s="357"/>
      <c r="M18" s="358">
        <f>ROUND(F29/1000,0)</f>
        <v>580</v>
      </c>
    </row>
    <row r="19" spans="1:8" ht="15.75">
      <c r="A19" s="46" t="str">
        <f>IF(inputPrYr!$B34&gt;"  ",(inputPrYr!$B34),"  ")</f>
        <v>Special Highway</v>
      </c>
      <c r="B19" s="169">
        <f>IF('Sp Hiway-Sp Hwy Impr'!$C$28&gt;0,'Sp Hiway-Sp Hwy Impr'!$C$28,"  ")</f>
        <v>7763</v>
      </c>
      <c r="C19" s="26"/>
      <c r="D19" s="169">
        <f>IF('Sp Hiway-Sp Hwy Impr'!$D$28&gt;0,'Sp Hiway-Sp Hwy Impr'!$D$28,"  ")</f>
        <v>5947</v>
      </c>
      <c r="E19" s="26"/>
      <c r="F19" s="169">
        <f>IF('Sp Hiway-Sp Hwy Impr'!$E$28&gt;0,'Sp Hiway-Sp Hwy Impr'!$E$28,"  ")</f>
        <v>12667</v>
      </c>
      <c r="G19" s="169"/>
      <c r="H19" s="26"/>
    </row>
    <row r="20" spans="1:13" ht="15.75">
      <c r="A20" s="46" t="str">
        <f>IF(inputPrYr!$B35&gt;"  ",(inputPrYr!$B35),"  ")</f>
        <v>Special Highway Impr</v>
      </c>
      <c r="B20" s="169" t="str">
        <f>IF('Sp Hiway-Sp Hwy Impr'!$C$59&gt;0,'Sp Hiway-Sp Hwy Impr'!$C$59,"  ")</f>
        <v>  </v>
      </c>
      <c r="C20" s="26"/>
      <c r="D20" s="169" t="str">
        <f>IF('Sp Hiway-Sp Hwy Impr'!$D$59&gt;0,'Sp Hiway-Sp Hwy Impr'!$D$59,"  ")</f>
        <v>  </v>
      </c>
      <c r="E20" s="26"/>
      <c r="F20" s="169">
        <f>IF('Sp Hiway-Sp Hwy Impr'!$E$59&gt;0,'Sp Hiway-Sp Hwy Impr'!$E$59,"  ")</f>
        <v>49000</v>
      </c>
      <c r="G20" s="169"/>
      <c r="H20" s="26"/>
      <c r="J20" s="601" t="str">
        <f>CONCATENATE("Want The Mill Rate The Same As For ",H1-1,"?")</f>
        <v>Want The Mill Rate The Same As For 2014?</v>
      </c>
      <c r="K20" s="604"/>
      <c r="L20" s="604"/>
      <c r="M20" s="605"/>
    </row>
    <row r="21" spans="1:13" ht="15.75">
      <c r="A21" s="46" t="str">
        <f>IF(inputPrYr!$B36&gt;"  ",(inputPrYr!$B36),"  ")</f>
        <v>Water Utility</v>
      </c>
      <c r="B21" s="169">
        <f>IF('Water &amp; Sewer'!$C$30&gt;0,'Water &amp; Sewer'!$C$30,"  ")</f>
        <v>100120</v>
      </c>
      <c r="C21" s="26"/>
      <c r="D21" s="169">
        <f>IF('Water &amp; Sewer'!$D$30&gt;0,'Water &amp; Sewer'!$D$30,"  ")</f>
        <v>101407</v>
      </c>
      <c r="E21" s="26"/>
      <c r="F21" s="169">
        <f>IF('Water &amp; Sewer'!$E$30&gt;0,'Water &amp; Sewer'!$E$30,"  ")</f>
        <v>151263</v>
      </c>
      <c r="G21" s="169"/>
      <c r="H21" s="26"/>
      <c r="J21" s="360"/>
      <c r="K21" s="354"/>
      <c r="L21" s="354"/>
      <c r="M21" s="361"/>
    </row>
    <row r="22" spans="1:13" ht="15.75">
      <c r="A22" s="46" t="str">
        <f>IF(inputPrYr!$B37&gt;"  ",(inputPrYr!$B37),"  ")</f>
        <v>Sewer Utility</v>
      </c>
      <c r="B22" s="169">
        <f>IF('Water &amp; Sewer'!$C$61&gt;0,'Water &amp; Sewer'!$C$61,"  ")</f>
        <v>34649</v>
      </c>
      <c r="C22" s="26"/>
      <c r="D22" s="169">
        <f>IF('Water &amp; Sewer'!$D$61&gt;0,'Water &amp; Sewer'!$D$61,"  ")</f>
        <v>28342</v>
      </c>
      <c r="E22" s="26"/>
      <c r="F22" s="169">
        <f>IF('Water &amp; Sewer'!$E$61&gt;0,'Water &amp; Sewer'!$E$61,"  ")</f>
        <v>33231</v>
      </c>
      <c r="G22" s="169"/>
      <c r="H22" s="26"/>
      <c r="J22" s="360" t="str">
        <f>CONCATENATE("",H1-1," Mill Rate Was:")</f>
        <v>2014 Mill Rate Was:</v>
      </c>
      <c r="K22" s="354"/>
      <c r="L22" s="354"/>
      <c r="M22" s="362">
        <f>E24</f>
        <v>62.438</v>
      </c>
    </row>
    <row r="23" spans="1:13" ht="15.75">
      <c r="A23" s="46" t="str">
        <f>IF(inputPrYr!$B51&gt;" ",(NonBudA!$A3),"  ")</f>
        <v>Non-Budgeted Funds-A</v>
      </c>
      <c r="B23" s="169">
        <f>IF(NonBudA!$K$28&gt;0,NonBudA!$K$28,"  ")</f>
        <v>33361</v>
      </c>
      <c r="C23" s="26"/>
      <c r="D23" s="169"/>
      <c r="E23" s="26"/>
      <c r="F23" s="169"/>
      <c r="G23" s="169"/>
      <c r="H23" s="26"/>
      <c r="J23" s="363" t="str">
        <f>CONCATENATE("",H1," Tax Levy Fund Expenditures Must Be")</f>
        <v>2015 Tax Levy Fund Expenditures Must Be</v>
      </c>
      <c r="K23" s="364"/>
      <c r="L23" s="364"/>
      <c r="M23" s="361"/>
    </row>
    <row r="24" spans="1:13" ht="15.75">
      <c r="A24" s="102" t="s">
        <v>256</v>
      </c>
      <c r="B24" s="309">
        <f>SUM(B16:B23)</f>
        <v>273856.73</v>
      </c>
      <c r="C24" s="313">
        <f>SUM(C16:C18)</f>
        <v>76.848</v>
      </c>
      <c r="D24" s="309">
        <f>SUM(D16:D23)</f>
        <v>235941</v>
      </c>
      <c r="E24" s="313">
        <f>SUM(E16:E18)</f>
        <v>62.438</v>
      </c>
      <c r="F24" s="309">
        <f>SUM(F16:F23)</f>
        <v>384911</v>
      </c>
      <c r="G24" s="309">
        <f>SUM(G16:G23)</f>
        <v>46569.73000000001</v>
      </c>
      <c r="H24" s="335">
        <f>SUM(H16:H18)</f>
        <v>80.298</v>
      </c>
      <c r="J24" s="363">
        <f>IF(M24&gt;0,"Increased By:","")</f>
      </c>
      <c r="K24" s="364"/>
      <c r="L24" s="364"/>
      <c r="M24" s="379">
        <f>IF(M31&lt;0,M31*-1,0)</f>
        <v>0</v>
      </c>
    </row>
    <row r="25" spans="1:13" ht="15.75">
      <c r="A25" s="7" t="s">
        <v>47</v>
      </c>
      <c r="B25" s="337">
        <f>transfers!C28</f>
        <v>56432.12</v>
      </c>
      <c r="C25" s="373"/>
      <c r="D25" s="337">
        <f>transfers!D28</f>
        <v>61432</v>
      </c>
      <c r="E25" s="373"/>
      <c r="F25" s="337">
        <f>transfers!E28</f>
        <v>61432</v>
      </c>
      <c r="G25" s="36"/>
      <c r="H25" s="30"/>
      <c r="I25" s="351"/>
      <c r="J25" s="380" t="str">
        <f>IF(M25&lt;0,"Reduced By:","")</f>
        <v>Reduced By:</v>
      </c>
      <c r="K25" s="381"/>
      <c r="L25" s="381"/>
      <c r="M25" s="382">
        <f>IF(M31&gt;0,M31*-1,0)</f>
        <v>-10357.73000000001</v>
      </c>
    </row>
    <row r="26" spans="1:13" ht="16.5" thickBot="1">
      <c r="A26" s="7" t="s">
        <v>48</v>
      </c>
      <c r="B26" s="310">
        <f>B24-B25</f>
        <v>217424.61</v>
      </c>
      <c r="C26" s="4"/>
      <c r="D26" s="310">
        <f>D24-D25</f>
        <v>174509</v>
      </c>
      <c r="E26" s="4"/>
      <c r="F26" s="310">
        <f>F24-F25</f>
        <v>323479</v>
      </c>
      <c r="G26" s="4"/>
      <c r="H26" s="4"/>
      <c r="J26" s="367"/>
      <c r="K26" s="367"/>
      <c r="L26" s="367"/>
      <c r="M26" s="367"/>
    </row>
    <row r="27" spans="1:13" ht="16.5" thickTop="1">
      <c r="A27" s="7" t="s">
        <v>49</v>
      </c>
      <c r="B27" s="337">
        <f>inputPrYr!E79</f>
        <v>44915</v>
      </c>
      <c r="C27" s="128"/>
      <c r="D27" s="337">
        <f>inputPrYr!E31</f>
        <v>45031</v>
      </c>
      <c r="E27" s="128"/>
      <c r="F27" s="272" t="s">
        <v>13</v>
      </c>
      <c r="G27" s="4"/>
      <c r="H27" s="4"/>
      <c r="J27" s="601" t="str">
        <f>CONCATENATE("Impact On Keeping The Same Mill Rate As For ",H1-1,"")</f>
        <v>Impact On Keeping The Same Mill Rate As For 2014</v>
      </c>
      <c r="K27" s="602"/>
      <c r="L27" s="602"/>
      <c r="M27" s="603"/>
    </row>
    <row r="28" spans="1:13" ht="15.75">
      <c r="A28" s="7" t="s">
        <v>50</v>
      </c>
      <c r="B28" s="338"/>
      <c r="C28" s="4"/>
      <c r="D28" s="338"/>
      <c r="E28" s="145"/>
      <c r="F28" s="111"/>
      <c r="G28" s="4"/>
      <c r="H28" s="4"/>
      <c r="J28" s="360"/>
      <c r="K28" s="354"/>
      <c r="L28" s="354"/>
      <c r="M28" s="361"/>
    </row>
    <row r="29" spans="1:13" ht="15.75">
      <c r="A29" s="7" t="s">
        <v>51</v>
      </c>
      <c r="B29" s="337">
        <f>inputPrYr!E80</f>
        <v>584467</v>
      </c>
      <c r="C29" s="38"/>
      <c r="D29" s="337">
        <f>inputOth!E36</f>
        <v>721220</v>
      </c>
      <c r="E29" s="38"/>
      <c r="F29" s="337">
        <f>inputOth!E7</f>
        <v>579960</v>
      </c>
      <c r="G29" s="4"/>
      <c r="H29" s="4"/>
      <c r="J29" s="360" t="str">
        <f>CONCATENATE("",H1," Ad Valorem Tax Revenue:")</f>
        <v>2015 Ad Valorem Tax Revenue:</v>
      </c>
      <c r="K29" s="354"/>
      <c r="L29" s="354"/>
      <c r="M29" s="355">
        <f>G24</f>
        <v>46569.73000000001</v>
      </c>
    </row>
    <row r="30" spans="1:13" ht="15.75">
      <c r="A30" s="7" t="s">
        <v>52</v>
      </c>
      <c r="B30" s="4"/>
      <c r="C30" s="4"/>
      <c r="D30" s="4"/>
      <c r="E30" s="4"/>
      <c r="F30" s="4"/>
      <c r="G30" s="4"/>
      <c r="H30" s="4"/>
      <c r="J30" s="360" t="str">
        <f>CONCATENATE("",H1-1," Ad Valorem Tax Revenue:")</f>
        <v>2014 Ad Valorem Tax Revenue:</v>
      </c>
      <c r="K30" s="354"/>
      <c r="L30" s="354"/>
      <c r="M30" s="368">
        <f>ROUND(F29*M22/1000,0)</f>
        <v>36212</v>
      </c>
    </row>
    <row r="31" spans="1:13" ht="15.75">
      <c r="A31" s="7" t="s">
        <v>53</v>
      </c>
      <c r="B31" s="273">
        <f>$H$1-3</f>
        <v>2012</v>
      </c>
      <c r="C31" s="4"/>
      <c r="D31" s="273">
        <f>$H$1-2</f>
        <v>2013</v>
      </c>
      <c r="E31" s="4"/>
      <c r="F31" s="273">
        <f>$H$1-1</f>
        <v>2014</v>
      </c>
      <c r="G31" s="4"/>
      <c r="H31" s="4"/>
      <c r="J31" s="365" t="s">
        <v>252</v>
      </c>
      <c r="K31" s="366"/>
      <c r="L31" s="366"/>
      <c r="M31" s="358">
        <f>SUM(M29-M30)</f>
        <v>10357.73000000001</v>
      </c>
    </row>
    <row r="32" spans="1:13" ht="15.75">
      <c r="A32" s="7" t="s">
        <v>54</v>
      </c>
      <c r="B32" s="159">
        <f>inputPrYr!D83</f>
        <v>289800</v>
      </c>
      <c r="C32" s="4"/>
      <c r="D32" s="159">
        <f>inputPrYr!E83</f>
        <v>273300</v>
      </c>
      <c r="E32" s="4"/>
      <c r="F32" s="159">
        <f>debt!G20</f>
        <v>268500</v>
      </c>
      <c r="G32" s="4"/>
      <c r="H32" s="4"/>
      <c r="J32" s="359"/>
      <c r="K32" s="359"/>
      <c r="L32" s="359"/>
      <c r="M32" s="367"/>
    </row>
    <row r="33" spans="1:13" ht="15.75">
      <c r="A33" s="7" t="s">
        <v>55</v>
      </c>
      <c r="B33" s="159">
        <f>inputPrYr!D84</f>
        <v>199000</v>
      </c>
      <c r="C33" s="4"/>
      <c r="D33" s="159">
        <f>inputPrYr!E84</f>
        <v>187000</v>
      </c>
      <c r="E33" s="4"/>
      <c r="F33" s="159">
        <f>debt!G32</f>
        <v>175000</v>
      </c>
      <c r="G33" s="4"/>
      <c r="H33" s="4"/>
      <c r="J33" s="601" t="s">
        <v>253</v>
      </c>
      <c r="K33" s="606"/>
      <c r="L33" s="606"/>
      <c r="M33" s="607"/>
    </row>
    <row r="34" spans="1:13" ht="15.75">
      <c r="A34" s="4" t="s">
        <v>73</v>
      </c>
      <c r="B34" s="159">
        <f>inputPrYr!D85</f>
        <v>0</v>
      </c>
      <c r="C34" s="4"/>
      <c r="D34" s="159">
        <f>inputPrYr!E85</f>
        <v>0</v>
      </c>
      <c r="E34" s="4"/>
      <c r="F34" s="159">
        <f>debt!G42</f>
        <v>0</v>
      </c>
      <c r="G34" s="4"/>
      <c r="H34" s="4"/>
      <c r="J34" s="360"/>
      <c r="K34" s="354"/>
      <c r="L34" s="354"/>
      <c r="M34" s="361"/>
    </row>
    <row r="35" spans="1:13" ht="15.75">
      <c r="A35" s="7" t="s">
        <v>137</v>
      </c>
      <c r="B35" s="159">
        <f>inputPrYr!D86</f>
        <v>81673</v>
      </c>
      <c r="C35" s="4"/>
      <c r="D35" s="159">
        <f>inputPrYr!E86</f>
        <v>78605</v>
      </c>
      <c r="E35" s="4"/>
      <c r="F35" s="159">
        <f>lpform!G28</f>
        <v>71418</v>
      </c>
      <c r="G35" s="4"/>
      <c r="H35" s="4"/>
      <c r="J35" s="360" t="str">
        <f>CONCATENATE("Current ",H1," Estimated Mill Rate:")</f>
        <v>Current 2015 Estimated Mill Rate:</v>
      </c>
      <c r="K35" s="354"/>
      <c r="L35" s="354"/>
      <c r="M35" s="362">
        <f>H24</f>
        <v>80.298</v>
      </c>
    </row>
    <row r="36" spans="1:13" ht="16.5" thickBot="1">
      <c r="A36" s="7" t="s">
        <v>56</v>
      </c>
      <c r="B36" s="369">
        <f>SUM(B32:B35)</f>
        <v>570473</v>
      </c>
      <c r="C36" s="4"/>
      <c r="D36" s="369">
        <f>SUM(D32:D35)</f>
        <v>538905</v>
      </c>
      <c r="E36" s="4"/>
      <c r="F36" s="369">
        <f>SUM(F32:F35)</f>
        <v>514918</v>
      </c>
      <c r="G36" s="4"/>
      <c r="H36" s="4"/>
      <c r="J36" s="360" t="str">
        <f>CONCATENATE("Desired ",H1," Mill Rate:")</f>
        <v>Desired 2015 Mill Rate:</v>
      </c>
      <c r="K36" s="354"/>
      <c r="L36" s="354"/>
      <c r="M36" s="352">
        <v>0</v>
      </c>
    </row>
    <row r="37" spans="1:13" ht="16.5" thickTop="1">
      <c r="A37" s="7" t="s">
        <v>57</v>
      </c>
      <c r="B37" s="4"/>
      <c r="C37" s="4"/>
      <c r="D37" s="4"/>
      <c r="E37" s="4"/>
      <c r="F37" s="4"/>
      <c r="G37" s="4"/>
      <c r="H37" s="4"/>
      <c r="J37" s="360" t="s">
        <v>254</v>
      </c>
      <c r="K37" s="354"/>
      <c r="L37" s="354"/>
      <c r="M37" s="368">
        <f>ROUND(F29*M36/1000,0)</f>
        <v>0</v>
      </c>
    </row>
    <row r="38" spans="1:13" ht="15.75">
      <c r="A38" s="4"/>
      <c r="B38" s="4"/>
      <c r="C38" s="4"/>
      <c r="D38" s="4"/>
      <c r="E38" s="4"/>
      <c r="F38" s="4"/>
      <c r="G38" s="4"/>
      <c r="H38" s="4"/>
      <c r="J38" s="365" t="str">
        <f>CONCATENATE("",H1," Tax Levy Fund Exp. Changed By:")</f>
        <v>2015 Tax Levy Fund Exp. Changed By:</v>
      </c>
      <c r="K38" s="366"/>
      <c r="L38" s="366"/>
      <c r="M38" s="358">
        <f>IF(M36=0,0,(M37-G24))</f>
        <v>0</v>
      </c>
    </row>
    <row r="39" spans="1:8" ht="15.75">
      <c r="A39" s="608" t="str">
        <f>inputBudSum!B3</f>
        <v>City of Buffalo</v>
      </c>
      <c r="B39" s="609"/>
      <c r="C39" s="4"/>
      <c r="D39" s="4"/>
      <c r="E39" s="4"/>
      <c r="F39" s="4"/>
      <c r="G39" s="4"/>
      <c r="H39" s="4"/>
    </row>
    <row r="40" spans="1:8" ht="15.75">
      <c r="A40" s="124" t="s">
        <v>180</v>
      </c>
      <c r="B40" s="470" t="str">
        <f>inputBudSum!B5</f>
        <v>City Clerk</v>
      </c>
      <c r="C40" s="317"/>
      <c r="D40" s="4"/>
      <c r="E40" s="4"/>
      <c r="F40" s="4"/>
      <c r="G40" s="4"/>
      <c r="H40" s="4"/>
    </row>
    <row r="41" spans="1:8" ht="15.75">
      <c r="A41" s="501" t="s">
        <v>379</v>
      </c>
      <c r="B41" s="498"/>
      <c r="C41" s="498"/>
      <c r="D41" s="498"/>
      <c r="E41" s="498"/>
      <c r="F41" s="498"/>
      <c r="G41" s="498"/>
      <c r="H41" s="498"/>
    </row>
    <row r="42" spans="1:8" ht="15.75">
      <c r="A42" s="4"/>
      <c r="B42" s="4"/>
      <c r="C42" s="97" t="s">
        <v>33</v>
      </c>
      <c r="D42" s="223">
        <v>12</v>
      </c>
      <c r="E42" s="4"/>
      <c r="F42" s="4"/>
      <c r="G42" s="4"/>
      <c r="H42" s="4"/>
    </row>
  </sheetData>
  <sheetProtection/>
  <mergeCells count="12">
    <mergeCell ref="J16:M16"/>
    <mergeCell ref="A41:H41"/>
    <mergeCell ref="J20:M20"/>
    <mergeCell ref="J33:M33"/>
    <mergeCell ref="J27:M27"/>
    <mergeCell ref="A39:B39"/>
    <mergeCell ref="A2:H2"/>
    <mergeCell ref="A5:H5"/>
    <mergeCell ref="A7:H7"/>
    <mergeCell ref="A8:H8"/>
    <mergeCell ref="A4:H4"/>
    <mergeCell ref="A6:H6"/>
  </mergeCells>
  <printOptions/>
  <pageMargins left="0.5" right="0.5" top="1" bottom="0.5" header="0.5" footer="0.5"/>
  <pageSetup blackAndWhite="1" fitToHeight="1" fitToWidth="1" horizontalDpi="600" verticalDpi="600" orientation="portrait" scale="71"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E85"/>
  <sheetViews>
    <sheetView zoomScalePageLayoutView="0" workbookViewId="0" topLeftCell="A28">
      <selection activeCell="E38" sqref="E38"/>
    </sheetView>
  </sheetViews>
  <sheetFormatPr defaultColWidth="8.796875" defaultRowHeight="15"/>
  <cols>
    <col min="1" max="1" width="15.69921875" style="61" customWidth="1"/>
    <col min="2" max="2" width="20.69921875" style="61" customWidth="1"/>
    <col min="3" max="3" width="9.69921875" style="61" customWidth="1"/>
    <col min="4" max="4" width="15.09765625" style="61" customWidth="1"/>
    <col min="5" max="5" width="15.69921875" style="61" customWidth="1"/>
    <col min="6" max="16384" width="8.8984375" style="61" customWidth="1"/>
  </cols>
  <sheetData>
    <row r="1" spans="1:5" ht="15.75">
      <c r="A1" s="62" t="str">
        <f>inputPrYr!$D$2</f>
        <v>City of Buffalo</v>
      </c>
      <c r="B1" s="63"/>
      <c r="C1" s="63"/>
      <c r="D1" s="63"/>
      <c r="E1" s="64">
        <f>inputPrYr!C5</f>
        <v>2015</v>
      </c>
    </row>
    <row r="2" spans="1:5" ht="15">
      <c r="A2" s="63"/>
      <c r="B2" s="63"/>
      <c r="C2" s="63"/>
      <c r="D2" s="63"/>
      <c r="E2" s="63"/>
    </row>
    <row r="3" spans="1:5" ht="15.75">
      <c r="A3" s="566" t="s">
        <v>189</v>
      </c>
      <c r="B3" s="567"/>
      <c r="C3" s="567"/>
      <c r="D3" s="567"/>
      <c r="E3" s="567"/>
    </row>
    <row r="4" spans="1:5" ht="15.75">
      <c r="A4" s="13"/>
      <c r="B4" s="13"/>
      <c r="C4" s="13"/>
      <c r="D4" s="13"/>
      <c r="E4" s="13"/>
    </row>
    <row r="5" spans="1:5" ht="15.75">
      <c r="A5" s="13"/>
      <c r="B5" s="13"/>
      <c r="C5" s="13"/>
      <c r="D5" s="13"/>
      <c r="E5" s="13"/>
    </row>
    <row r="6" spans="1:5" ht="15.75">
      <c r="A6" s="16" t="str">
        <f>CONCATENATE("From the County Clerks ",E1," Budget Information:")</f>
        <v>From the County Clerks 2015 Budget Information:</v>
      </c>
      <c r="B6" s="17"/>
      <c r="C6" s="17"/>
      <c r="D6" s="4"/>
      <c r="E6" s="29"/>
    </row>
    <row r="7" spans="1:5" ht="15.75">
      <c r="A7" s="65" t="str">
        <f>CONCATENATE("Total Assessed Valuation for ",E1-1,"")</f>
        <v>Total Assessed Valuation for 2014</v>
      </c>
      <c r="B7" s="54"/>
      <c r="C7" s="54"/>
      <c r="D7" s="54"/>
      <c r="E7" s="28">
        <v>579960</v>
      </c>
    </row>
    <row r="8" spans="1:5" ht="15.75">
      <c r="A8" s="65" t="str">
        <f>CONCATENATE("New Improvements for ",E1-1,"")</f>
        <v>New Improvements for 2014</v>
      </c>
      <c r="B8" s="54"/>
      <c r="C8" s="54"/>
      <c r="D8" s="54"/>
      <c r="E8" s="66">
        <v>9510</v>
      </c>
    </row>
    <row r="9" spans="1:5" ht="15.75">
      <c r="A9" s="65" t="str">
        <f>CONCATENATE("Personal Property  excluding oil, gas, and mobile homes - ",E1-1,"")</f>
        <v>Personal Property  excluding oil, gas, and mobile homes - 2014</v>
      </c>
      <c r="B9" s="54"/>
      <c r="C9" s="54"/>
      <c r="D9" s="54"/>
      <c r="E9" s="66">
        <v>5264</v>
      </c>
    </row>
    <row r="10" spans="1:5" ht="15.75">
      <c r="A10" s="67" t="s">
        <v>142</v>
      </c>
      <c r="B10" s="54"/>
      <c r="C10" s="54"/>
      <c r="D10" s="54"/>
      <c r="E10" s="46"/>
    </row>
    <row r="11" spans="1:5" ht="15.75">
      <c r="A11" s="65" t="s">
        <v>125</v>
      </c>
      <c r="B11" s="54"/>
      <c r="C11" s="54"/>
      <c r="D11" s="54"/>
      <c r="E11" s="66">
        <v>0</v>
      </c>
    </row>
    <row r="12" spans="1:5" ht="15.75">
      <c r="A12" s="65" t="s">
        <v>126</v>
      </c>
      <c r="B12" s="54"/>
      <c r="C12" s="54"/>
      <c r="D12" s="54"/>
      <c r="E12" s="66">
        <v>0</v>
      </c>
    </row>
    <row r="13" spans="1:5" ht="15.75">
      <c r="A13" s="65" t="s">
        <v>127</v>
      </c>
      <c r="B13" s="54"/>
      <c r="C13" s="54"/>
      <c r="D13" s="54"/>
      <c r="E13" s="66">
        <v>0</v>
      </c>
    </row>
    <row r="14" spans="1:5" ht="15.75">
      <c r="A14" s="65" t="str">
        <f>CONCATENATE("Property that has changed in use for ",E1-1,"")</f>
        <v>Property that has changed in use for 2014</v>
      </c>
      <c r="B14" s="54"/>
      <c r="C14" s="54"/>
      <c r="D14" s="54"/>
      <c r="E14" s="66">
        <v>1410</v>
      </c>
    </row>
    <row r="15" spans="1:5" ht="15.75">
      <c r="A15" s="65" t="str">
        <f>CONCATENATE("Personal Property excluding oil, gas, and mobile homes - ",E1-2,"")</f>
        <v>Personal Property excluding oil, gas, and mobile homes - 2013</v>
      </c>
      <c r="B15" s="54"/>
      <c r="C15" s="54"/>
      <c r="D15" s="54"/>
      <c r="E15" s="66">
        <v>7654</v>
      </c>
    </row>
    <row r="16" spans="1:5" ht="15.75">
      <c r="A16" s="65" t="str">
        <f>CONCATENATE("Gross earnings (intangible) tax estimate for ",E1,"")</f>
        <v>Gross earnings (intangible) tax estimate for 2015</v>
      </c>
      <c r="B16" s="54"/>
      <c r="C16" s="54"/>
      <c r="D16" s="55"/>
      <c r="E16" s="28">
        <v>0</v>
      </c>
    </row>
    <row r="17" spans="1:5" ht="15.75">
      <c r="A17" s="65" t="s">
        <v>143</v>
      </c>
      <c r="B17" s="54"/>
      <c r="C17" s="54"/>
      <c r="D17" s="54"/>
      <c r="E17" s="27">
        <v>0</v>
      </c>
    </row>
    <row r="18" spans="1:5" ht="15.75">
      <c r="A18" s="39"/>
      <c r="B18" s="38"/>
      <c r="C18" s="38"/>
      <c r="D18" s="38"/>
      <c r="E18" s="41"/>
    </row>
    <row r="19" spans="1:5" ht="15.75">
      <c r="A19" s="39" t="str">
        <f>CONCATENATE("Actual Tax Rates for the ",E1-1," Budget:")</f>
        <v>Actual Tax Rates for the 2014 Budget:</v>
      </c>
      <c r="B19" s="38"/>
      <c r="C19" s="38"/>
      <c r="D19" s="38"/>
      <c r="E19" s="36"/>
    </row>
    <row r="20" spans="1:5" ht="15.75">
      <c r="A20" s="560" t="s">
        <v>10</v>
      </c>
      <c r="B20" s="561"/>
      <c r="C20" s="68"/>
      <c r="D20" s="69" t="s">
        <v>61</v>
      </c>
      <c r="E20" s="36"/>
    </row>
    <row r="21" spans="1:5" ht="15.75">
      <c r="A21" s="32" t="str">
        <f>inputPrYr!B17</f>
        <v>General</v>
      </c>
      <c r="B21" s="33"/>
      <c r="C21" s="38"/>
      <c r="D21" s="70">
        <v>62.438</v>
      </c>
      <c r="E21" s="41"/>
    </row>
    <row r="22" spans="1:5" ht="15.75">
      <c r="A22" s="65" t="str">
        <f>inputPrYr!B18</f>
        <v>G.O. Bond &amp; Interest</v>
      </c>
      <c r="B22" s="54"/>
      <c r="C22" s="38"/>
      <c r="D22" s="71">
        <v>0</v>
      </c>
      <c r="E22" s="41"/>
    </row>
    <row r="23" spans="1:5" ht="15.75">
      <c r="A23" s="65" t="str">
        <f>inputPrYr!B19</f>
        <v>G.O. Sewer B &amp; I</v>
      </c>
      <c r="B23" s="54"/>
      <c r="C23" s="38"/>
      <c r="D23" s="71">
        <v>0</v>
      </c>
      <c r="E23" s="41"/>
    </row>
    <row r="24" spans="1:5" ht="15.75">
      <c r="A24" s="65"/>
      <c r="B24" s="54"/>
      <c r="C24" s="38"/>
      <c r="D24" s="71"/>
      <c r="E24" s="41"/>
    </row>
    <row r="25" spans="1:5" ht="15.75">
      <c r="A25" s="65"/>
      <c r="B25" s="54"/>
      <c r="C25" s="38"/>
      <c r="D25" s="71"/>
      <c r="E25" s="41"/>
    </row>
    <row r="26" spans="1:5" ht="15.75">
      <c r="A26" s="65"/>
      <c r="B26" s="72"/>
      <c r="C26" s="38"/>
      <c r="D26" s="73"/>
      <c r="E26" s="41"/>
    </row>
    <row r="27" spans="1:5" ht="15.75">
      <c r="A27" s="65"/>
      <c r="B27" s="72"/>
      <c r="C27" s="38"/>
      <c r="D27" s="73"/>
      <c r="E27" s="41"/>
    </row>
    <row r="28" spans="1:5" ht="15.75">
      <c r="A28" s="65"/>
      <c r="B28" s="72"/>
      <c r="C28" s="38"/>
      <c r="D28" s="73"/>
      <c r="E28" s="41"/>
    </row>
    <row r="29" spans="1:5" ht="15.75">
      <c r="A29" s="65"/>
      <c r="B29" s="72"/>
      <c r="C29" s="38"/>
      <c r="D29" s="73"/>
      <c r="E29" s="41"/>
    </row>
    <row r="30" spans="1:5" ht="15.75">
      <c r="A30" s="65"/>
      <c r="B30" s="72"/>
      <c r="C30" s="38"/>
      <c r="D30" s="73"/>
      <c r="E30" s="41"/>
    </row>
    <row r="31" spans="1:5" ht="15.75">
      <c r="A31" s="65"/>
      <c r="B31" s="72"/>
      <c r="C31" s="38"/>
      <c r="D31" s="73"/>
      <c r="E31" s="41"/>
    </row>
    <row r="32" spans="1:5" ht="15.75">
      <c r="A32" s="65"/>
      <c r="B32" s="54"/>
      <c r="C32" s="38"/>
      <c r="D32" s="73"/>
      <c r="E32" s="41"/>
    </row>
    <row r="33" spans="1:5" ht="15.75">
      <c r="A33" s="65"/>
      <c r="B33" s="33"/>
      <c r="C33" s="38"/>
      <c r="D33" s="73"/>
      <c r="E33" s="41"/>
    </row>
    <row r="34" spans="1:5" ht="15.75">
      <c r="A34" s="68"/>
      <c r="B34" s="33" t="s">
        <v>215</v>
      </c>
      <c r="C34" s="74"/>
      <c r="D34" s="49">
        <f>SUM(D21:D33)</f>
        <v>62.438</v>
      </c>
      <c r="E34" s="68"/>
    </row>
    <row r="35" spans="1:5" ht="15">
      <c r="A35" s="68"/>
      <c r="B35" s="68"/>
      <c r="C35" s="68"/>
      <c r="D35" s="68"/>
      <c r="E35" s="68"/>
    </row>
    <row r="36" spans="1:5" ht="15.75">
      <c r="A36" s="33" t="str">
        <f>CONCATENATE("Final Assessed Valuation from the November 1, ",E1-2," Abstract")</f>
        <v>Final Assessed Valuation from the November 1, 2013 Abstract</v>
      </c>
      <c r="B36" s="75"/>
      <c r="C36" s="75"/>
      <c r="D36" s="75"/>
      <c r="E36" s="27">
        <v>721220</v>
      </c>
    </row>
    <row r="37" spans="1:5" ht="15">
      <c r="A37" s="68"/>
      <c r="B37" s="68"/>
      <c r="C37" s="68"/>
      <c r="D37" s="68"/>
      <c r="E37" s="68"/>
    </row>
    <row r="38" spans="1:5" ht="15.75">
      <c r="A38" s="44" t="str">
        <f>CONCATENATE("From the County Treasurer's Budget Information - ",E1," Budget Year Estimates:")</f>
        <v>From the County Treasurer's Budget Information - 2015 Budget Year Estimates:</v>
      </c>
      <c r="B38" s="15"/>
      <c r="C38" s="15"/>
      <c r="D38" s="76"/>
      <c r="E38" s="29"/>
    </row>
    <row r="39" spans="1:5" ht="15.75">
      <c r="A39" s="32" t="s">
        <v>216</v>
      </c>
      <c r="B39" s="33"/>
      <c r="C39" s="33"/>
      <c r="D39" s="77"/>
      <c r="E39" s="28">
        <v>9858</v>
      </c>
    </row>
    <row r="40" spans="1:5" ht="15.75">
      <c r="A40" s="65" t="s">
        <v>217</v>
      </c>
      <c r="B40" s="54"/>
      <c r="C40" s="54"/>
      <c r="D40" s="78"/>
      <c r="E40" s="28">
        <v>232</v>
      </c>
    </row>
    <row r="41" spans="1:5" ht="15.75">
      <c r="A41" s="65" t="s">
        <v>144</v>
      </c>
      <c r="B41" s="54"/>
      <c r="C41" s="54"/>
      <c r="D41" s="78"/>
      <c r="E41" s="28">
        <v>0</v>
      </c>
    </row>
    <row r="42" spans="1:5" ht="15.75">
      <c r="A42" s="65" t="s">
        <v>145</v>
      </c>
      <c r="B42" s="54"/>
      <c r="C42" s="54"/>
      <c r="D42" s="78"/>
      <c r="E42" s="28">
        <v>0</v>
      </c>
    </row>
    <row r="43" spans="1:5" ht="15.75">
      <c r="A43" s="65" t="s">
        <v>146</v>
      </c>
      <c r="B43" s="54"/>
      <c r="C43" s="54"/>
      <c r="D43" s="78"/>
      <c r="E43" s="28">
        <v>0</v>
      </c>
    </row>
    <row r="44" spans="1:5" ht="15.75">
      <c r="A44" s="4" t="s">
        <v>147</v>
      </c>
      <c r="B44" s="4"/>
      <c r="C44" s="4"/>
      <c r="D44" s="4"/>
      <c r="E44" s="4"/>
    </row>
    <row r="45" spans="1:5" ht="15.75">
      <c r="A45" s="6" t="s">
        <v>18</v>
      </c>
      <c r="B45" s="11"/>
      <c r="C45" s="11"/>
      <c r="D45" s="4"/>
      <c r="E45" s="4"/>
    </row>
    <row r="46" spans="1:5" ht="15.75">
      <c r="A46" s="39" t="str">
        <f>CONCATENATE("Actual Delinquency for ",E1-3," Tax - (rate .01213 = 1.213%, key in 1.2)")</f>
        <v>Actual Delinquency for 2012 Tax - (rate .01213 = 1.213%, key in 1.2)</v>
      </c>
      <c r="B46" s="38"/>
      <c r="C46" s="4"/>
      <c r="D46" s="4"/>
      <c r="E46" s="421">
        <v>0.0973929</v>
      </c>
    </row>
    <row r="47" spans="1:5" ht="15.75">
      <c r="A47" s="306" t="s">
        <v>269</v>
      </c>
      <c r="B47" s="39"/>
      <c r="C47" s="38"/>
      <c r="D47" s="38"/>
      <c r="E47" s="422">
        <v>0</v>
      </c>
    </row>
    <row r="48" spans="1:5" ht="15.75">
      <c r="A48" s="79" t="s">
        <v>183</v>
      </c>
      <c r="B48" s="79"/>
      <c r="C48" s="80"/>
      <c r="D48" s="80"/>
      <c r="E48" s="81"/>
    </row>
    <row r="49" spans="1:5" ht="15.75">
      <c r="A49" s="4"/>
      <c r="B49" s="4"/>
      <c r="C49" s="4"/>
      <c r="D49" s="4"/>
      <c r="E49" s="4"/>
    </row>
    <row r="50" spans="1:5" ht="15.75">
      <c r="A50" s="82" t="s">
        <v>197</v>
      </c>
      <c r="B50" s="83"/>
      <c r="C50" s="84"/>
      <c r="D50" s="84"/>
      <c r="E50" s="84"/>
    </row>
    <row r="51" spans="1:5" ht="15.75">
      <c r="A51" s="85" t="str">
        <f>CONCATENATE("",E1," State Distribution for Kansas Gas Tax")</f>
        <v>2015 State Distribution for Kansas Gas Tax</v>
      </c>
      <c r="B51" s="86"/>
      <c r="C51" s="86"/>
      <c r="D51" s="87"/>
      <c r="E51" s="27">
        <v>5810</v>
      </c>
    </row>
    <row r="52" spans="1:5" ht="15.75">
      <c r="A52" s="88" t="str">
        <f>CONCATENATE("",E1," County Transfers for Gas***")</f>
        <v>2015 County Transfers for Gas***</v>
      </c>
      <c r="B52" s="89"/>
      <c r="C52" s="89"/>
      <c r="D52" s="90"/>
      <c r="E52" s="27"/>
    </row>
    <row r="53" spans="1:5" ht="15.75">
      <c r="A53" s="88" t="str">
        <f>CONCATENATE("Adjusted ",E1-1," State Distribution for Kansas Gas Tax")</f>
        <v>Adjusted 2014 State Distribution for Kansas Gas Tax</v>
      </c>
      <c r="B53" s="89"/>
      <c r="C53" s="89"/>
      <c r="D53" s="90"/>
      <c r="E53" s="27">
        <v>5760</v>
      </c>
    </row>
    <row r="54" spans="1:5" ht="15.75">
      <c r="A54" s="88" t="str">
        <f>CONCATENATE("Adjusted ",E1-1," County Transfers for Gas***")</f>
        <v>Adjusted 2014 County Transfers for Gas***</v>
      </c>
      <c r="B54" s="89"/>
      <c r="C54" s="89"/>
      <c r="D54" s="90"/>
      <c r="E54" s="27"/>
    </row>
    <row r="55" spans="1:5" ht="15">
      <c r="A55" s="562" t="s">
        <v>186</v>
      </c>
      <c r="B55" s="563"/>
      <c r="C55" s="563"/>
      <c r="D55" s="563"/>
      <c r="E55" s="563"/>
    </row>
    <row r="56" spans="1:5" ht="15">
      <c r="A56" s="91" t="s">
        <v>187</v>
      </c>
      <c r="B56" s="91"/>
      <c r="C56" s="91"/>
      <c r="D56" s="91"/>
      <c r="E56" s="91"/>
    </row>
    <row r="57" spans="1:5" ht="15">
      <c r="A57" s="63"/>
      <c r="B57" s="63"/>
      <c r="C57" s="63"/>
      <c r="D57" s="63"/>
      <c r="E57" s="63"/>
    </row>
    <row r="58" spans="1:5" ht="15.75">
      <c r="A58" s="564" t="str">
        <f>CONCATENATE("From the ",E1-2," Budget Certificate Page")</f>
        <v>From the 2013 Budget Certificate Page</v>
      </c>
      <c r="B58" s="565"/>
      <c r="C58" s="63"/>
      <c r="D58" s="63"/>
      <c r="E58" s="63"/>
    </row>
    <row r="59" spans="1:5" ht="15.75">
      <c r="A59" s="92"/>
      <c r="B59" s="92" t="str">
        <f>CONCATENATE("",E1-2," Expenditure Amounts")</f>
        <v>2013 Expenditure Amounts</v>
      </c>
      <c r="C59" s="571" t="str">
        <f>CONCATENATE("Note: If the ",E1-2," budget was amended, then the")</f>
        <v>Note: If the 2013 budget was amended, then the</v>
      </c>
      <c r="D59" s="559"/>
      <c r="E59" s="559"/>
    </row>
    <row r="60" spans="1:5" ht="15.75">
      <c r="A60" s="93" t="s">
        <v>200</v>
      </c>
      <c r="B60" s="93" t="s">
        <v>201</v>
      </c>
      <c r="C60" s="94" t="s">
        <v>202</v>
      </c>
      <c r="D60" s="95"/>
      <c r="E60" s="95"/>
    </row>
    <row r="61" spans="1:5" ht="15.75">
      <c r="A61" s="96" t="str">
        <f>inputPrYr!B17</f>
        <v>General</v>
      </c>
      <c r="B61" s="27">
        <v>104032</v>
      </c>
      <c r="C61" s="94" t="s">
        <v>203</v>
      </c>
      <c r="D61" s="95"/>
      <c r="E61" s="95"/>
    </row>
    <row r="62" spans="1:5" ht="15.75">
      <c r="A62" s="96" t="str">
        <f>inputPrYr!B18</f>
        <v>G.O. Bond &amp; Interest</v>
      </c>
      <c r="B62" s="27">
        <v>4343</v>
      </c>
      <c r="C62" s="94"/>
      <c r="D62" s="95"/>
      <c r="E62" s="95"/>
    </row>
    <row r="63" spans="1:5" ht="15.75">
      <c r="A63" s="96" t="str">
        <f>inputPrYr!B19</f>
        <v>G.O. Sewer B &amp; I</v>
      </c>
      <c r="B63" s="27">
        <v>21516</v>
      </c>
      <c r="C63" s="63"/>
      <c r="D63" s="63"/>
      <c r="E63" s="63"/>
    </row>
    <row r="64" spans="1:5" ht="15.75">
      <c r="A64" s="96"/>
      <c r="B64" s="27"/>
      <c r="C64" s="63"/>
      <c r="D64" s="63"/>
      <c r="E64" s="63"/>
    </row>
    <row r="65" spans="1:5" ht="15.75">
      <c r="A65" s="96"/>
      <c r="B65" s="27"/>
      <c r="C65" s="63"/>
      <c r="D65" s="63"/>
      <c r="E65" s="63"/>
    </row>
    <row r="66" spans="1:5" ht="15.75">
      <c r="A66" s="96"/>
      <c r="B66" s="27"/>
      <c r="C66" s="63"/>
      <c r="D66" s="63"/>
      <c r="E66" s="63"/>
    </row>
    <row r="67" spans="1:5" ht="15.75">
      <c r="A67" s="96"/>
      <c r="B67" s="27"/>
      <c r="C67" s="63"/>
      <c r="D67" s="63"/>
      <c r="E67" s="63"/>
    </row>
    <row r="68" spans="1:5" ht="15.75">
      <c r="A68" s="96"/>
      <c r="B68" s="27"/>
      <c r="C68" s="63"/>
      <c r="D68" s="63"/>
      <c r="E68" s="63"/>
    </row>
    <row r="69" spans="1:5" ht="15.75">
      <c r="A69" s="96"/>
      <c r="B69" s="27"/>
      <c r="C69" s="63"/>
      <c r="D69" s="63"/>
      <c r="E69" s="63"/>
    </row>
    <row r="70" spans="1:5" ht="15.75">
      <c r="A70" s="96"/>
      <c r="B70" s="27"/>
      <c r="C70" s="63"/>
      <c r="D70" s="63"/>
      <c r="E70" s="63"/>
    </row>
    <row r="71" spans="1:5" ht="15.75">
      <c r="A71" s="96"/>
      <c r="B71" s="27"/>
      <c r="C71" s="63"/>
      <c r="D71" s="63"/>
      <c r="E71" s="63"/>
    </row>
    <row r="72" spans="1:5" ht="15.75">
      <c r="A72" s="96"/>
      <c r="B72" s="27"/>
      <c r="C72" s="63"/>
      <c r="D72" s="63"/>
      <c r="E72" s="63"/>
    </row>
    <row r="73" spans="1:5" ht="15.75">
      <c r="A73" s="96"/>
      <c r="B73" s="27"/>
      <c r="C73" s="63"/>
      <c r="D73" s="63"/>
      <c r="E73" s="63"/>
    </row>
    <row r="74" spans="1:5" ht="15.75">
      <c r="A74" s="96" t="str">
        <f>inputPrYr!B34</f>
        <v>Special Highway</v>
      </c>
      <c r="B74" s="27">
        <v>14241</v>
      </c>
      <c r="C74" s="63"/>
      <c r="D74" s="63"/>
      <c r="E74" s="63"/>
    </row>
    <row r="75" spans="1:5" ht="15.75">
      <c r="A75" s="96" t="str">
        <f>inputPrYr!B35</f>
        <v>Special Highway Impr</v>
      </c>
      <c r="B75" s="27">
        <v>51253</v>
      </c>
      <c r="C75" s="63"/>
      <c r="D75" s="63"/>
      <c r="E75" s="63"/>
    </row>
    <row r="76" spans="1:5" ht="15.75">
      <c r="A76" s="96" t="str">
        <f>inputPrYr!B36</f>
        <v>Water Utility</v>
      </c>
      <c r="B76" s="27">
        <v>128138</v>
      </c>
      <c r="C76" s="63"/>
      <c r="D76" s="63"/>
      <c r="E76" s="63"/>
    </row>
    <row r="77" spans="1:5" ht="15.75">
      <c r="A77" s="96" t="str">
        <f>inputPrYr!B37</f>
        <v>Sewer Utility</v>
      </c>
      <c r="B77" s="27">
        <v>39606</v>
      </c>
      <c r="C77" s="63"/>
      <c r="D77" s="63"/>
      <c r="E77" s="63"/>
    </row>
    <row r="78" spans="1:5" ht="15.75">
      <c r="A78" s="96"/>
      <c r="B78" s="27"/>
      <c r="C78" s="63"/>
      <c r="D78" s="63"/>
      <c r="E78" s="63"/>
    </row>
    <row r="79" spans="1:5" ht="15.75">
      <c r="A79" s="96"/>
      <c r="B79" s="27"/>
      <c r="C79" s="63"/>
      <c r="D79" s="63"/>
      <c r="E79" s="63"/>
    </row>
    <row r="80" spans="1:5" ht="15.75">
      <c r="A80" s="96"/>
      <c r="B80" s="27"/>
      <c r="C80" s="63"/>
      <c r="D80" s="63"/>
      <c r="E80" s="63"/>
    </row>
    <row r="81" spans="1:5" ht="15.75">
      <c r="A81" s="96"/>
      <c r="B81" s="27"/>
      <c r="C81" s="63"/>
      <c r="D81" s="63"/>
      <c r="E81" s="63"/>
    </row>
    <row r="82" spans="1:5" ht="15.75">
      <c r="A82" s="96"/>
      <c r="B82" s="27"/>
      <c r="C82" s="63"/>
      <c r="D82" s="63"/>
      <c r="E82" s="63"/>
    </row>
    <row r="83" spans="1:5" ht="15.75">
      <c r="A83" s="96"/>
      <c r="B83" s="27"/>
      <c r="C83" s="63"/>
      <c r="D83" s="63"/>
      <c r="E83" s="63"/>
    </row>
    <row r="84" spans="1:5" ht="15.75">
      <c r="A84" s="96"/>
      <c r="B84" s="27"/>
      <c r="C84" s="63"/>
      <c r="D84" s="63"/>
      <c r="E84" s="63"/>
    </row>
    <row r="85" spans="1:5" ht="15.75">
      <c r="A85" s="96"/>
      <c r="B85" s="27"/>
      <c r="C85" s="63"/>
      <c r="D85" s="63"/>
      <c r="E85" s="63"/>
    </row>
  </sheetData>
  <sheetProtection/>
  <mergeCells count="5">
    <mergeCell ref="C59:E59"/>
    <mergeCell ref="A20:B20"/>
    <mergeCell ref="A55:E55"/>
    <mergeCell ref="A3:E3"/>
    <mergeCell ref="A58:B58"/>
  </mergeCells>
  <printOptions/>
  <pageMargins left="0.75" right="0.75" top="1" bottom="1" header="0.5" footer="0.5"/>
  <pageSetup blackAndWhite="1" fitToHeight="1" fitToWidth="1" horizontalDpi="600" verticalDpi="600" orientation="portrait" scale="52" r:id="rId1"/>
</worksheet>
</file>

<file path=xl/worksheets/sheet3.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10" sqref="B10"/>
    </sheetView>
  </sheetViews>
  <sheetFormatPr defaultColWidth="8.796875" defaultRowHeight="15"/>
  <cols>
    <col min="1" max="1" width="13.69921875" style="474" customWidth="1"/>
    <col min="2" max="2" width="16.09765625" style="474" customWidth="1"/>
    <col min="3" max="16384" width="8.8984375" style="474" customWidth="1"/>
  </cols>
  <sheetData>
    <row r="1" ht="15">
      <c r="J1" s="473" t="s">
        <v>274</v>
      </c>
    </row>
    <row r="2" spans="1:10" ht="54" customHeight="1">
      <c r="A2" s="558" t="s">
        <v>223</v>
      </c>
      <c r="B2" s="537"/>
      <c r="C2" s="537"/>
      <c r="D2" s="537"/>
      <c r="E2" s="537"/>
      <c r="F2" s="537"/>
      <c r="J2" s="473" t="s">
        <v>275</v>
      </c>
    </row>
    <row r="3" spans="1:10" ht="15.75">
      <c r="A3" s="472" t="s">
        <v>276</v>
      </c>
      <c r="B3" s="535" t="s">
        <v>310</v>
      </c>
      <c r="C3" s="512"/>
      <c r="J3" s="473" t="s">
        <v>277</v>
      </c>
    </row>
    <row r="4" spans="1:10" ht="15.75">
      <c r="A4" s="472"/>
      <c r="B4" s="489"/>
      <c r="J4" s="473" t="s">
        <v>278</v>
      </c>
    </row>
    <row r="5" spans="1:10" ht="15.75">
      <c r="A5" s="472" t="s">
        <v>246</v>
      </c>
      <c r="B5" s="535" t="s">
        <v>320</v>
      </c>
      <c r="J5" s="473" t="s">
        <v>279</v>
      </c>
    </row>
    <row r="6" spans="1:10" ht="15.75">
      <c r="A6" s="478"/>
      <c r="B6" s="478"/>
      <c r="C6" s="478"/>
      <c r="D6" s="483" t="s">
        <v>280</v>
      </c>
      <c r="E6" s="478"/>
      <c r="F6" s="478"/>
      <c r="J6" s="473" t="s">
        <v>281</v>
      </c>
    </row>
    <row r="7" spans="1:10" ht="15.75">
      <c r="A7" s="483" t="s">
        <v>224</v>
      </c>
      <c r="B7" s="513" t="s">
        <v>380</v>
      </c>
      <c r="C7" s="479"/>
      <c r="D7" s="471" t="str">
        <f>IF(B7="","",CONCATENATE("Latest date for notice to be published in your newspaper: ",G18," ",G22,", ",G23))</f>
        <v>Latest date for notice to be published in your newspaper: August 2, 2014</v>
      </c>
      <c r="E7" s="478"/>
      <c r="F7" s="478"/>
      <c r="J7" s="473" t="s">
        <v>282</v>
      </c>
    </row>
    <row r="8" spans="1:10" ht="15.75">
      <c r="A8" s="483"/>
      <c r="B8" s="480"/>
      <c r="C8" s="481"/>
      <c r="D8" s="483"/>
      <c r="E8" s="478"/>
      <c r="F8" s="478"/>
      <c r="J8" s="473" t="s">
        <v>283</v>
      </c>
    </row>
    <row r="9" spans="1:10" ht="15.75">
      <c r="A9" s="483" t="s">
        <v>225</v>
      </c>
      <c r="B9" s="513" t="s">
        <v>381</v>
      </c>
      <c r="C9" s="482"/>
      <c r="D9" s="483"/>
      <c r="E9" s="478"/>
      <c r="F9" s="478"/>
      <c r="J9" s="473" t="s">
        <v>284</v>
      </c>
    </row>
    <row r="10" spans="1:10" ht="15.75">
      <c r="A10" s="483"/>
      <c r="B10" s="483"/>
      <c r="C10" s="483"/>
      <c r="D10" s="483"/>
      <c r="E10" s="478"/>
      <c r="F10" s="478"/>
      <c r="J10" s="473" t="s">
        <v>285</v>
      </c>
    </row>
    <row r="11" spans="1:10" ht="15.75">
      <c r="A11" s="483" t="s">
        <v>226</v>
      </c>
      <c r="B11" s="536" t="s">
        <v>321</v>
      </c>
      <c r="C11" s="514"/>
      <c r="D11" s="514"/>
      <c r="E11" s="515"/>
      <c r="F11" s="478"/>
      <c r="J11" s="473" t="s">
        <v>286</v>
      </c>
    </row>
    <row r="12" spans="1:10" ht="15.75">
      <c r="A12" s="483"/>
      <c r="B12" s="483"/>
      <c r="C12" s="483"/>
      <c r="D12" s="483"/>
      <c r="E12" s="478"/>
      <c r="F12" s="478"/>
      <c r="J12" s="473" t="s">
        <v>287</v>
      </c>
    </row>
    <row r="13" spans="1:6" ht="15.75">
      <c r="A13" s="483"/>
      <c r="B13" s="483"/>
      <c r="C13" s="483"/>
      <c r="D13" s="483"/>
      <c r="E13" s="478"/>
      <c r="F13" s="478"/>
    </row>
    <row r="14" spans="1:6" ht="15.75">
      <c r="A14" s="483" t="s">
        <v>227</v>
      </c>
      <c r="B14" s="536" t="s">
        <v>321</v>
      </c>
      <c r="C14" s="514"/>
      <c r="D14" s="514"/>
      <c r="E14" s="515"/>
      <c r="F14" s="478"/>
    </row>
    <row r="17" spans="1:6" ht="15.75">
      <c r="A17" s="538" t="s">
        <v>228</v>
      </c>
      <c r="B17" s="538"/>
      <c r="C17" s="483"/>
      <c r="D17" s="483"/>
      <c r="E17" s="483"/>
      <c r="F17" s="478"/>
    </row>
    <row r="18" spans="1:7" ht="15.75">
      <c r="A18" s="483"/>
      <c r="B18" s="483"/>
      <c r="C18" s="483"/>
      <c r="D18" s="483"/>
      <c r="E18" s="483"/>
      <c r="F18" s="478"/>
      <c r="G18" s="473" t="str">
        <f ca="1">IF(B7="","",INDIRECT(G19))</f>
        <v>August</v>
      </c>
    </row>
    <row r="19" spans="1:7" ht="15.75">
      <c r="A19" s="483" t="s">
        <v>246</v>
      </c>
      <c r="B19" s="483" t="s">
        <v>250</v>
      </c>
      <c r="C19" s="483"/>
      <c r="D19" s="483"/>
      <c r="E19" s="483"/>
      <c r="F19" s="478"/>
      <c r="G19" s="484" t="str">
        <f>IF(B7="","",CONCATENATE("J",G21))</f>
        <v>J8</v>
      </c>
    </row>
    <row r="20" spans="1:7" ht="15.75">
      <c r="A20" s="483"/>
      <c r="B20" s="483"/>
      <c r="C20" s="483"/>
      <c r="D20" s="483"/>
      <c r="E20" s="483"/>
      <c r="F20" s="478"/>
      <c r="G20" s="485">
        <f>B7-10</f>
        <v>41853</v>
      </c>
    </row>
    <row r="21" spans="1:7" ht="15.75">
      <c r="A21" s="483" t="s">
        <v>224</v>
      </c>
      <c r="B21" s="480" t="s">
        <v>229</v>
      </c>
      <c r="C21" s="483"/>
      <c r="D21" s="483"/>
      <c r="E21" s="483"/>
      <c r="G21" s="486">
        <f>IF(B7="","",MONTH(G20))</f>
        <v>8</v>
      </c>
    </row>
    <row r="22" spans="1:7" ht="15.75">
      <c r="A22" s="483"/>
      <c r="B22" s="483"/>
      <c r="C22" s="483"/>
      <c r="D22" s="483"/>
      <c r="E22" s="483"/>
      <c r="G22" s="487">
        <f>IF(B7="","",DAY(G20))</f>
        <v>2</v>
      </c>
    </row>
    <row r="23" spans="1:7" ht="15.75">
      <c r="A23" s="483" t="s">
        <v>225</v>
      </c>
      <c r="B23" s="483" t="s">
        <v>230</v>
      </c>
      <c r="C23" s="483"/>
      <c r="D23" s="483"/>
      <c r="E23" s="483"/>
      <c r="G23" s="488">
        <f>IF(B7="","",YEAR(G20))</f>
        <v>2014</v>
      </c>
    </row>
    <row r="24" spans="1:5" ht="15.75">
      <c r="A24" s="483"/>
      <c r="B24" s="483"/>
      <c r="C24" s="483"/>
      <c r="D24" s="483"/>
      <c r="E24" s="483"/>
    </row>
    <row r="25" spans="1:5" ht="15.75">
      <c r="A25" s="483" t="s">
        <v>226</v>
      </c>
      <c r="B25" s="483" t="s">
        <v>231</v>
      </c>
      <c r="C25" s="483"/>
      <c r="D25" s="483"/>
      <c r="E25" s="483"/>
    </row>
    <row r="26" spans="1:5" ht="15.75">
      <c r="A26" s="483"/>
      <c r="B26" s="483"/>
      <c r="C26" s="483"/>
      <c r="D26" s="483"/>
      <c r="E26" s="483"/>
    </row>
    <row r="27" spans="1:5" ht="15.75">
      <c r="A27" s="483" t="s">
        <v>227</v>
      </c>
      <c r="B27" s="483" t="s">
        <v>231</v>
      </c>
      <c r="C27" s="483"/>
      <c r="D27" s="483"/>
      <c r="E27" s="483"/>
    </row>
  </sheetData>
  <sheetProtection/>
  <mergeCells count="2">
    <mergeCell ref="A2:F2"/>
    <mergeCell ref="A17:B17"/>
  </mergeCells>
  <printOptions/>
  <pageMargins left="0.7" right="0.7" top="0.75" bottom="0.75" header="0.3" footer="0.3"/>
  <pageSetup blackAndWhite="1" fitToHeight="1" fitToWidth="1" horizontalDpi="600" verticalDpi="600" orientation="portrait" scale="64" r:id="rId1"/>
</worksheet>
</file>

<file path=xl/worksheets/sheet4.xml><?xml version="1.0" encoding="utf-8"?>
<worksheet xmlns="http://schemas.openxmlformats.org/spreadsheetml/2006/main" xmlns:r="http://schemas.openxmlformats.org/officeDocument/2006/relationships">
  <sheetPr>
    <pageSetUpPr fitToPage="1"/>
  </sheetPr>
  <dimension ref="B1:G92"/>
  <sheetViews>
    <sheetView zoomScalePageLayoutView="0" workbookViewId="0" topLeftCell="A30">
      <selection activeCell="B64" sqref="B64:G64"/>
    </sheetView>
  </sheetViews>
  <sheetFormatPr defaultColWidth="8.796875" defaultRowHeight="15"/>
  <cols>
    <col min="1" max="1" width="8.8984375" style="61" customWidth="1"/>
    <col min="2" max="2" width="24.3984375" style="5" customWidth="1"/>
    <col min="3" max="3" width="10.69921875" style="5" customWidth="1"/>
    <col min="4" max="4" width="5.69921875" style="5" customWidth="1"/>
    <col min="5" max="5" width="14" style="5" customWidth="1"/>
    <col min="6" max="7" width="13.69921875" style="5" customWidth="1"/>
    <col min="8" max="16384" width="8.8984375" style="61" customWidth="1"/>
  </cols>
  <sheetData>
    <row r="1" spans="2:7" ht="15.75">
      <c r="B1" s="4"/>
      <c r="C1" s="4"/>
      <c r="D1" s="4"/>
      <c r="E1" s="4"/>
      <c r="F1" s="4"/>
      <c r="G1" s="4">
        <f>inputPrYr!C5</f>
        <v>2015</v>
      </c>
    </row>
    <row r="2" spans="2:7" ht="15.75">
      <c r="B2" s="4"/>
      <c r="C2" s="4"/>
      <c r="D2" s="6" t="s">
        <v>82</v>
      </c>
      <c r="E2" s="4"/>
      <c r="F2" s="4"/>
      <c r="G2" s="97"/>
    </row>
    <row r="3" spans="2:7" ht="15.75">
      <c r="B3" s="496" t="str">
        <f>CONCATENATE("To the Clerk of ",inputPrYr!D3,", State of Kansas")</f>
        <v>To the Clerk of Wilson County, State of Kansas</v>
      </c>
      <c r="C3" s="561"/>
      <c r="D3" s="561"/>
      <c r="E3" s="561"/>
      <c r="F3" s="561"/>
      <c r="G3" s="561"/>
    </row>
    <row r="4" spans="2:7" ht="15.75">
      <c r="B4" s="12" t="s">
        <v>239</v>
      </c>
      <c r="C4" s="11"/>
      <c r="D4" s="11"/>
      <c r="E4" s="11"/>
      <c r="F4" s="11"/>
      <c r="G4" s="11"/>
    </row>
    <row r="5" spans="2:7" ht="15.75">
      <c r="B5" s="539" t="str">
        <f>(inputPrYr!D2)</f>
        <v>City of Buffalo</v>
      </c>
      <c r="C5" s="540"/>
      <c r="D5" s="540"/>
      <c r="E5" s="540"/>
      <c r="F5" s="540"/>
      <c r="G5" s="540"/>
    </row>
    <row r="6" spans="2:7" ht="15.75">
      <c r="B6" s="12" t="s">
        <v>218</v>
      </c>
      <c r="C6" s="11"/>
      <c r="D6" s="11"/>
      <c r="E6" s="11"/>
      <c r="F6" s="11"/>
      <c r="G6" s="11"/>
    </row>
    <row r="7" spans="2:7" ht="15.75">
      <c r="B7" s="12" t="s">
        <v>0</v>
      </c>
      <c r="C7" s="11"/>
      <c r="D7" s="11"/>
      <c r="E7" s="11"/>
      <c r="F7" s="11"/>
      <c r="G7" s="11"/>
    </row>
    <row r="8" spans="2:7" ht="15.75">
      <c r="B8" s="12" t="str">
        <f>CONCATENATE("maximum expenditures for the various funds for the year ",G1,"; and")</f>
        <v>maximum expenditures for the various funds for the year 2015; and</v>
      </c>
      <c r="C8" s="11"/>
      <c r="D8" s="11"/>
      <c r="E8" s="11"/>
      <c r="F8" s="11"/>
      <c r="G8" s="11"/>
    </row>
    <row r="9" spans="2:7" ht="15.75">
      <c r="B9" s="12" t="str">
        <f>CONCATENATE("(3) the Amount(s) of ",G1-1," Ad Valorem Tax are within statutory limitations.")</f>
        <v>(3) the Amount(s) of 2014 Ad Valorem Tax are within statutory limitations.</v>
      </c>
      <c r="C9" s="11"/>
      <c r="D9" s="11"/>
      <c r="E9" s="11"/>
      <c r="F9" s="11"/>
      <c r="G9" s="11"/>
    </row>
    <row r="10" spans="2:7" ht="15.75">
      <c r="B10" s="4"/>
      <c r="C10" s="4"/>
      <c r="D10" s="4"/>
      <c r="E10" s="98" t="str">
        <f>CONCATENATE("",G1," Adopted Budget")</f>
        <v>2015 Adopted Budget</v>
      </c>
      <c r="F10" s="99"/>
      <c r="G10" s="100"/>
    </row>
    <row r="11" spans="2:7" ht="21" customHeight="1">
      <c r="B11" s="4"/>
      <c r="C11" s="4"/>
      <c r="D11" s="101"/>
      <c r="E11" s="102" t="s">
        <v>1</v>
      </c>
      <c r="F11" s="103" t="s">
        <v>157</v>
      </c>
      <c r="G11" s="103" t="s">
        <v>2</v>
      </c>
    </row>
    <row r="12" spans="2:7" ht="15.75">
      <c r="B12" s="7"/>
      <c r="C12" s="4"/>
      <c r="D12" s="103" t="s">
        <v>3</v>
      </c>
      <c r="E12" s="104" t="s">
        <v>201</v>
      </c>
      <c r="F12" s="105" t="str">
        <f>CONCATENATE("",G1-1," Ad")</f>
        <v>2014 Ad</v>
      </c>
      <c r="G12" s="104" t="s">
        <v>4</v>
      </c>
    </row>
    <row r="13" spans="2:7" ht="15.75">
      <c r="B13" s="106" t="s">
        <v>5</v>
      </c>
      <c r="C13" s="33"/>
      <c r="D13" s="107" t="s">
        <v>6</v>
      </c>
      <c r="E13" s="107" t="s">
        <v>247</v>
      </c>
      <c r="F13" s="108" t="s">
        <v>158</v>
      </c>
      <c r="G13" s="107" t="s">
        <v>7</v>
      </c>
    </row>
    <row r="14" spans="2:7" ht="15.75">
      <c r="B14" s="109" t="str">
        <f>CONCATENATE("Computation to Determine Limit for ",G1,"")</f>
        <v>Computation to Determine Limit for 2015</v>
      </c>
      <c r="C14" s="55"/>
      <c r="D14" s="110">
        <v>2</v>
      </c>
      <c r="E14" s="111"/>
      <c r="F14" s="111"/>
      <c r="G14" s="111"/>
    </row>
    <row r="15" spans="2:7" ht="15.75">
      <c r="B15" s="109" t="s">
        <v>262</v>
      </c>
      <c r="C15" s="33"/>
      <c r="D15" s="107">
        <v>3</v>
      </c>
      <c r="E15" s="104"/>
      <c r="F15" s="104"/>
      <c r="G15" s="104"/>
    </row>
    <row r="16" spans="2:7" ht="15.75">
      <c r="B16" s="109" t="s">
        <v>134</v>
      </c>
      <c r="C16" s="33"/>
      <c r="D16" s="107">
        <v>4</v>
      </c>
      <c r="E16" s="104"/>
      <c r="F16" s="104"/>
      <c r="G16" s="104"/>
    </row>
    <row r="17" spans="2:7" ht="15.75">
      <c r="B17" s="109" t="s">
        <v>8</v>
      </c>
      <c r="C17" s="55"/>
      <c r="D17" s="110">
        <v>5</v>
      </c>
      <c r="E17" s="112"/>
      <c r="F17" s="112"/>
      <c r="G17" s="112"/>
    </row>
    <row r="18" spans="2:7" ht="15.75">
      <c r="B18" s="109" t="s">
        <v>9</v>
      </c>
      <c r="C18" s="55"/>
      <c r="D18" s="110">
        <v>6</v>
      </c>
      <c r="E18" s="112"/>
      <c r="F18" s="112"/>
      <c r="G18" s="112"/>
    </row>
    <row r="19" spans="2:7" ht="15.75">
      <c r="B19" s="120" t="str">
        <f>IF(inputPrYr!D19="","","Computation to Determine State Library Grant")</f>
        <v>Computation to Determine State Library Grant</v>
      </c>
      <c r="C19" s="55"/>
      <c r="D19" s="118"/>
      <c r="E19" s="112"/>
      <c r="F19" s="112"/>
      <c r="G19" s="112"/>
    </row>
    <row r="20" spans="2:7" ht="15.75">
      <c r="B20" s="113" t="s">
        <v>10</v>
      </c>
      <c r="C20" s="114" t="s">
        <v>11</v>
      </c>
      <c r="D20" s="115"/>
      <c r="E20" s="47"/>
      <c r="F20" s="47"/>
      <c r="G20" s="47"/>
    </row>
    <row r="21" spans="2:7" ht="15.75">
      <c r="B21" s="25" t="str">
        <f>inputPrYr!B17</f>
        <v>General</v>
      </c>
      <c r="C21" s="116" t="str">
        <f>IF(inputPrYr!C17&gt;0,(inputPrYr!C17),"  ")</f>
        <v>12-101a</v>
      </c>
      <c r="D21" s="110">
        <f>IF(general!D59&gt;0,general!D59,"")</f>
        <v>7</v>
      </c>
      <c r="E21" s="374">
        <f>IF(general!$E$111&lt;&gt;0,general!$E$111,"  ")</f>
        <v>117328</v>
      </c>
      <c r="F21" s="392">
        <f>IF(general!$E$118&lt;&gt;0,general!$E$118,0)</f>
        <v>46569.73000000001</v>
      </c>
      <c r="G21" s="391">
        <f>IF($G$50=0,"",ROUND(F21/$G$50*1000,3))</f>
      </c>
    </row>
    <row r="22" spans="2:7" ht="15.75">
      <c r="B22" s="46" t="str">
        <f>IF(inputPrYr!$B18&gt;"  ",(inputPrYr!$B18),"  ")</f>
        <v>G.O. Bond &amp; Interest</v>
      </c>
      <c r="C22" s="116" t="str">
        <f>IF(inputPrYr!C18&gt;0,(inputPrYr!C18),"  ")</f>
        <v>10-113</v>
      </c>
      <c r="D22" s="110">
        <f>IF('G.O. B&amp;I-G.O. Sewer B&amp;I'!C83=0,"",'G.O. B&amp;I-G.O. Sewer B&amp;I'!C83)</f>
        <v>8</v>
      </c>
      <c r="E22" s="374" t="str">
        <f>IF('G.O. B&amp;I-G.O. Sewer B&amp;I'!E33&lt;&gt;0,'G.O. B&amp;I-G.O. Sewer B&amp;I'!E33,"  ")</f>
        <v>  </v>
      </c>
      <c r="F22" s="392">
        <f>IF('G.O. B&amp;I-G.O. Sewer B&amp;I'!E40&lt;&gt;0,'G.O. B&amp;I-G.O. Sewer B&amp;I'!E40,0)</f>
        <v>0</v>
      </c>
      <c r="G22" s="391">
        <f>IF($G$50=0,"",ROUND(F22/$G$50*1000,3))</f>
      </c>
    </row>
    <row r="23" spans="2:7" ht="15.75">
      <c r="B23" s="46" t="str">
        <f>IF(inputPrYr!$B19&gt;"  ",(inputPrYr!$B19),"  ")</f>
        <v>G.O. Sewer B &amp; I</v>
      </c>
      <c r="C23" s="116" t="str">
        <f>IF(inputPrYr!C19&gt;0,(inputPrYr!C19),"  ")</f>
        <v>10-113</v>
      </c>
      <c r="D23" s="110">
        <f>IF('G.O. B&amp;I-G.O. Sewer B&amp;I'!C83=0,"",'G.O. B&amp;I-G.O. Sewer B&amp;I'!C83)</f>
        <v>8</v>
      </c>
      <c r="E23" s="374">
        <f>IF('G.O. B&amp;I-G.O. Sewer B&amp;I'!E73&lt;&gt;0,'G.O. B&amp;I-G.O. Sewer B&amp;I'!E73,"  ")</f>
        <v>21422</v>
      </c>
      <c r="F23" s="392">
        <f>IF('G.O. B&amp;I-G.O. Sewer B&amp;I'!E80&lt;&gt;0,'G.O. B&amp;I-G.O. Sewer B&amp;I'!E80,0)</f>
        <v>0</v>
      </c>
      <c r="G23" s="391">
        <f>IF($G$50=0,"",ROUND(F23/$G$50*1000,3))</f>
      </c>
    </row>
    <row r="24" spans="2:7" ht="15.75">
      <c r="B24" s="46" t="str">
        <f>IF(inputPrYr!$B21&gt;"  ",(inputPrYr!$B21),"  ")</f>
        <v>  </v>
      </c>
      <c r="C24" s="116" t="str">
        <f>IF(inputPrYr!C21&gt;0,(inputPrYr!C21),"  ")</f>
        <v>  </v>
      </c>
      <c r="D24" s="110"/>
      <c r="E24" s="374"/>
      <c r="F24" s="392"/>
      <c r="G24" s="391">
        <f aca="true" t="shared" si="0" ref="G24:G33">IF($G$50=0,"",ROUND(F24/$G$50*1000,3))</f>
      </c>
    </row>
    <row r="25" spans="2:7" ht="15.75">
      <c r="B25" s="46" t="str">
        <f>IF(inputPrYr!$B22&gt;"  ",(inputPrYr!$B22),"  ")</f>
        <v>  </v>
      </c>
      <c r="C25" s="116" t="str">
        <f>IF(inputPrYr!C22&gt;0,(inputPrYr!C22),"  ")</f>
        <v>  </v>
      </c>
      <c r="D25" s="110"/>
      <c r="E25" s="374"/>
      <c r="F25" s="392"/>
      <c r="G25" s="391">
        <f t="shared" si="0"/>
      </c>
    </row>
    <row r="26" spans="2:7" ht="15.75">
      <c r="B26" s="46" t="str">
        <f>IF(inputPrYr!$B23&gt;"  ",(inputPrYr!$B23),"  ")</f>
        <v>  </v>
      </c>
      <c r="C26" s="116" t="str">
        <f>IF(inputPrYr!C23&gt;0,(inputPrYr!C23),"  ")</f>
        <v>  </v>
      </c>
      <c r="D26" s="110"/>
      <c r="E26" s="374"/>
      <c r="F26" s="392"/>
      <c r="G26" s="391">
        <f t="shared" si="0"/>
      </c>
    </row>
    <row r="27" spans="2:7" ht="15.75">
      <c r="B27" s="46" t="str">
        <f>IF(inputPrYr!$B24&gt;"  ",(inputPrYr!$B24),"  ")</f>
        <v>  </v>
      </c>
      <c r="C27" s="116" t="str">
        <f>IF(inputPrYr!C24&gt;0,(inputPrYr!C24),"  ")</f>
        <v>  </v>
      </c>
      <c r="D27" s="110"/>
      <c r="E27" s="374"/>
      <c r="F27" s="392"/>
      <c r="G27" s="391">
        <f t="shared" si="0"/>
      </c>
    </row>
    <row r="28" spans="2:7" ht="15.75">
      <c r="B28" s="46" t="str">
        <f>IF(inputPrYr!$B25&gt;"  ",(inputPrYr!$B25),"  ")</f>
        <v>  </v>
      </c>
      <c r="C28" s="116" t="str">
        <f>IF(inputPrYr!C25&gt;0,(inputPrYr!C25),"  ")</f>
        <v>  </v>
      </c>
      <c r="D28" s="110"/>
      <c r="E28" s="374"/>
      <c r="F28" s="392"/>
      <c r="G28" s="391">
        <f t="shared" si="0"/>
      </c>
    </row>
    <row r="29" spans="2:7" ht="15.75">
      <c r="B29" s="46" t="str">
        <f>IF(inputPrYr!$B26&gt;"  ",(inputPrYr!$B26),"  ")</f>
        <v>  </v>
      </c>
      <c r="C29" s="116" t="str">
        <f>IF(inputPrYr!C26&gt;0,(inputPrYr!C26),"  ")</f>
        <v>  </v>
      </c>
      <c r="D29" s="110"/>
      <c r="E29" s="374"/>
      <c r="F29" s="392"/>
      <c r="G29" s="391">
        <f t="shared" si="0"/>
      </c>
    </row>
    <row r="30" spans="2:7" ht="15.75">
      <c r="B30" s="46" t="str">
        <f>IF(inputPrYr!$B27&gt;"  ",(inputPrYr!$B27),"  ")</f>
        <v>  </v>
      </c>
      <c r="C30" s="116" t="str">
        <f>IF(inputPrYr!C27&gt;0,(inputPrYr!C27),"  ")</f>
        <v>  </v>
      </c>
      <c r="D30" s="110"/>
      <c r="E30" s="374"/>
      <c r="F30" s="392"/>
      <c r="G30" s="391">
        <f t="shared" si="0"/>
      </c>
    </row>
    <row r="31" spans="2:7" ht="15.75">
      <c r="B31" s="46" t="str">
        <f>IF(inputPrYr!$B28&gt;"  ",(inputPrYr!$B28),"  ")</f>
        <v>  </v>
      </c>
      <c r="C31" s="116" t="str">
        <f>IF(inputPrYr!C28&gt;0,(inputPrYr!C28),"  ")</f>
        <v>  </v>
      </c>
      <c r="D31" s="110"/>
      <c r="E31" s="374"/>
      <c r="F31" s="392"/>
      <c r="G31" s="391">
        <f t="shared" si="0"/>
      </c>
    </row>
    <row r="32" spans="2:7" ht="15.75">
      <c r="B32" s="46" t="str">
        <f>IF(inputPrYr!$B29&gt;"  ",(inputPrYr!$B29),"  ")</f>
        <v>  </v>
      </c>
      <c r="C32" s="116" t="str">
        <f>IF(inputPrYr!C29&gt;0,(inputPrYr!C29),"  ")</f>
        <v>  </v>
      </c>
      <c r="D32" s="110"/>
      <c r="E32" s="374"/>
      <c r="F32" s="392"/>
      <c r="G32" s="391">
        <f t="shared" si="0"/>
      </c>
    </row>
    <row r="33" spans="2:7" ht="15.75">
      <c r="B33" s="46" t="str">
        <f>IF(inputPrYr!$B30&gt;"  ",(inputPrYr!$B30),"  ")</f>
        <v>  </v>
      </c>
      <c r="C33" s="116" t="str">
        <f>IF(inputPrYr!C30&gt;0,(inputPrYr!C30),"  ")</f>
        <v>  </v>
      </c>
      <c r="D33" s="110"/>
      <c r="E33" s="374"/>
      <c r="F33" s="392"/>
      <c r="G33" s="391">
        <f t="shared" si="0"/>
      </c>
    </row>
    <row r="34" spans="2:7" ht="15.75">
      <c r="B34" s="117" t="str">
        <f>IF(inputPrYr!$B34&gt;"  ",(inputPrYr!$B34),"  ")</f>
        <v>Special Highway</v>
      </c>
      <c r="C34" s="55"/>
      <c r="D34" s="118">
        <f>IF('Sp Hiway-Sp Hwy Impr'!C65&gt;0,'Sp Hiway-Sp Hwy Impr'!C65,"  ")</f>
        <v>9</v>
      </c>
      <c r="E34" s="374">
        <f>IF('Sp Hiway-Sp Hwy Impr'!$E$28&gt;0,'Sp Hiway-Sp Hwy Impr'!$E$28,"  ")</f>
        <v>12667</v>
      </c>
      <c r="F34" s="374"/>
      <c r="G34" s="395"/>
    </row>
    <row r="35" spans="2:7" ht="15.75">
      <c r="B35" s="117" t="str">
        <f>IF(inputPrYr!$B35&gt;"  ",(inputPrYr!$B35),"  ")</f>
        <v>Special Highway Impr</v>
      </c>
      <c r="C35" s="55"/>
      <c r="D35" s="118">
        <f>IF('Sp Hiway-Sp Hwy Impr'!C65&gt;0,'Sp Hiway-Sp Hwy Impr'!C65,"  ")</f>
        <v>9</v>
      </c>
      <c r="E35" s="374">
        <f>IF('Sp Hiway-Sp Hwy Impr'!$E$59&gt;0,'Sp Hiway-Sp Hwy Impr'!$E$59,"  ")</f>
        <v>49000</v>
      </c>
      <c r="F35" s="374"/>
      <c r="G35" s="395"/>
    </row>
    <row r="36" spans="2:7" ht="15.75">
      <c r="B36" s="117" t="str">
        <f>IF(inputPrYr!$B36&gt;"  ",(inputPrYr!$B36),"  ")</f>
        <v>Water Utility</v>
      </c>
      <c r="C36" s="55"/>
      <c r="D36" s="118">
        <f>IF('Water &amp; Sewer'!C67&gt;0,'Water &amp; Sewer'!C67,"  ")</f>
        <v>10</v>
      </c>
      <c r="E36" s="374">
        <f>IF('Water &amp; Sewer'!$E$30&gt;0,'Water &amp; Sewer'!$E$30,"  ")</f>
        <v>151263</v>
      </c>
      <c r="F36" s="374"/>
      <c r="G36" s="395"/>
    </row>
    <row r="37" spans="2:7" ht="15.75">
      <c r="B37" s="117" t="str">
        <f>IF(inputPrYr!$B37&gt;"  ",(inputPrYr!$B37),"  ")</f>
        <v>Sewer Utility</v>
      </c>
      <c r="C37" s="55"/>
      <c r="D37" s="118">
        <f>IF('Water &amp; Sewer'!C67&gt;0,'Water &amp; Sewer'!C67,"  ")</f>
        <v>10</v>
      </c>
      <c r="E37" s="374">
        <f>IF('Water &amp; Sewer'!$E$61&gt;0,'Water &amp; Sewer'!$E$61,"  ")</f>
        <v>33231</v>
      </c>
      <c r="F37" s="374"/>
      <c r="G37" s="395"/>
    </row>
    <row r="38" spans="2:7" ht="15.75">
      <c r="B38" s="117" t="str">
        <f>IF(inputPrYr!$B38&gt;"  ",(inputPrYr!$B38),"  ")</f>
        <v>  </v>
      </c>
      <c r="C38" s="55"/>
      <c r="D38" s="118"/>
      <c r="E38" s="374"/>
      <c r="F38" s="374"/>
      <c r="G38" s="395"/>
    </row>
    <row r="39" spans="2:7" ht="15.75">
      <c r="B39" s="119" t="str">
        <f>IF(inputPrYr!$B39&gt;"  ",(inputPrYr!$B39),"  ")</f>
        <v>  </v>
      </c>
      <c r="C39" s="55"/>
      <c r="D39" s="118"/>
      <c r="E39" s="374"/>
      <c r="F39" s="374"/>
      <c r="G39" s="395"/>
    </row>
    <row r="40" spans="2:7" ht="15.75">
      <c r="B40" s="117" t="str">
        <f>IF(inputPrYr!$B40&gt;"  ",(inputPrYr!$B40),"  ")</f>
        <v>  </v>
      </c>
      <c r="C40" s="55"/>
      <c r="D40" s="118"/>
      <c r="E40" s="374"/>
      <c r="F40" s="374"/>
      <c r="G40" s="395"/>
    </row>
    <row r="41" spans="2:7" ht="15.75">
      <c r="B41" s="117" t="str">
        <f>IF(inputPrYr!$B41&gt;"  ",(inputPrYr!$B41),"  ")</f>
        <v>  </v>
      </c>
      <c r="C41" s="55"/>
      <c r="D41" s="118"/>
      <c r="E41" s="374"/>
      <c r="F41" s="374"/>
      <c r="G41" s="395"/>
    </row>
    <row r="42" spans="2:7" ht="15.75">
      <c r="B42" s="117" t="str">
        <f>IF(inputPrYr!$B44&gt;"  ",(inputPrYr!$B44),"  ")</f>
        <v>  </v>
      </c>
      <c r="C42" s="52"/>
      <c r="D42" s="118"/>
      <c r="E42" s="374"/>
      <c r="F42" s="374"/>
      <c r="G42" s="395"/>
    </row>
    <row r="43" spans="2:7" ht="15.75">
      <c r="B43" s="117" t="str">
        <f>IF(inputPrYr!$B45&gt;"  ",(inputPrYr!$B45),"  ")</f>
        <v>  </v>
      </c>
      <c r="C43" s="52"/>
      <c r="D43" s="118"/>
      <c r="E43" s="374"/>
      <c r="F43" s="374"/>
      <c r="G43" s="395"/>
    </row>
    <row r="44" spans="2:7" ht="15.75">
      <c r="B44" s="117" t="str">
        <f>IF(inputPrYr!$B46&gt;"  ",(inputPrYr!$B46),"  ")</f>
        <v>  </v>
      </c>
      <c r="C44" s="52"/>
      <c r="D44" s="118"/>
      <c r="E44" s="374"/>
      <c r="F44" s="374"/>
      <c r="G44" s="395"/>
    </row>
    <row r="45" spans="2:7" ht="15.75">
      <c r="B45" s="117" t="str">
        <f>IF(inputPrYr!$B47&gt;"  ",(inputPrYr!$B47),"  ")</f>
        <v>  </v>
      </c>
      <c r="C45" s="52"/>
      <c r="D45" s="118"/>
      <c r="E45" s="374"/>
      <c r="F45" s="374"/>
      <c r="G45" s="395"/>
    </row>
    <row r="46" spans="2:7" ht="15.75">
      <c r="B46" s="117" t="str">
        <f>IF(inputPrYr!$B51&gt;"  ",(NonBudA!$A3),"  ")</f>
        <v>Non-Budgeted Funds-A</v>
      </c>
      <c r="C46" s="52"/>
      <c r="D46" s="118">
        <f>IF(NonBudA!F33&gt;0,NonBudA!F33,"  ")</f>
        <v>11</v>
      </c>
      <c r="E46" s="374"/>
      <c r="F46" s="374"/>
      <c r="G46" s="395"/>
    </row>
    <row r="47" spans="2:7" ht="16.5" thickBot="1">
      <c r="B47" s="117" t="str">
        <f>IF(inputPrYr!$B57&gt;"  ",(#REF!),"  ")</f>
        <v>  </v>
      </c>
      <c r="C47" s="52"/>
      <c r="D47" s="118"/>
      <c r="E47" s="374"/>
      <c r="F47" s="374"/>
      <c r="G47" s="395"/>
    </row>
    <row r="48" spans="2:7" ht="16.5" thickBot="1">
      <c r="B48" s="302" t="s">
        <v>256</v>
      </c>
      <c r="C48" s="52"/>
      <c r="D48" s="204" t="s">
        <v>13</v>
      </c>
      <c r="E48" s="394">
        <f>SUM(E21:E47)</f>
        <v>384911</v>
      </c>
      <c r="F48" s="394">
        <f>SUM(F21:F47)</f>
        <v>46569.73000000001</v>
      </c>
      <c r="G48" s="393">
        <f>IF(SUM(G21:G47)=0,"",SUM(G21:G47))</f>
      </c>
    </row>
    <row r="49" spans="2:7" ht="16.5" thickTop="1">
      <c r="B49" s="529" t="s">
        <v>307</v>
      </c>
      <c r="C49" s="122"/>
      <c r="D49" s="123"/>
      <c r="E49" s="371"/>
      <c r="F49" s="372" t="str">
        <f>IF(F48&gt;1000,IF(F48&gt;computation!J47,"Yes","No"),"No")</f>
        <v>No</v>
      </c>
      <c r="G49" s="383" t="s">
        <v>138</v>
      </c>
    </row>
    <row r="50" spans="2:7" ht="15.75">
      <c r="B50" s="109" t="s">
        <v>191</v>
      </c>
      <c r="C50" s="55"/>
      <c r="D50" s="110">
        <f>summ!D42</f>
        <v>12</v>
      </c>
      <c r="E50" s="121"/>
      <c r="F50" s="4"/>
      <c r="G50" s="311"/>
    </row>
    <row r="51" spans="2:7" ht="15.75">
      <c r="B51" s="109" t="s">
        <v>205</v>
      </c>
      <c r="C51" s="55"/>
      <c r="D51" s="110"/>
      <c r="E51" s="121"/>
      <c r="F51" s="4"/>
      <c r="G51" s="499" t="str">
        <f>CONCATENATE("Nov 1, ",G1-1," Total Assessed Valuation")</f>
        <v>Nov 1, 2014 Total Assessed Valuation</v>
      </c>
    </row>
    <row r="52" spans="2:7" ht="15.75">
      <c r="B52" s="306"/>
      <c r="C52" s="307"/>
      <c r="D52" s="308"/>
      <c r="E52" s="304"/>
      <c r="F52" s="305"/>
      <c r="G52" s="500"/>
    </row>
    <row r="53" spans="2:7" ht="15.75">
      <c r="B53" s="39" t="s">
        <v>14</v>
      </c>
      <c r="C53" s="38"/>
      <c r="D53" s="4"/>
      <c r="E53" s="303"/>
      <c r="F53" s="38"/>
      <c r="G53" s="38"/>
    </row>
    <row r="54" spans="2:7" ht="15.75">
      <c r="B54" s="556" t="s">
        <v>374</v>
      </c>
      <c r="C54" s="38"/>
      <c r="D54" s="38" t="s">
        <v>260</v>
      </c>
      <c r="E54" s="389"/>
      <c r="F54" s="38"/>
      <c r="G54" s="38"/>
    </row>
    <row r="55" spans="2:7" ht="15.75">
      <c r="B55" s="556" t="s">
        <v>375</v>
      </c>
      <c r="C55" s="4"/>
      <c r="D55" s="39"/>
      <c r="E55" s="390"/>
      <c r="F55" s="38"/>
      <c r="G55" s="38"/>
    </row>
    <row r="56" spans="2:7" ht="15.75">
      <c r="B56" s="39" t="s">
        <v>141</v>
      </c>
      <c r="C56" s="38"/>
      <c r="D56" s="38" t="s">
        <v>260</v>
      </c>
      <c r="E56" s="388"/>
      <c r="F56" s="230"/>
      <c r="G56" s="230"/>
    </row>
    <row r="57" spans="2:7" ht="15.75">
      <c r="B57" s="557" t="s">
        <v>376</v>
      </c>
      <c r="C57" s="7"/>
      <c r="D57" s="38"/>
      <c r="E57" s="38"/>
      <c r="F57" s="4"/>
      <c r="G57" s="4"/>
    </row>
    <row r="58" spans="2:7" ht="15.75">
      <c r="B58" s="557" t="s">
        <v>377</v>
      </c>
      <c r="C58" s="124"/>
      <c r="D58" s="38" t="s">
        <v>260</v>
      </c>
      <c r="E58" s="38"/>
      <c r="F58" s="230"/>
      <c r="G58" s="230"/>
    </row>
    <row r="59" spans="2:7" ht="15.75">
      <c r="B59" s="39" t="s">
        <v>270</v>
      </c>
      <c r="C59" s="38"/>
      <c r="D59" s="4"/>
      <c r="E59" s="4"/>
      <c r="F59" s="4"/>
      <c r="G59" s="4"/>
    </row>
    <row r="60" spans="2:7" ht="15.75">
      <c r="B60" s="275" t="s">
        <v>378</v>
      </c>
      <c r="C60" s="125"/>
      <c r="D60" s="38" t="s">
        <v>260</v>
      </c>
      <c r="E60" s="38"/>
      <c r="F60" s="230"/>
      <c r="G60" s="230"/>
    </row>
    <row r="61" spans="2:7" ht="15.75">
      <c r="B61" s="8" t="s">
        <v>198</v>
      </c>
      <c r="C61" s="126">
        <f>G1-1</f>
        <v>2014</v>
      </c>
      <c r="D61" s="4"/>
      <c r="E61" s="4"/>
      <c r="F61" s="12"/>
      <c r="G61" s="4"/>
    </row>
    <row r="62" spans="2:7" ht="15.75">
      <c r="B62" s="377"/>
      <c r="C62" s="4"/>
      <c r="D62" s="38" t="s">
        <v>260</v>
      </c>
      <c r="E62" s="38"/>
      <c r="F62" s="38"/>
      <c r="G62" s="38"/>
    </row>
    <row r="63" spans="2:7" ht="15.75">
      <c r="B63" s="22" t="s">
        <v>16</v>
      </c>
      <c r="C63" s="4"/>
      <c r="D63" s="497" t="s">
        <v>15</v>
      </c>
      <c r="E63" s="498"/>
      <c r="F63" s="498"/>
      <c r="G63" s="498"/>
    </row>
    <row r="64" spans="2:7" ht="15.75">
      <c r="B64" s="501" t="s">
        <v>379</v>
      </c>
      <c r="C64" s="502"/>
      <c r="D64" s="502"/>
      <c r="E64" s="502"/>
      <c r="F64" s="502"/>
      <c r="G64" s="502"/>
    </row>
    <row r="74" spans="2:7" ht="15">
      <c r="B74" s="61"/>
      <c r="C74" s="61"/>
      <c r="D74" s="61"/>
      <c r="E74" s="61"/>
      <c r="F74" s="61"/>
      <c r="G74" s="61"/>
    </row>
    <row r="75" spans="2:7" ht="15">
      <c r="B75" s="61"/>
      <c r="C75" s="61"/>
      <c r="D75" s="61"/>
      <c r="E75" s="61"/>
      <c r="F75" s="61"/>
      <c r="G75" s="61"/>
    </row>
    <row r="76" spans="2:7" ht="15">
      <c r="B76" s="61"/>
      <c r="C76" s="61"/>
      <c r="D76" s="61"/>
      <c r="E76" s="61"/>
      <c r="F76" s="61"/>
      <c r="G76" s="61"/>
    </row>
    <row r="77" spans="2:7" ht="15">
      <c r="B77" s="61"/>
      <c r="C77" s="61"/>
      <c r="D77" s="61"/>
      <c r="E77" s="61"/>
      <c r="F77" s="61"/>
      <c r="G77" s="61"/>
    </row>
    <row r="78" spans="2:7" ht="15">
      <c r="B78" s="61"/>
      <c r="C78" s="61"/>
      <c r="D78" s="61"/>
      <c r="E78" s="61"/>
      <c r="F78" s="61"/>
      <c r="G78" s="61"/>
    </row>
    <row r="79" spans="2:7" ht="15">
      <c r="B79" s="61"/>
      <c r="C79" s="61"/>
      <c r="D79" s="61"/>
      <c r="E79" s="61"/>
      <c r="F79" s="61"/>
      <c r="G79" s="61"/>
    </row>
    <row r="80" spans="2:7" ht="15">
      <c r="B80" s="61"/>
      <c r="C80" s="61"/>
      <c r="D80" s="61"/>
      <c r="E80" s="61"/>
      <c r="F80" s="61"/>
      <c r="G80" s="61"/>
    </row>
    <row r="81" spans="2:7" ht="15">
      <c r="B81" s="61"/>
      <c r="C81" s="61"/>
      <c r="D81" s="61"/>
      <c r="E81" s="61"/>
      <c r="F81" s="61"/>
      <c r="G81" s="61"/>
    </row>
    <row r="82" spans="2:7" ht="15">
      <c r="B82" s="61"/>
      <c r="C82" s="61"/>
      <c r="D82" s="61"/>
      <c r="E82" s="61"/>
      <c r="F82" s="61"/>
      <c r="G82" s="61"/>
    </row>
    <row r="83" spans="2:7" ht="15">
      <c r="B83" s="61"/>
      <c r="C83" s="61"/>
      <c r="D83" s="61"/>
      <c r="E83" s="61"/>
      <c r="F83" s="61"/>
      <c r="G83" s="61"/>
    </row>
    <row r="84" spans="2:7" ht="15">
      <c r="B84" s="61"/>
      <c r="C84" s="61"/>
      <c r="D84" s="61"/>
      <c r="E84" s="61"/>
      <c r="F84" s="61"/>
      <c r="G84" s="61"/>
    </row>
    <row r="85" spans="2:7" ht="15">
      <c r="B85" s="61"/>
      <c r="C85" s="61"/>
      <c r="D85" s="61"/>
      <c r="E85" s="61"/>
      <c r="F85" s="61"/>
      <c r="G85" s="61"/>
    </row>
    <row r="86" spans="2:7" ht="15">
      <c r="B86" s="61"/>
      <c r="C86" s="61"/>
      <c r="D86" s="61"/>
      <c r="E86" s="61"/>
      <c r="F86" s="61"/>
      <c r="G86" s="61"/>
    </row>
    <row r="87" spans="2:7" ht="15">
      <c r="B87" s="61"/>
      <c r="C87" s="61"/>
      <c r="D87" s="61"/>
      <c r="E87" s="61"/>
      <c r="F87" s="61"/>
      <c r="G87" s="61"/>
    </row>
    <row r="88" spans="2:7" ht="15">
      <c r="B88" s="61"/>
      <c r="C88" s="61"/>
      <c r="D88" s="61"/>
      <c r="E88" s="61"/>
      <c r="F88" s="61"/>
      <c r="G88" s="61"/>
    </row>
    <row r="89" spans="2:7" ht="15">
      <c r="B89" s="61"/>
      <c r="C89" s="61"/>
      <c r="D89" s="61"/>
      <c r="E89" s="61"/>
      <c r="F89" s="61"/>
      <c r="G89" s="61"/>
    </row>
    <row r="92" spans="2:7" ht="15.75">
      <c r="B92" s="1"/>
      <c r="C92" s="1"/>
      <c r="D92" s="1"/>
      <c r="E92" s="1"/>
      <c r="F92" s="1"/>
      <c r="G92" s="1"/>
    </row>
  </sheetData>
  <sheetProtection/>
  <mergeCells count="5">
    <mergeCell ref="B64:G64"/>
    <mergeCell ref="B5:G5"/>
    <mergeCell ref="B3:G3"/>
    <mergeCell ref="D63:G63"/>
    <mergeCell ref="G51:G52"/>
  </mergeCells>
  <printOptions/>
  <pageMargins left="1" right="0.5" top="0.75" bottom="0.5" header="0.5" footer="0.25"/>
  <pageSetup blackAndWhite="1" fitToHeight="1" fitToWidth="1" horizontalDpi="120" verticalDpi="120" orientation="portrait" scale="74" r:id="rId1"/>
  <headerFooter alignWithMargins="0">
    <oddHeader>&amp;RState of Kansas
City
</oddHeader>
    <oddFooter>&amp;CPage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54"/>
  <sheetViews>
    <sheetView zoomScale="85" zoomScaleNormal="85" zoomScalePageLayoutView="0" workbookViewId="0" topLeftCell="A20">
      <selection activeCell="J38" sqref="J38:J41"/>
    </sheetView>
  </sheetViews>
  <sheetFormatPr defaultColWidth="8.796875" defaultRowHeight="15.75" customHeight="1"/>
  <cols>
    <col min="1" max="2" width="3.296875" style="1" customWidth="1"/>
    <col min="3" max="3" width="31.296875" style="1" customWidth="1"/>
    <col min="4" max="4" width="2.296875" style="1" customWidth="1"/>
    <col min="5" max="5" width="15.69921875" style="1" customWidth="1"/>
    <col min="6" max="6" width="2" style="1" customWidth="1"/>
    <col min="7" max="7" width="15.69921875" style="1" customWidth="1"/>
    <col min="8" max="8" width="1.8984375" style="1" customWidth="1"/>
    <col min="9" max="9" width="1.69921875" style="1" customWidth="1"/>
    <col min="10" max="10" width="15.69921875" style="1" customWidth="1"/>
    <col min="11" max="16384" width="8.8984375" style="1" customWidth="1"/>
  </cols>
  <sheetData>
    <row r="1" spans="1:10" ht="15.75" customHeight="1">
      <c r="A1" s="4"/>
      <c r="B1" s="4"/>
      <c r="C1" s="128" t="str">
        <f>inputPrYr!D2</f>
        <v>City of Buffalo</v>
      </c>
      <c r="D1" s="4"/>
      <c r="E1" s="4"/>
      <c r="F1" s="4"/>
      <c r="G1" s="4"/>
      <c r="H1" s="4"/>
      <c r="I1" s="4"/>
      <c r="J1" s="4">
        <f>inputPrYr!$C$5</f>
        <v>2015</v>
      </c>
    </row>
    <row r="2" spans="1:10" ht="15.75" customHeight="1">
      <c r="A2" s="4"/>
      <c r="B2" s="4"/>
      <c r="C2" s="4"/>
      <c r="D2" s="4"/>
      <c r="E2" s="4"/>
      <c r="F2" s="4"/>
      <c r="G2" s="4"/>
      <c r="H2" s="4"/>
      <c r="I2" s="4"/>
      <c r="J2" s="4"/>
    </row>
    <row r="3" spans="1:10" ht="15.75">
      <c r="A3" s="504" t="str">
        <f>CONCATENATE("Computation to Determine Limit for ",J1,"")</f>
        <v>Computation to Determine Limit for 2015</v>
      </c>
      <c r="B3" s="505"/>
      <c r="C3" s="505"/>
      <c r="D3" s="505"/>
      <c r="E3" s="505"/>
      <c r="F3" s="505"/>
      <c r="G3" s="505"/>
      <c r="H3" s="505"/>
      <c r="I3" s="505"/>
      <c r="J3" s="505"/>
    </row>
    <row r="4" spans="1:10" ht="15.75">
      <c r="A4" s="4"/>
      <c r="B4" s="4"/>
      <c r="C4" s="4"/>
      <c r="D4" s="4"/>
      <c r="E4" s="505"/>
      <c r="F4" s="505"/>
      <c r="G4" s="505"/>
      <c r="H4" s="129"/>
      <c r="I4" s="4"/>
      <c r="J4" s="130" t="s">
        <v>95</v>
      </c>
    </row>
    <row r="5" spans="1:10" ht="15.75">
      <c r="A5" s="131" t="s">
        <v>96</v>
      </c>
      <c r="B5" s="4" t="str">
        <f>CONCATENATE("Total tax levy amount in ",J1-1," budget")</f>
        <v>Total tax levy amount in 2014 budget</v>
      </c>
      <c r="C5" s="4"/>
      <c r="D5" s="4"/>
      <c r="E5" s="29"/>
      <c r="F5" s="29"/>
      <c r="G5" s="29"/>
      <c r="H5" s="132" t="s">
        <v>97</v>
      </c>
      <c r="I5" s="29" t="s">
        <v>98</v>
      </c>
      <c r="J5" s="133">
        <f>inputPrYr!E31</f>
        <v>45031</v>
      </c>
    </row>
    <row r="6" spans="1:10" ht="15.75">
      <c r="A6" s="131" t="s">
        <v>99</v>
      </c>
      <c r="B6" s="4" t="str">
        <f>CONCATENATE("Debt service levy in ",J1-1," budget")</f>
        <v>Debt service levy in 2014 budget</v>
      </c>
      <c r="C6" s="4"/>
      <c r="D6" s="4"/>
      <c r="E6" s="29"/>
      <c r="F6" s="29"/>
      <c r="G6" s="29"/>
      <c r="H6" s="132" t="s">
        <v>100</v>
      </c>
      <c r="I6" s="29" t="s">
        <v>98</v>
      </c>
      <c r="J6" s="34">
        <f>inputPrYr!E18</f>
        <v>0</v>
      </c>
    </row>
    <row r="7" spans="1:10" ht="15.75">
      <c r="A7" s="131" t="s">
        <v>124</v>
      </c>
      <c r="B7" s="4" t="s">
        <v>290</v>
      </c>
      <c r="C7" s="4"/>
      <c r="D7" s="4"/>
      <c r="E7" s="29"/>
      <c r="F7" s="29"/>
      <c r="G7" s="29"/>
      <c r="H7" s="29"/>
      <c r="I7" s="29" t="s">
        <v>98</v>
      </c>
      <c r="J7" s="34">
        <f>J5-J6</f>
        <v>45031</v>
      </c>
    </row>
    <row r="8" spans="1:10" ht="15.75">
      <c r="A8" s="4"/>
      <c r="B8" s="4"/>
      <c r="C8" s="4"/>
      <c r="D8" s="4"/>
      <c r="E8" s="29"/>
      <c r="F8" s="29"/>
      <c r="G8" s="29"/>
      <c r="H8" s="29"/>
      <c r="I8" s="29"/>
      <c r="J8" s="29"/>
    </row>
    <row r="9" spans="1:10" ht="15.75">
      <c r="A9" s="505" t="str">
        <f>CONCATENATE("",J1-1," Valuation Information for Valuation Adjustments")</f>
        <v>2014 Valuation Information for Valuation Adjustments</v>
      </c>
      <c r="B9" s="502"/>
      <c r="C9" s="502"/>
      <c r="D9" s="502"/>
      <c r="E9" s="502"/>
      <c r="F9" s="502"/>
      <c r="G9" s="502"/>
      <c r="H9" s="502"/>
      <c r="I9" s="502"/>
      <c r="J9" s="502"/>
    </row>
    <row r="10" spans="1:10" ht="15.75">
      <c r="A10" s="4"/>
      <c r="B10" s="4"/>
      <c r="C10" s="19"/>
      <c r="D10" s="4"/>
      <c r="E10" s="29"/>
      <c r="F10" s="29"/>
      <c r="G10" s="29"/>
      <c r="H10" s="29"/>
      <c r="I10" s="29"/>
      <c r="J10" s="29"/>
    </row>
    <row r="11" spans="1:10" ht="15.75">
      <c r="A11" s="131" t="s">
        <v>101</v>
      </c>
      <c r="B11" s="4" t="str">
        <f>CONCATENATE("New improvements for ",J1-1,":")</f>
        <v>New improvements for 2014:</v>
      </c>
      <c r="C11" s="4"/>
      <c r="D11" s="4"/>
      <c r="E11" s="132"/>
      <c r="F11" s="132" t="s">
        <v>97</v>
      </c>
      <c r="G11" s="133">
        <f>inputOth!E8</f>
        <v>9510</v>
      </c>
      <c r="H11" s="36"/>
      <c r="I11" s="29"/>
      <c r="J11" s="29"/>
    </row>
    <row r="12" spans="1:10" ht="15.75">
      <c r="A12" s="131"/>
      <c r="B12" s="134"/>
      <c r="C12" s="4"/>
      <c r="D12" s="4"/>
      <c r="E12" s="132"/>
      <c r="F12" s="132"/>
      <c r="G12" s="36"/>
      <c r="H12" s="36"/>
      <c r="I12" s="29"/>
      <c r="J12" s="29"/>
    </row>
    <row r="13" spans="1:10" ht="15.75">
      <c r="A13" s="131" t="s">
        <v>102</v>
      </c>
      <c r="B13" s="4" t="str">
        <f>CONCATENATE("Increase in personal property for ",J1-1,":")</f>
        <v>Increase in personal property for 2014:</v>
      </c>
      <c r="C13" s="4"/>
      <c r="D13" s="4"/>
      <c r="E13" s="132"/>
      <c r="F13" s="132"/>
      <c r="G13" s="36"/>
      <c r="H13" s="36"/>
      <c r="I13" s="29"/>
      <c r="J13" s="29"/>
    </row>
    <row r="14" spans="1:10" ht="15.75">
      <c r="A14" s="97"/>
      <c r="B14" s="4" t="s">
        <v>103</v>
      </c>
      <c r="C14" s="4" t="str">
        <f>CONCATENATE("Personal property ",J1-1,"")</f>
        <v>Personal property 2014</v>
      </c>
      <c r="D14" s="134" t="s">
        <v>97</v>
      </c>
      <c r="E14" s="133">
        <f>inputOth!E9</f>
        <v>5264</v>
      </c>
      <c r="F14" s="132"/>
      <c r="G14" s="29"/>
      <c r="H14" s="29"/>
      <c r="I14" s="36"/>
      <c r="J14" s="29"/>
    </row>
    <row r="15" spans="1:10" ht="15.75">
      <c r="A15" s="134"/>
      <c r="B15" s="4" t="s">
        <v>104</v>
      </c>
      <c r="C15" s="4" t="str">
        <f>CONCATENATE("Personal property ",J1-2,"")</f>
        <v>Personal property 2013</v>
      </c>
      <c r="D15" s="134" t="s">
        <v>100</v>
      </c>
      <c r="E15" s="34">
        <f>inputOth!E15</f>
        <v>7654</v>
      </c>
      <c r="F15" s="132"/>
      <c r="G15" s="36"/>
      <c r="H15" s="36"/>
      <c r="I15" s="29"/>
      <c r="J15" s="29"/>
    </row>
    <row r="16" spans="1:10" ht="15.75">
      <c r="A16" s="134"/>
      <c r="B16" s="4" t="s">
        <v>105</v>
      </c>
      <c r="C16" s="4" t="s">
        <v>291</v>
      </c>
      <c r="D16" s="4"/>
      <c r="E16" s="29"/>
      <c r="F16" s="29" t="s">
        <v>97</v>
      </c>
      <c r="G16" s="133">
        <f>IF(E14&gt;E15,E14-E15,0)</f>
        <v>0</v>
      </c>
      <c r="H16" s="36"/>
      <c r="I16" s="29"/>
      <c r="J16" s="29"/>
    </row>
    <row r="17" spans="1:10" ht="15.75">
      <c r="A17" s="134"/>
      <c r="B17" s="134"/>
      <c r="C17" s="4"/>
      <c r="D17" s="4"/>
      <c r="E17" s="29"/>
      <c r="F17" s="29"/>
      <c r="G17" s="36" t="s">
        <v>118</v>
      </c>
      <c r="H17" s="36"/>
      <c r="I17" s="29"/>
      <c r="J17" s="29"/>
    </row>
    <row r="18" spans="1:10" ht="15.75">
      <c r="A18" s="134" t="s">
        <v>106</v>
      </c>
      <c r="B18" s="4" t="str">
        <f>CONCATENATE("Valuation of annexed territory for ",J1-1,":")</f>
        <v>Valuation of annexed territory for 2014:</v>
      </c>
      <c r="C18" s="4"/>
      <c r="D18" s="4"/>
      <c r="E18" s="36"/>
      <c r="F18" s="29"/>
      <c r="G18" s="29"/>
      <c r="H18" s="29"/>
      <c r="I18" s="29"/>
      <c r="J18" s="29"/>
    </row>
    <row r="19" spans="1:10" ht="15.75">
      <c r="A19" s="134"/>
      <c r="B19" s="4" t="s">
        <v>107</v>
      </c>
      <c r="C19" s="4" t="s">
        <v>292</v>
      </c>
      <c r="D19" s="134" t="s">
        <v>97</v>
      </c>
      <c r="E19" s="133">
        <f>inputOth!E11</f>
        <v>0</v>
      </c>
      <c r="F19" s="29"/>
      <c r="G19" s="29"/>
      <c r="H19" s="29"/>
      <c r="I19" s="29"/>
      <c r="J19" s="29"/>
    </row>
    <row r="20" spans="1:10" ht="15.75">
      <c r="A20" s="134"/>
      <c r="B20" s="4" t="s">
        <v>108</v>
      </c>
      <c r="C20" s="4" t="s">
        <v>293</v>
      </c>
      <c r="D20" s="134" t="s">
        <v>97</v>
      </c>
      <c r="E20" s="133">
        <f>inputOth!E12</f>
        <v>0</v>
      </c>
      <c r="F20" s="29"/>
      <c r="G20" s="36"/>
      <c r="H20" s="36"/>
      <c r="I20" s="29"/>
      <c r="J20" s="29"/>
    </row>
    <row r="21" spans="1:10" ht="15.75">
      <c r="A21" s="134"/>
      <c r="B21" s="4" t="s">
        <v>109</v>
      </c>
      <c r="C21" s="4" t="s">
        <v>294</v>
      </c>
      <c r="D21" s="134" t="s">
        <v>100</v>
      </c>
      <c r="E21" s="133">
        <f>inputOth!E13</f>
        <v>0</v>
      </c>
      <c r="F21" s="29"/>
      <c r="G21" s="36"/>
      <c r="H21" s="36"/>
      <c r="I21" s="29"/>
      <c r="J21" s="29"/>
    </row>
    <row r="22" spans="1:10" ht="15.75">
      <c r="A22" s="134"/>
      <c r="B22" s="4" t="s">
        <v>110</v>
      </c>
      <c r="C22" s="4" t="s">
        <v>295</v>
      </c>
      <c r="D22" s="134"/>
      <c r="E22" s="36"/>
      <c r="F22" s="29" t="s">
        <v>97</v>
      </c>
      <c r="G22" s="133">
        <f>E19+E20-E21</f>
        <v>0</v>
      </c>
      <c r="H22" s="36"/>
      <c r="I22" s="29"/>
      <c r="J22" s="29"/>
    </row>
    <row r="23" spans="1:10" ht="15.75">
      <c r="A23" s="134"/>
      <c r="B23" s="134"/>
      <c r="C23" s="4"/>
      <c r="D23" s="134"/>
      <c r="E23" s="36"/>
      <c r="F23" s="29"/>
      <c r="G23" s="36"/>
      <c r="H23" s="36"/>
      <c r="I23" s="29"/>
      <c r="J23" s="29"/>
    </row>
    <row r="24" spans="1:10" ht="15.75">
      <c r="A24" s="134" t="s">
        <v>111</v>
      </c>
      <c r="B24" s="4" t="str">
        <f>CONCATENATE("Valuation of property that has changed in use during ",J1-1,":")</f>
        <v>Valuation of property that has changed in use during 2014:</v>
      </c>
      <c r="C24" s="4"/>
      <c r="D24" s="4"/>
      <c r="E24" s="29"/>
      <c r="F24" s="29"/>
      <c r="G24" s="29">
        <f>inputOth!E14</f>
        <v>1410</v>
      </c>
      <c r="H24" s="29"/>
      <c r="I24" s="29"/>
      <c r="J24" s="29"/>
    </row>
    <row r="25" spans="1:10" ht="15.75">
      <c r="A25" s="4" t="s">
        <v>1</v>
      </c>
      <c r="B25" s="4"/>
      <c r="C25" s="4"/>
      <c r="D25" s="134"/>
      <c r="E25" s="36"/>
      <c r="F25" s="29"/>
      <c r="G25" s="135"/>
      <c r="H25" s="36"/>
      <c r="I25" s="29"/>
      <c r="J25" s="29"/>
    </row>
    <row r="26" spans="1:10" ht="15.75">
      <c r="A26" s="134" t="s">
        <v>112</v>
      </c>
      <c r="B26" s="4" t="s">
        <v>296</v>
      </c>
      <c r="C26" s="4"/>
      <c r="D26" s="4"/>
      <c r="E26" s="29"/>
      <c r="F26" s="29"/>
      <c r="G26" s="133">
        <f>G11+G16+G22+G24</f>
        <v>10920</v>
      </c>
      <c r="H26" s="36"/>
      <c r="I26" s="29"/>
      <c r="J26" s="29"/>
    </row>
    <row r="27" spans="1:10" ht="15.75">
      <c r="A27" s="134"/>
      <c r="B27" s="134"/>
      <c r="C27" s="4"/>
      <c r="D27" s="4"/>
      <c r="E27" s="29"/>
      <c r="F27" s="29"/>
      <c r="G27" s="36"/>
      <c r="H27" s="36"/>
      <c r="I27" s="29"/>
      <c r="J27" s="29"/>
    </row>
    <row r="28" spans="1:10" ht="15.75">
      <c r="A28" s="134" t="s">
        <v>113</v>
      </c>
      <c r="B28" s="4" t="str">
        <f>CONCATENATE("Total estimated valuation July 1, ",J1-1,"")</f>
        <v>Total estimated valuation July 1, 2014</v>
      </c>
      <c r="C28" s="4"/>
      <c r="D28" s="4"/>
      <c r="E28" s="133">
        <f>inputOth!E7</f>
        <v>579960</v>
      </c>
      <c r="F28" s="29"/>
      <c r="G28" s="29"/>
      <c r="H28" s="29"/>
      <c r="I28" s="132"/>
      <c r="J28" s="29"/>
    </row>
    <row r="29" spans="1:10" ht="15.75">
      <c r="A29" s="134"/>
      <c r="B29" s="134"/>
      <c r="C29" s="4"/>
      <c r="D29" s="4"/>
      <c r="E29" s="36"/>
      <c r="F29" s="29"/>
      <c r="G29" s="29"/>
      <c r="H29" s="29"/>
      <c r="I29" s="132"/>
      <c r="J29" s="29"/>
    </row>
    <row r="30" spans="1:10" ht="15.75">
      <c r="A30" s="134" t="s">
        <v>114</v>
      </c>
      <c r="B30" s="4" t="s">
        <v>297</v>
      </c>
      <c r="C30" s="4"/>
      <c r="D30" s="4"/>
      <c r="E30" s="29"/>
      <c r="F30" s="29"/>
      <c r="G30" s="133">
        <f>E28-G26</f>
        <v>569040</v>
      </c>
      <c r="H30" s="36"/>
      <c r="I30" s="132"/>
      <c r="J30" s="29"/>
    </row>
    <row r="31" spans="1:10" ht="15.75">
      <c r="A31" s="134"/>
      <c r="B31" s="134"/>
      <c r="C31" s="4"/>
      <c r="D31" s="4"/>
      <c r="E31" s="4"/>
      <c r="F31" s="4"/>
      <c r="G31" s="72"/>
      <c r="H31" s="38"/>
      <c r="I31" s="134"/>
      <c r="J31" s="4"/>
    </row>
    <row r="32" spans="1:10" ht="15.75">
      <c r="A32" s="134" t="s">
        <v>115</v>
      </c>
      <c r="B32" s="4" t="s">
        <v>298</v>
      </c>
      <c r="C32" s="4"/>
      <c r="D32" s="4"/>
      <c r="E32" s="4"/>
      <c r="F32" s="4"/>
      <c r="G32" s="136">
        <f>IF(G30&gt;0,G26/G30,0)</f>
        <v>0.019190215099114297</v>
      </c>
      <c r="H32" s="38"/>
      <c r="I32" s="4"/>
      <c r="J32" s="4"/>
    </row>
    <row r="33" spans="1:10" ht="15.75">
      <c r="A33" s="134"/>
      <c r="B33" s="134"/>
      <c r="C33" s="4"/>
      <c r="D33" s="4"/>
      <c r="E33" s="4"/>
      <c r="F33" s="4"/>
      <c r="G33" s="38"/>
      <c r="H33" s="38"/>
      <c r="I33" s="4"/>
      <c r="J33" s="4"/>
    </row>
    <row r="34" spans="1:10" ht="15.75">
      <c r="A34" s="134" t="s">
        <v>116</v>
      </c>
      <c r="B34" s="4" t="s">
        <v>299</v>
      </c>
      <c r="C34" s="4"/>
      <c r="D34" s="4"/>
      <c r="E34" s="4"/>
      <c r="F34" s="4"/>
      <c r="G34" s="38"/>
      <c r="H34" s="137" t="s">
        <v>97</v>
      </c>
      <c r="I34" s="4" t="s">
        <v>98</v>
      </c>
      <c r="J34" s="133">
        <f>ROUND(G32*J7,0)</f>
        <v>864</v>
      </c>
    </row>
    <row r="35" spans="1:10" ht="15.75">
      <c r="A35" s="134"/>
      <c r="B35" s="134"/>
      <c r="C35" s="4"/>
      <c r="D35" s="4"/>
      <c r="E35" s="4"/>
      <c r="F35" s="4"/>
      <c r="G35" s="38"/>
      <c r="H35" s="137"/>
      <c r="I35" s="4"/>
      <c r="J35" s="36"/>
    </row>
    <row r="36" spans="1:10" ht="16.5" thickBot="1">
      <c r="A36" s="134" t="s">
        <v>117</v>
      </c>
      <c r="B36" s="4" t="str">
        <f>CONCATENATE(J1," budget tax levy, excluding debt service, prior to CPI adjustment (3 plus 12)")</f>
        <v>2015 budget tax levy, excluding debt service, prior to CPI adjustment (3 plus 12)</v>
      </c>
      <c r="C36" s="4"/>
      <c r="D36" s="4"/>
      <c r="E36" s="4"/>
      <c r="F36" s="4"/>
      <c r="G36" s="4"/>
      <c r="H36" s="4"/>
      <c r="I36" s="4" t="s">
        <v>98</v>
      </c>
      <c r="J36" s="138">
        <f>J7+J34</f>
        <v>45895</v>
      </c>
    </row>
    <row r="37" spans="1:10" ht="16.5" thickTop="1">
      <c r="A37" s="4"/>
      <c r="B37" s="4"/>
      <c r="C37" s="4"/>
      <c r="D37" s="4"/>
      <c r="E37" s="4"/>
      <c r="F37" s="4"/>
      <c r="G37" s="4"/>
      <c r="H37" s="4"/>
      <c r="I37" s="4"/>
      <c r="J37" s="4"/>
    </row>
    <row r="38" spans="1:10" ht="15.75">
      <c r="A38" s="134" t="s">
        <v>128</v>
      </c>
      <c r="B38" s="4" t="str">
        <f>CONCATENATE("Debt service levy in this ",J1," budget")</f>
        <v>Debt service levy in this 2015 budget</v>
      </c>
      <c r="C38" s="4"/>
      <c r="D38" s="4"/>
      <c r="E38" s="4"/>
      <c r="F38" s="4"/>
      <c r="G38" s="4"/>
      <c r="H38" s="4"/>
      <c r="I38" s="4"/>
      <c r="J38" s="139">
        <f>'G.O. B&amp;I-G.O. Sewer B&amp;I'!E40</f>
        <v>0</v>
      </c>
    </row>
    <row r="39" spans="1:10" ht="15.75">
      <c r="A39" s="134"/>
      <c r="B39" s="4"/>
      <c r="C39" s="4"/>
      <c r="D39" s="4"/>
      <c r="E39" s="4"/>
      <c r="F39" s="4"/>
      <c r="G39" s="4"/>
      <c r="H39" s="4"/>
      <c r="I39" s="4"/>
      <c r="J39" s="38"/>
    </row>
    <row r="40" spans="1:10" ht="16.5" thickBot="1">
      <c r="A40" s="134" t="s">
        <v>129</v>
      </c>
      <c r="B40" s="4" t="str">
        <f>CONCATENATE(J1," tax levy, including debt service, prior to CPI adjustment (13 plus 14)")</f>
        <v>2015 tax levy, including debt service, prior to CPI adjustment (13 plus 14)</v>
      </c>
      <c r="C40" s="4"/>
      <c r="D40" s="4"/>
      <c r="E40" s="4"/>
      <c r="F40" s="4"/>
      <c r="G40" s="4"/>
      <c r="H40" s="4"/>
      <c r="I40" s="4"/>
      <c r="J40" s="138">
        <f>J36+J38</f>
        <v>45895</v>
      </c>
    </row>
    <row r="41" spans="1:10" ht="16.5" thickTop="1">
      <c r="A41" s="523"/>
      <c r="B41" s="522"/>
      <c r="C41" s="522"/>
      <c r="D41" s="522"/>
      <c r="E41" s="522"/>
      <c r="F41" s="522"/>
      <c r="G41" s="522"/>
      <c r="H41" s="522"/>
      <c r="I41" s="522"/>
      <c r="J41" s="520"/>
    </row>
    <row r="42" spans="1:10" ht="15.75">
      <c r="A42" s="525" t="s">
        <v>300</v>
      </c>
      <c r="B42" s="522" t="str">
        <f>CONCATENATE("Consumer Price Index for all urban consumers for calendar year ",J1-2)</f>
        <v>Consumer Price Index for all urban consumers for calendar year 2013</v>
      </c>
      <c r="C42" s="522"/>
      <c r="D42" s="522"/>
      <c r="E42" s="522"/>
      <c r="F42" s="522"/>
      <c r="G42" s="522"/>
      <c r="H42" s="522"/>
      <c r="I42" s="522"/>
      <c r="J42" s="526">
        <v>0.015</v>
      </c>
    </row>
    <row r="43" spans="1:10" ht="15.75">
      <c r="A43" s="525"/>
      <c r="B43" s="522"/>
      <c r="C43" s="522"/>
      <c r="D43" s="522"/>
      <c r="E43" s="522"/>
      <c r="F43" s="522"/>
      <c r="G43" s="522"/>
      <c r="H43" s="522"/>
      <c r="I43" s="522"/>
      <c r="J43" s="527"/>
    </row>
    <row r="44" spans="1:10" ht="15.75">
      <c r="A44" s="525" t="s">
        <v>301</v>
      </c>
      <c r="B44" s="522" t="s">
        <v>302</v>
      </c>
      <c r="C44" s="522"/>
      <c r="D44" s="522"/>
      <c r="E44" s="522"/>
      <c r="F44" s="522"/>
      <c r="G44" s="522"/>
      <c r="H44" s="522"/>
      <c r="I44" s="521" t="s">
        <v>98</v>
      </c>
      <c r="J44" s="519">
        <f>J7*J42</f>
        <v>675.4649999999999</v>
      </c>
    </row>
    <row r="45" spans="1:10" ht="15.75">
      <c r="A45" s="523"/>
      <c r="B45" s="522"/>
      <c r="C45" s="522"/>
      <c r="D45" s="522"/>
      <c r="E45" s="522"/>
      <c r="F45" s="522"/>
      <c r="G45" s="522"/>
      <c r="H45" s="522"/>
      <c r="I45" s="522"/>
      <c r="J45" s="520"/>
    </row>
    <row r="46" spans="1:10" ht="15.75">
      <c r="A46" s="523" t="s">
        <v>303</v>
      </c>
      <c r="B46" s="522" t="str">
        <f>CONCATENATE("Maximum levy for budget year ",J1,", including debt service, not requiring 'notice of vote publication.'")</f>
        <v>Maximum levy for budget year 2015, including debt service, not requiring 'notice of vote publication.'</v>
      </c>
      <c r="C46" s="522"/>
      <c r="D46" s="522"/>
      <c r="E46" s="522"/>
      <c r="F46" s="522"/>
      <c r="G46" s="522"/>
      <c r="H46" s="522"/>
      <c r="I46" s="522"/>
      <c r="J46" s="518"/>
    </row>
    <row r="47" spans="1:10" ht="19.5" thickBot="1">
      <c r="A47" s="517"/>
      <c r="B47" s="521" t="s">
        <v>304</v>
      </c>
      <c r="C47" s="517"/>
      <c r="D47" s="517"/>
      <c r="E47" s="517"/>
      <c r="F47" s="517"/>
      <c r="G47" s="517"/>
      <c r="H47" s="517"/>
      <c r="I47" s="521" t="s">
        <v>98</v>
      </c>
      <c r="J47" s="524">
        <f>J40+J44</f>
        <v>46570.465</v>
      </c>
    </row>
    <row r="48" spans="1:10" ht="19.5" thickTop="1">
      <c r="A48" s="517"/>
      <c r="B48" s="528"/>
      <c r="C48" s="517"/>
      <c r="D48" s="517"/>
      <c r="E48" s="517"/>
      <c r="F48" s="517"/>
      <c r="G48" s="517"/>
      <c r="H48" s="517"/>
      <c r="I48" s="521"/>
      <c r="J48" s="520"/>
    </row>
    <row r="49" spans="1:10" ht="18.75">
      <c r="A49" s="517"/>
      <c r="B49" s="528"/>
      <c r="C49" s="517"/>
      <c r="D49" s="517"/>
      <c r="E49" s="517"/>
      <c r="F49" s="517"/>
      <c r="G49" s="517"/>
      <c r="H49" s="517"/>
      <c r="I49" s="521"/>
      <c r="J49" s="520"/>
    </row>
    <row r="50" spans="1:10" ht="18.75">
      <c r="A50" s="506" t="str">
        <f>CONCATENATE("If the ",J1," adopted budget includes a total property tax levy exceeding the dollar amount in line 18")</f>
        <v>If the 2015 adopted budget includes a total property tax levy exceeding the dollar amount in line 18</v>
      </c>
      <c r="B50" s="506"/>
      <c r="C50" s="506"/>
      <c r="D50" s="506"/>
      <c r="E50" s="506"/>
      <c r="F50" s="506"/>
      <c r="G50" s="506"/>
      <c r="H50" s="506"/>
      <c r="I50" s="506"/>
      <c r="J50" s="506"/>
    </row>
    <row r="51" spans="1:10" ht="18.75">
      <c r="A51" s="506" t="s">
        <v>305</v>
      </c>
      <c r="B51" s="506"/>
      <c r="C51" s="506"/>
      <c r="D51" s="506"/>
      <c r="E51" s="506"/>
      <c r="F51" s="506"/>
      <c r="G51" s="506"/>
      <c r="H51" s="506"/>
      <c r="I51" s="506"/>
      <c r="J51" s="506"/>
    </row>
    <row r="52" spans="1:10" ht="15.75">
      <c r="A52" s="503" t="s">
        <v>306</v>
      </c>
      <c r="B52" s="503"/>
      <c r="C52" s="503"/>
      <c r="D52" s="503"/>
      <c r="E52" s="503"/>
      <c r="F52" s="503"/>
      <c r="G52" s="503"/>
      <c r="H52" s="503"/>
      <c r="I52" s="503"/>
      <c r="J52" s="503"/>
    </row>
    <row r="53" spans="1:10" ht="15.75" customHeight="1">
      <c r="A53" s="503" t="s">
        <v>309</v>
      </c>
      <c r="B53" s="503"/>
      <c r="C53" s="503"/>
      <c r="D53" s="503"/>
      <c r="E53" s="503"/>
      <c r="F53" s="503"/>
      <c r="G53" s="503"/>
      <c r="H53" s="503"/>
      <c r="I53" s="503"/>
      <c r="J53" s="503"/>
    </row>
    <row r="54" spans="1:10" ht="15.75" customHeight="1">
      <c r="A54" s="501" t="s">
        <v>379</v>
      </c>
      <c r="B54" s="502"/>
      <c r="C54" s="502"/>
      <c r="D54" s="502"/>
      <c r="E54" s="502"/>
      <c r="F54" s="502"/>
      <c r="G54" s="498"/>
      <c r="H54" s="498"/>
      <c r="I54" s="498"/>
      <c r="J54" s="498"/>
    </row>
  </sheetData>
  <sheetProtection/>
  <mergeCells count="8">
    <mergeCell ref="A54:J54"/>
    <mergeCell ref="A53:J53"/>
    <mergeCell ref="A52:J52"/>
    <mergeCell ref="A3:J3"/>
    <mergeCell ref="E4:G4"/>
    <mergeCell ref="A9:J9"/>
    <mergeCell ref="A51:J51"/>
    <mergeCell ref="A50:J50"/>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A32" sqref="A32:G32"/>
    </sheetView>
  </sheetViews>
  <sheetFormatPr defaultColWidth="8.796875" defaultRowHeight="15"/>
  <cols>
    <col min="1" max="1" width="8.8984375" style="5" customWidth="1"/>
    <col min="2" max="2" width="17.8984375" style="5" customWidth="1"/>
    <col min="3" max="3" width="15.296875" style="5" customWidth="1"/>
    <col min="4" max="7" width="10.69921875" style="5" customWidth="1"/>
    <col min="8" max="16384" width="8.8984375" style="5" customWidth="1"/>
  </cols>
  <sheetData>
    <row r="1" spans="1:7" ht="15.75">
      <c r="A1" s="384"/>
      <c r="B1" s="128" t="str">
        <f>inputPrYr!D2</f>
        <v>City of Buffalo</v>
      </c>
      <c r="C1" s="128"/>
      <c r="D1" s="4"/>
      <c r="E1" s="4"/>
      <c r="F1" s="4"/>
      <c r="G1" s="4"/>
    </row>
    <row r="2" spans="1:7" ht="15.75">
      <c r="A2" s="384"/>
      <c r="B2" s="4"/>
      <c r="C2" s="4"/>
      <c r="D2" s="4"/>
      <c r="E2" s="4"/>
      <c r="F2" s="4"/>
      <c r="G2" s="4">
        <f>inputPrYr!$C$5</f>
        <v>2015</v>
      </c>
    </row>
    <row r="3" spans="1:7" ht="15.75">
      <c r="A3" s="384"/>
      <c r="B3" s="504" t="s">
        <v>289</v>
      </c>
      <c r="C3" s="504"/>
      <c r="D3" s="504"/>
      <c r="E3" s="504"/>
      <c r="F3" s="504"/>
      <c r="G3" s="4"/>
    </row>
    <row r="4" spans="1:7" ht="15.75">
      <c r="A4" s="384"/>
      <c r="B4" s="4"/>
      <c r="C4" s="140"/>
      <c r="D4" s="141"/>
      <c r="E4" s="141"/>
      <c r="F4" s="4"/>
      <c r="G4" s="4"/>
    </row>
    <row r="5" spans="1:7" ht="21" customHeight="1">
      <c r="A5" s="384"/>
      <c r="B5" s="142" t="s">
        <v>178</v>
      </c>
      <c r="C5" s="143" t="s">
        <v>261</v>
      </c>
      <c r="D5" s="507" t="str">
        <f>CONCATENATE("Allocation for Year ",G2,"")</f>
        <v>Allocation for Year 2015</v>
      </c>
      <c r="E5" s="508"/>
      <c r="F5" s="476"/>
      <c r="G5" s="385"/>
    </row>
    <row r="6" spans="1:7" ht="15.75">
      <c r="A6" s="384"/>
      <c r="B6" s="144" t="str">
        <f>CONCATENATE("for ",G2-1,"")</f>
        <v>for 2014</v>
      </c>
      <c r="C6" s="144" t="str">
        <f>CONCATENATE("Amount for ",G2-2,"")</f>
        <v>Amount for 2013</v>
      </c>
      <c r="D6" s="107" t="s">
        <v>91</v>
      </c>
      <c r="E6" s="107" t="s">
        <v>92</v>
      </c>
      <c r="F6" s="107" t="s">
        <v>90</v>
      </c>
      <c r="G6" s="387"/>
    </row>
    <row r="7" spans="1:7" ht="15.75">
      <c r="A7" s="384"/>
      <c r="B7" s="46" t="str">
        <f>(inputPrYr!B17)</f>
        <v>General</v>
      </c>
      <c r="C7" s="110">
        <f>(inputPrYr!E17)</f>
        <v>45031</v>
      </c>
      <c r="D7" s="110">
        <f>IF(inputOth!E39=0,0,D22-SUM(D8:D19))</f>
        <v>9858</v>
      </c>
      <c r="E7" s="110">
        <f>IF(inputOth!E40=0,0,E23-SUM(E8:E19))</f>
        <v>232</v>
      </c>
      <c r="F7" s="110">
        <f>IF(inputOth!E41=0,0,F24-SUM(F8:F19))</f>
        <v>0</v>
      </c>
      <c r="G7" s="385"/>
    </row>
    <row r="8" spans="1:7" ht="15.75">
      <c r="A8" s="384"/>
      <c r="B8" s="46" t="str">
        <f>IF(inputPrYr!$B18&gt;"  ",(inputPrYr!$B18),"  ")</f>
        <v>G.O. Bond &amp; Interest</v>
      </c>
      <c r="C8" s="110" t="str">
        <f>IF(inputPrYr!$E18&gt;0,(inputPrYr!$E18),"  ")</f>
        <v>  </v>
      </c>
      <c r="D8" s="110" t="str">
        <f>IF(inputPrYr!E18&gt;0,ROUND(C8*$D$27,0),"  ")</f>
        <v>  </v>
      </c>
      <c r="E8" s="110" t="str">
        <f>IF(inputPrYr!E18&gt;0,ROUND(+C8*E$28,0)," ")</f>
        <v> </v>
      </c>
      <c r="F8" s="110" t="str">
        <f>IF(inputPrYr!E18&gt;0,ROUND(+C8*F$29,0)," ")</f>
        <v> </v>
      </c>
      <c r="G8" s="385"/>
    </row>
    <row r="9" spans="1:7" ht="15.75">
      <c r="A9" s="384"/>
      <c r="B9" s="46" t="str">
        <f>IF(inputPrYr!$B19&gt;"  ",(inputPrYr!$B19),"  ")</f>
        <v>G.O. Sewer B &amp; I</v>
      </c>
      <c r="C9" s="110" t="str">
        <f>IF(inputPrYr!$E19&gt;0,(inputPrYr!$E19),"  ")</f>
        <v>  </v>
      </c>
      <c r="D9" s="110" t="str">
        <f>IF(inputPrYr!E19&gt;0,ROUND(C9*$D$27,0),"  ")</f>
        <v>  </v>
      </c>
      <c r="E9" s="110" t="str">
        <f>IF(inputPrYr!E19&gt;0,ROUND(+C9*E$28,0)," ")</f>
        <v> </v>
      </c>
      <c r="F9" s="110" t="str">
        <f>IF(inputPrYr!E19&gt;0,ROUND(+C9*F$29,0)," ")</f>
        <v> </v>
      </c>
      <c r="G9" s="385"/>
    </row>
    <row r="10" spans="1:7" ht="15.75">
      <c r="A10" s="384"/>
      <c r="B10" s="46" t="str">
        <f>IF(inputPrYr!$B21&gt;"  ",(inputPrYr!$B21),"  ")</f>
        <v>  </v>
      </c>
      <c r="C10" s="110" t="str">
        <f>IF(inputPrYr!$E21&gt;0,(inputPrYr!$E21),"  ")</f>
        <v>  </v>
      </c>
      <c r="D10" s="110" t="str">
        <f>IF(inputPrYr!E21&gt;0,ROUND(C10*$D$27,0),"  ")</f>
        <v>  </v>
      </c>
      <c r="E10" s="110" t="str">
        <f>IF(inputPrYr!E21&gt;0,ROUND(+C10*E$28,0)," ")</f>
        <v> </v>
      </c>
      <c r="F10" s="110" t="str">
        <f>IF(inputPrYr!E21&gt;0,ROUND(+C10*F$29,0)," ")</f>
        <v> </v>
      </c>
      <c r="G10" s="385"/>
    </row>
    <row r="11" spans="1:7" ht="15.75">
      <c r="A11" s="384"/>
      <c r="B11" s="46" t="str">
        <f>IF(inputPrYr!$B22&gt;"  ",(inputPrYr!$B22),"  ")</f>
        <v>  </v>
      </c>
      <c r="C11" s="110" t="str">
        <f>IF(inputPrYr!$E22&gt;0,(inputPrYr!$E22),"  ")</f>
        <v>  </v>
      </c>
      <c r="D11" s="110" t="str">
        <f>IF(inputPrYr!E22&gt;0,ROUND(C11*$D$27,0),"  ")</f>
        <v>  </v>
      </c>
      <c r="E11" s="110" t="str">
        <f>IF(inputPrYr!E22&gt;0,ROUND(+C11*E$28,0)," ")</f>
        <v> </v>
      </c>
      <c r="F11" s="110" t="str">
        <f>IF(inputPrYr!E22&gt;0,ROUND(+C11*F$29,0)," ")</f>
        <v> </v>
      </c>
      <c r="G11" s="385"/>
    </row>
    <row r="12" spans="1:7" ht="15.75">
      <c r="A12" s="384"/>
      <c r="B12" s="46" t="str">
        <f>IF(inputPrYr!$B23&gt;"  ",(inputPrYr!$B23),"  ")</f>
        <v>  </v>
      </c>
      <c r="C12" s="110" t="str">
        <f>IF(inputPrYr!$E23&gt;0,(inputPrYr!$E23),"  ")</f>
        <v>  </v>
      </c>
      <c r="D12" s="110" t="str">
        <f>IF(inputPrYr!E23&gt;0,ROUND(C12*$D$27,0),"  ")</f>
        <v>  </v>
      </c>
      <c r="E12" s="110" t="str">
        <f>IF(inputPrYr!E23&gt;0,ROUND(+C12*E$28,0)," ")</f>
        <v> </v>
      </c>
      <c r="F12" s="110" t="str">
        <f>IF(inputPrYr!E23&gt;0,ROUND(+C12*F$29,0)," ")</f>
        <v> </v>
      </c>
      <c r="G12" s="385"/>
    </row>
    <row r="13" spans="1:7" ht="15.75">
      <c r="A13" s="384"/>
      <c r="B13" s="46" t="str">
        <f>IF(inputPrYr!$B24&gt;"  ",(inputPrYr!$B24),"  ")</f>
        <v>  </v>
      </c>
      <c r="C13" s="110" t="str">
        <f>IF(inputPrYr!$E24&gt;0,(inputPrYr!$E24),"  ")</f>
        <v>  </v>
      </c>
      <c r="D13" s="110" t="str">
        <f>IF(inputPrYr!E24&gt;0,ROUND(C13*$D$27,0),"  ")</f>
        <v>  </v>
      </c>
      <c r="E13" s="110" t="str">
        <f>IF(inputPrYr!E24&gt;0,ROUND(+C13*E$28,0)," ")</f>
        <v> </v>
      </c>
      <c r="F13" s="110" t="str">
        <f>IF(inputPrYr!E24&gt;0,ROUND(+C13*F$29,0)," ")</f>
        <v> </v>
      </c>
      <c r="G13" s="385"/>
    </row>
    <row r="14" spans="1:7" ht="15.75">
      <c r="A14" s="384"/>
      <c r="B14" s="46" t="str">
        <f>IF(inputPrYr!$B25&gt;"  ",(inputPrYr!$B25),"  ")</f>
        <v>  </v>
      </c>
      <c r="C14" s="110" t="str">
        <f>IF(inputPrYr!$E25&gt;0,(inputPrYr!$E25),"  ")</f>
        <v>  </v>
      </c>
      <c r="D14" s="110" t="str">
        <f>IF(inputPrYr!E25&gt;0,ROUND(C14*$D$27,0),"  ")</f>
        <v>  </v>
      </c>
      <c r="E14" s="110" t="str">
        <f>IF(inputPrYr!E25&gt;0,ROUND(+C14*E$28,0)," ")</f>
        <v> </v>
      </c>
      <c r="F14" s="110" t="str">
        <f>IF(inputPrYr!E25&gt;0,ROUND(+C14*F$29,0)," ")</f>
        <v> </v>
      </c>
      <c r="G14" s="385"/>
    </row>
    <row r="15" spans="1:7" ht="15.75">
      <c r="A15" s="384"/>
      <c r="B15" s="46" t="str">
        <f>IF(inputPrYr!$B26&gt;"  ",(inputPrYr!$B26),"  ")</f>
        <v>  </v>
      </c>
      <c r="C15" s="110" t="str">
        <f>IF(inputPrYr!$E26&gt;0,(inputPrYr!$E26),"  ")</f>
        <v>  </v>
      </c>
      <c r="D15" s="110" t="str">
        <f>IF(inputPrYr!E26&gt;0,ROUND(C15*$D$27,0),"  ")</f>
        <v>  </v>
      </c>
      <c r="E15" s="110" t="str">
        <f>IF(inputPrYr!E26&gt;0,ROUND(+C15*E$28,0)," ")</f>
        <v> </v>
      </c>
      <c r="F15" s="110" t="str">
        <f>IF(inputPrYr!E26&gt;0,ROUND(+C15*F$29,0)," ")</f>
        <v> </v>
      </c>
      <c r="G15" s="385"/>
    </row>
    <row r="16" spans="1:7" ht="15.75">
      <c r="A16" s="384"/>
      <c r="B16" s="46" t="str">
        <f>IF(inputPrYr!$B27&gt;"  ",(inputPrYr!$B27),"  ")</f>
        <v>  </v>
      </c>
      <c r="C16" s="110" t="str">
        <f>IF(inputPrYr!$E27&gt;0,(inputPrYr!$E27),"  ")</f>
        <v>  </v>
      </c>
      <c r="D16" s="110" t="str">
        <f>IF(inputPrYr!E27&gt;0,ROUND(C16*$D$27,0),"  ")</f>
        <v>  </v>
      </c>
      <c r="E16" s="110" t="str">
        <f>IF(inputPrYr!E27&gt;0,ROUND(+C16*E$28,0)," ")</f>
        <v> </v>
      </c>
      <c r="F16" s="110" t="str">
        <f>IF(inputPrYr!E27&gt;0,ROUND(+C16*F$29,0)," ")</f>
        <v> </v>
      </c>
      <c r="G16" s="385"/>
    </row>
    <row r="17" spans="1:7" ht="15.75">
      <c r="A17" s="384"/>
      <c r="B17" s="46" t="str">
        <f>IF(inputPrYr!$B28&gt;"  ",(inputPrYr!$B28),"  ")</f>
        <v>  </v>
      </c>
      <c r="C17" s="110" t="str">
        <f>IF(inputPrYr!$E28&gt;0,(inputPrYr!$E28),"  ")</f>
        <v>  </v>
      </c>
      <c r="D17" s="110" t="str">
        <f>IF(inputPrYr!E28&gt;0,ROUND(C17*$D$27,0),"  ")</f>
        <v>  </v>
      </c>
      <c r="E17" s="110" t="str">
        <f>IF(inputPrYr!E28&gt;0,ROUND(+C17*E$28,0)," ")</f>
        <v> </v>
      </c>
      <c r="F17" s="110" t="str">
        <f>IF(inputPrYr!E28&gt;0,ROUND(+C17*F$29,0)," ")</f>
        <v> </v>
      </c>
      <c r="G17" s="385"/>
    </row>
    <row r="18" spans="1:7" ht="15.75">
      <c r="A18" s="384"/>
      <c r="B18" s="46" t="str">
        <f>IF(inputPrYr!$B29&gt;"  ",(inputPrYr!$B29),"  ")</f>
        <v>  </v>
      </c>
      <c r="C18" s="110" t="str">
        <f>IF(inputPrYr!$E29&gt;0,(inputPrYr!$E29),"  ")</f>
        <v>  </v>
      </c>
      <c r="D18" s="110" t="str">
        <f>IF(inputPrYr!E29&gt;0,ROUND(C18*$D$27,0),"  ")</f>
        <v>  </v>
      </c>
      <c r="E18" s="110" t="str">
        <f>IF(inputPrYr!E29&gt;0,ROUND(+C18*E$28,0)," ")</f>
        <v> </v>
      </c>
      <c r="F18" s="110" t="str">
        <f>IF(inputPrYr!E29&gt;0,ROUND(+C18*F$29,0)," ")</f>
        <v> </v>
      </c>
      <c r="G18" s="385"/>
    </row>
    <row r="19" spans="1:7" ht="15.75">
      <c r="A19" s="384"/>
      <c r="B19" s="46" t="str">
        <f>IF(inputPrYr!$B30&gt;"  ",(inputPrYr!$B30),"  ")</f>
        <v>  </v>
      </c>
      <c r="C19" s="110" t="str">
        <f>IF(inputPrYr!$E30&gt;0,(inputPrYr!$E30),"  ")</f>
        <v>  </v>
      </c>
      <c r="D19" s="110" t="str">
        <f>IF(inputPrYr!E30&gt;0,ROUND(C19*$D$27,0),"  ")</f>
        <v>  </v>
      </c>
      <c r="E19" s="110" t="str">
        <f>IF(inputPrYr!E30&gt;0,ROUND(+C19*E$28,0)," ")</f>
        <v> </v>
      </c>
      <c r="F19" s="110" t="str">
        <f>IF(inputPrYr!E30&gt;0,ROUND(+C19*F$29,0)," ")</f>
        <v> </v>
      </c>
      <c r="G19" s="385"/>
    </row>
    <row r="20" spans="1:7" ht="15.75">
      <c r="A20" s="384"/>
      <c r="B20" s="386" t="s">
        <v>19</v>
      </c>
      <c r="C20" s="116">
        <f>SUM(C7:C19)</f>
        <v>45031</v>
      </c>
      <c r="D20" s="116">
        <f>SUM(D7:D19)</f>
        <v>9858</v>
      </c>
      <c r="E20" s="116">
        <f>SUM(E7:E19)</f>
        <v>232</v>
      </c>
      <c r="F20" s="116">
        <f>SUM(F7:F19)</f>
        <v>0</v>
      </c>
      <c r="G20" s="385"/>
    </row>
    <row r="21" spans="1:7" ht="15.75">
      <c r="A21" s="384"/>
      <c r="B21" s="4"/>
      <c r="C21" s="4"/>
      <c r="D21" s="4"/>
      <c r="E21" s="4"/>
      <c r="F21" s="4"/>
      <c r="G21" s="4"/>
    </row>
    <row r="22" spans="1:7" ht="15.75">
      <c r="A22" s="384"/>
      <c r="B22" s="7" t="s">
        <v>20</v>
      </c>
      <c r="C22" s="145"/>
      <c r="D22" s="146">
        <f>(inputOth!E39)</f>
        <v>9858</v>
      </c>
      <c r="E22" s="145"/>
      <c r="F22" s="4"/>
      <c r="G22" s="4"/>
    </row>
    <row r="23" spans="1:7" ht="15.75">
      <c r="A23" s="384"/>
      <c r="B23" s="7" t="s">
        <v>21</v>
      </c>
      <c r="C23" s="4"/>
      <c r="D23" s="4"/>
      <c r="E23" s="146">
        <f>(inputOth!E40)</f>
        <v>232</v>
      </c>
      <c r="F23" s="4"/>
      <c r="G23" s="4"/>
    </row>
    <row r="24" spans="1:7" ht="15.75">
      <c r="A24" s="384"/>
      <c r="B24" s="7" t="s">
        <v>93</v>
      </c>
      <c r="C24" s="4"/>
      <c r="D24" s="4"/>
      <c r="E24" s="4"/>
      <c r="F24" s="146">
        <f>inputOth!E41</f>
        <v>0</v>
      </c>
      <c r="G24" s="4"/>
    </row>
    <row r="25" spans="1:7" ht="15.75">
      <c r="A25" s="384"/>
      <c r="B25" s="39"/>
      <c r="C25" s="38"/>
      <c r="D25" s="38"/>
      <c r="E25" s="38"/>
      <c r="F25" s="147"/>
      <c r="G25" s="36"/>
    </row>
    <row r="26" spans="1:7" ht="15.75">
      <c r="A26" s="384"/>
      <c r="B26" s="7"/>
      <c r="C26" s="4"/>
      <c r="D26" s="4"/>
      <c r="E26" s="4"/>
      <c r="F26" s="147"/>
      <c r="G26" s="4"/>
    </row>
    <row r="27" spans="1:7" ht="15.75">
      <c r="A27" s="384"/>
      <c r="B27" s="7" t="s">
        <v>22</v>
      </c>
      <c r="C27" s="4"/>
      <c r="D27" s="148">
        <f>IF(C20=0,0,D22/C20)</f>
        <v>0.21891585796451332</v>
      </c>
      <c r="E27" s="4"/>
      <c r="F27" s="4"/>
      <c r="G27" s="4"/>
    </row>
    <row r="28" spans="1:7" ht="15.75">
      <c r="A28" s="384"/>
      <c r="B28" s="4"/>
      <c r="C28" s="7" t="s">
        <v>23</v>
      </c>
      <c r="D28" s="4"/>
      <c r="E28" s="148">
        <f>IF(C20=0,0,E23/C20)</f>
        <v>0.005152006395594147</v>
      </c>
      <c r="F28" s="4"/>
      <c r="G28" s="4"/>
    </row>
    <row r="29" spans="1:7" ht="15.75">
      <c r="A29" s="384"/>
      <c r="B29" s="4"/>
      <c r="C29" s="4"/>
      <c r="D29" s="7" t="s">
        <v>94</v>
      </c>
      <c r="E29" s="4"/>
      <c r="F29" s="148">
        <f>IF(F24=0,0,F24/C20)</f>
        <v>0</v>
      </c>
      <c r="G29" s="4"/>
    </row>
    <row r="30" spans="1:7" ht="15.75">
      <c r="A30" s="384"/>
      <c r="B30" s="4"/>
      <c r="C30" s="4"/>
      <c r="D30" s="4"/>
      <c r="E30" s="4"/>
      <c r="F30" s="4"/>
      <c r="G30" s="4"/>
    </row>
    <row r="31" spans="1:7" ht="15" customHeight="1">
      <c r="A31" s="384"/>
      <c r="B31" s="63"/>
      <c r="C31" s="63"/>
      <c r="D31" s="63"/>
      <c r="E31" s="63"/>
      <c r="F31" s="63"/>
      <c r="G31" s="63"/>
    </row>
    <row r="32" spans="1:7" ht="15" customHeight="1">
      <c r="A32" s="501" t="s">
        <v>379</v>
      </c>
      <c r="B32" s="498"/>
      <c r="C32" s="498"/>
      <c r="D32" s="498"/>
      <c r="E32" s="498"/>
      <c r="F32" s="498"/>
      <c r="G32" s="498"/>
    </row>
    <row r="33" s="149" customFormat="1"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mergeCells count="3">
    <mergeCell ref="B3:F3"/>
    <mergeCell ref="D5:F5"/>
    <mergeCell ref="A32:G32"/>
  </mergeCells>
  <printOptions/>
  <pageMargins left="0.5" right="0.5" top="0.5" bottom="0" header="0.25" footer="0"/>
  <pageSetup blackAndWhite="1" fitToHeight="1" fitToWidth="1" horizontalDpi="120" verticalDpi="120" orientation="portrait" scale="88" r:id="rId1"/>
  <headerFooter alignWithMargins="0">
    <oddHeader>&amp;RState of Kansas
City
</oddHeader>
    <oddFooter>&amp;CPage No. 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4"/>
  <sheetViews>
    <sheetView zoomScalePageLayoutView="0" workbookViewId="0" topLeftCell="A1">
      <selection activeCell="E11" sqref="E11"/>
    </sheetView>
  </sheetViews>
  <sheetFormatPr defaultColWidth="8.796875" defaultRowHeight="15"/>
  <cols>
    <col min="1" max="1" width="14.69921875" style="1" customWidth="1"/>
    <col min="2" max="2" width="33.69921875" style="1" customWidth="1"/>
    <col min="3" max="6" width="12.69921875" style="1" customWidth="1"/>
    <col min="7" max="16384" width="8.8984375" style="1" customWidth="1"/>
  </cols>
  <sheetData>
    <row r="1" spans="1:6" ht="15.75">
      <c r="A1" s="62" t="str">
        <f>inputPrYr!D2</f>
        <v>City of Buffalo</v>
      </c>
      <c r="B1" s="62"/>
      <c r="C1" s="64"/>
      <c r="D1" s="64"/>
      <c r="E1" s="64"/>
      <c r="F1" s="64">
        <f>inputPrYr!$C$5</f>
        <v>2015</v>
      </c>
    </row>
    <row r="2" spans="1:6" ht="15.75">
      <c r="A2" s="64"/>
      <c r="B2" s="64"/>
      <c r="C2" s="64"/>
      <c r="D2" s="64"/>
      <c r="E2" s="64"/>
      <c r="F2" s="64"/>
    </row>
    <row r="3" spans="1:6" ht="15.75">
      <c r="A3" s="505" t="s">
        <v>134</v>
      </c>
      <c r="B3" s="505"/>
      <c r="C3" s="505"/>
      <c r="D3" s="505"/>
      <c r="E3" s="505"/>
      <c r="F3" s="505"/>
    </row>
    <row r="4" spans="1:6" ht="15.75">
      <c r="A4" s="150"/>
      <c r="B4" s="150"/>
      <c r="C4" s="150"/>
      <c r="D4" s="150"/>
      <c r="E4" s="150"/>
      <c r="F4" s="150"/>
    </row>
    <row r="5" spans="1:6" ht="15.75">
      <c r="A5" s="151" t="s">
        <v>234</v>
      </c>
      <c r="B5" s="151" t="s">
        <v>236</v>
      </c>
      <c r="C5" s="151" t="s">
        <v>43</v>
      </c>
      <c r="D5" s="151" t="s">
        <v>139</v>
      </c>
      <c r="E5" s="151" t="s">
        <v>140</v>
      </c>
      <c r="F5" s="151" t="s">
        <v>171</v>
      </c>
    </row>
    <row r="6" spans="1:6" ht="15.75">
      <c r="A6" s="152" t="s">
        <v>235</v>
      </c>
      <c r="B6" s="152" t="s">
        <v>237</v>
      </c>
      <c r="C6" s="152" t="s">
        <v>172</v>
      </c>
      <c r="D6" s="152" t="s">
        <v>172</v>
      </c>
      <c r="E6" s="152" t="s">
        <v>172</v>
      </c>
      <c r="F6" s="152" t="s">
        <v>173</v>
      </c>
    </row>
    <row r="7" spans="1:6" ht="15" customHeight="1">
      <c r="A7" s="153" t="s">
        <v>174</v>
      </c>
      <c r="B7" s="153" t="s">
        <v>175</v>
      </c>
      <c r="C7" s="154">
        <f>F1-2</f>
        <v>2013</v>
      </c>
      <c r="D7" s="154">
        <f>F1-1</f>
        <v>2014</v>
      </c>
      <c r="E7" s="154">
        <f>F1</f>
        <v>2015</v>
      </c>
      <c r="F7" s="153" t="s">
        <v>176</v>
      </c>
    </row>
    <row r="8" spans="1:6" ht="14.25" customHeight="1">
      <c r="A8" s="155" t="s">
        <v>315</v>
      </c>
      <c r="B8" s="155" t="s">
        <v>322</v>
      </c>
      <c r="C8" s="375">
        <v>22217.04</v>
      </c>
      <c r="D8" s="375">
        <v>22217</v>
      </c>
      <c r="E8" s="375">
        <v>22217</v>
      </c>
      <c r="F8" s="155" t="s">
        <v>326</v>
      </c>
    </row>
    <row r="9" spans="1:6" ht="15" customHeight="1">
      <c r="A9" s="156" t="s">
        <v>315</v>
      </c>
      <c r="B9" s="156" t="s">
        <v>323</v>
      </c>
      <c r="C9" s="376">
        <v>11163</v>
      </c>
      <c r="D9" s="376">
        <v>11163</v>
      </c>
      <c r="E9" s="376">
        <v>11163</v>
      </c>
      <c r="F9" s="156" t="s">
        <v>326</v>
      </c>
    </row>
    <row r="10" spans="1:6" ht="15" customHeight="1">
      <c r="A10" s="156" t="s">
        <v>315</v>
      </c>
      <c r="B10" s="156" t="s">
        <v>324</v>
      </c>
      <c r="C10" s="376">
        <v>5000</v>
      </c>
      <c r="D10" s="376">
        <v>5000</v>
      </c>
      <c r="E10" s="376">
        <v>5000</v>
      </c>
      <c r="F10" s="156" t="s">
        <v>387</v>
      </c>
    </row>
    <row r="11" spans="1:6" ht="15" customHeight="1">
      <c r="A11" s="156" t="s">
        <v>316</v>
      </c>
      <c r="B11" s="156" t="s">
        <v>325</v>
      </c>
      <c r="C11" s="376">
        <v>18052.08</v>
      </c>
      <c r="D11" s="376">
        <v>18052</v>
      </c>
      <c r="E11" s="376">
        <v>18052</v>
      </c>
      <c r="F11" s="156" t="s">
        <v>326</v>
      </c>
    </row>
    <row r="12" spans="1:6" ht="15" customHeight="1">
      <c r="A12" s="156" t="s">
        <v>214</v>
      </c>
      <c r="B12" s="156" t="s">
        <v>324</v>
      </c>
      <c r="C12" s="376">
        <v>0</v>
      </c>
      <c r="D12" s="376">
        <v>5000</v>
      </c>
      <c r="E12" s="376">
        <v>5000</v>
      </c>
      <c r="F12" s="156" t="s">
        <v>386</v>
      </c>
    </row>
    <row r="13" spans="1:6" ht="15" customHeight="1">
      <c r="A13" s="156"/>
      <c r="B13" s="156"/>
      <c r="C13" s="376"/>
      <c r="D13" s="376"/>
      <c r="E13" s="376"/>
      <c r="F13" s="156"/>
    </row>
    <row r="14" spans="1:6" ht="15" customHeight="1">
      <c r="A14" s="156"/>
      <c r="B14" s="156"/>
      <c r="C14" s="376"/>
      <c r="D14" s="376"/>
      <c r="E14" s="376"/>
      <c r="F14" s="156"/>
    </row>
    <row r="15" spans="1:6" ht="15" customHeight="1">
      <c r="A15" s="156"/>
      <c r="B15" s="156"/>
      <c r="C15" s="376"/>
      <c r="D15" s="376"/>
      <c r="E15" s="376"/>
      <c r="F15" s="156"/>
    </row>
    <row r="16" spans="1:6" ht="15" customHeight="1">
      <c r="A16" s="156"/>
      <c r="B16" s="156"/>
      <c r="C16" s="376"/>
      <c r="D16" s="376"/>
      <c r="E16" s="376"/>
      <c r="F16" s="156"/>
    </row>
    <row r="17" spans="1:6" ht="15" customHeight="1">
      <c r="A17" s="156"/>
      <c r="B17" s="156"/>
      <c r="C17" s="376"/>
      <c r="D17" s="376"/>
      <c r="E17" s="376"/>
      <c r="F17" s="156"/>
    </row>
    <row r="18" spans="1:6" ht="15" customHeight="1">
      <c r="A18" s="156"/>
      <c r="B18" s="156"/>
      <c r="C18" s="376"/>
      <c r="D18" s="376"/>
      <c r="E18" s="376"/>
      <c r="F18" s="156"/>
    </row>
    <row r="19" spans="1:6" ht="15" customHeight="1">
      <c r="A19" s="156"/>
      <c r="B19" s="156"/>
      <c r="C19" s="376"/>
      <c r="D19" s="376"/>
      <c r="E19" s="376"/>
      <c r="F19" s="156"/>
    </row>
    <row r="20" spans="1:6" ht="15" customHeight="1">
      <c r="A20" s="156"/>
      <c r="B20" s="156"/>
      <c r="C20" s="376"/>
      <c r="D20" s="376"/>
      <c r="E20" s="376"/>
      <c r="F20" s="156"/>
    </row>
    <row r="21" spans="1:6" ht="15" customHeight="1">
      <c r="A21" s="156"/>
      <c r="B21" s="156"/>
      <c r="C21" s="376"/>
      <c r="D21" s="376"/>
      <c r="E21" s="376"/>
      <c r="F21" s="156"/>
    </row>
    <row r="22" spans="1:6" ht="15" customHeight="1">
      <c r="A22" s="156"/>
      <c r="B22" s="156"/>
      <c r="C22" s="376"/>
      <c r="D22" s="376"/>
      <c r="E22" s="376"/>
      <c r="F22" s="156"/>
    </row>
    <row r="23" spans="1:6" ht="15" customHeight="1">
      <c r="A23" s="156"/>
      <c r="B23" s="156"/>
      <c r="C23" s="376"/>
      <c r="D23" s="376"/>
      <c r="E23" s="376"/>
      <c r="F23" s="156"/>
    </row>
    <row r="24" spans="1:6" ht="15" customHeight="1">
      <c r="A24" s="156"/>
      <c r="B24" s="156"/>
      <c r="C24" s="376"/>
      <c r="D24" s="376"/>
      <c r="E24" s="376"/>
      <c r="F24" s="156"/>
    </row>
    <row r="25" spans="1:6" ht="15" customHeight="1">
      <c r="A25" s="156"/>
      <c r="B25" s="156"/>
      <c r="C25" s="376"/>
      <c r="D25" s="376"/>
      <c r="E25" s="376"/>
      <c r="F25" s="156"/>
    </row>
    <row r="26" spans="1:6" ht="15" customHeight="1">
      <c r="A26" s="157"/>
      <c r="B26" s="158" t="s">
        <v>12</v>
      </c>
      <c r="C26" s="374">
        <f>SUM(C8:C25)</f>
        <v>56432.12</v>
      </c>
      <c r="D26" s="374">
        <f>SUM(D8:D25)</f>
        <v>61432</v>
      </c>
      <c r="E26" s="374">
        <f>SUM(E8:E25)</f>
        <v>61432</v>
      </c>
      <c r="F26" s="157"/>
    </row>
    <row r="27" spans="1:6" ht="15" customHeight="1">
      <c r="A27" s="157"/>
      <c r="B27" s="160" t="s">
        <v>238</v>
      </c>
      <c r="C27" s="115"/>
      <c r="D27" s="156"/>
      <c r="E27" s="156"/>
      <c r="F27" s="157"/>
    </row>
    <row r="28" spans="1:6" ht="15" customHeight="1">
      <c r="A28" s="157"/>
      <c r="B28" s="158" t="s">
        <v>177</v>
      </c>
      <c r="C28" s="374">
        <f>C26</f>
        <v>56432.12</v>
      </c>
      <c r="D28" s="374">
        <f>SUM(D26-D27)</f>
        <v>61432</v>
      </c>
      <c r="E28" s="374">
        <f>SUM(E26-E27)</f>
        <v>61432</v>
      </c>
      <c r="F28" s="157"/>
    </row>
    <row r="29" spans="1:6" ht="15" customHeight="1">
      <c r="A29" s="56"/>
      <c r="B29" s="56"/>
      <c r="C29" s="56"/>
      <c r="D29" s="56"/>
      <c r="E29" s="56"/>
      <c r="F29" s="56"/>
    </row>
    <row r="30" spans="1:6" ht="15" customHeight="1">
      <c r="A30" s="56"/>
      <c r="B30" s="56"/>
      <c r="C30" s="56"/>
      <c r="D30" s="56"/>
      <c r="E30" s="56"/>
      <c r="F30" s="56"/>
    </row>
    <row r="31" spans="1:6" ht="21.75" customHeight="1">
      <c r="A31" s="276" t="s">
        <v>233</v>
      </c>
      <c r="B31" s="277" t="str">
        <f>CONCATENATE("Adjustments are required only if the transfer is being made in ",D7," and/or ",E7," from a non-budgeted fund.")</f>
        <v>Adjustments are required only if the transfer is being made in 2014 and/or 2015 from a non-budgeted fund.</v>
      </c>
      <c r="C31" s="56"/>
      <c r="D31" s="56"/>
      <c r="E31" s="56"/>
      <c r="F31" s="56"/>
    </row>
    <row r="32" ht="15" customHeight="1"/>
    <row r="34" spans="1:6" ht="15.75">
      <c r="A34" s="501" t="s">
        <v>379</v>
      </c>
      <c r="B34" s="498"/>
      <c r="C34" s="498"/>
      <c r="D34" s="498"/>
      <c r="E34" s="498"/>
      <c r="F34" s="498"/>
    </row>
  </sheetData>
  <sheetProtection/>
  <mergeCells count="2">
    <mergeCell ref="A3:F3"/>
    <mergeCell ref="A34:F34"/>
  </mergeCells>
  <printOptions/>
  <pageMargins left="1" right="1" top="1" bottom="1" header="0.5" footer="0.5"/>
  <pageSetup blackAndWhite="1" fitToHeight="1" fitToWidth="1" horizontalDpi="600" verticalDpi="600" orientation="portrait" scale="65" r:id="rId1"/>
  <headerFooter alignWithMargins="0">
    <oddHeader>&amp;RState of Kansans
City</oddHeader>
    <oddFooter>&amp;CPage No. 4</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AC48"/>
  <sheetViews>
    <sheetView zoomScale="75" zoomScaleNormal="75" zoomScalePageLayoutView="0" workbookViewId="0" topLeftCell="A13">
      <selection activeCell="G23" sqref="G23"/>
    </sheetView>
  </sheetViews>
  <sheetFormatPr defaultColWidth="8.796875" defaultRowHeight="15"/>
  <cols>
    <col min="1" max="1" width="4.59765625" style="5" customWidth="1"/>
    <col min="2" max="2" width="20.69921875" style="5" customWidth="1"/>
    <col min="3" max="3" width="9.296875" style="5" customWidth="1"/>
    <col min="4" max="4" width="9.09765625" style="5" customWidth="1"/>
    <col min="5" max="5" width="8.69921875" style="5" customWidth="1"/>
    <col min="6" max="6" width="12.69921875" style="5" customWidth="1"/>
    <col min="7" max="7" width="13.69921875" style="5" customWidth="1"/>
    <col min="8" max="9" width="9.296875" style="5" customWidth="1"/>
    <col min="10" max="13" width="9.69921875" style="5" customWidth="1"/>
    <col min="14" max="16384" width="8.8984375" style="5" customWidth="1"/>
  </cols>
  <sheetData>
    <row r="1" spans="2:13" ht="18.75" customHeight="1">
      <c r="B1" s="128" t="str">
        <f>inputPrYr!$D$2</f>
        <v>City of Buffalo</v>
      </c>
      <c r="C1" s="4"/>
      <c r="D1" s="4"/>
      <c r="E1" s="4"/>
      <c r="F1" s="4"/>
      <c r="G1" s="4"/>
      <c r="H1" s="4"/>
      <c r="I1" s="4"/>
      <c r="J1" s="4"/>
      <c r="K1" s="4"/>
      <c r="L1" s="4"/>
      <c r="M1" s="161">
        <f>inputPrYr!$C$5</f>
        <v>2015</v>
      </c>
    </row>
    <row r="2" spans="2:13" ht="15.75">
      <c r="B2" s="128"/>
      <c r="C2" s="4"/>
      <c r="D2" s="4"/>
      <c r="E2" s="4"/>
      <c r="F2" s="4"/>
      <c r="G2" s="4"/>
      <c r="H2" s="4"/>
      <c r="I2" s="4"/>
      <c r="J2" s="4"/>
      <c r="K2" s="4"/>
      <c r="L2" s="4"/>
      <c r="M2" s="124"/>
    </row>
    <row r="3" spans="2:13" ht="15.75">
      <c r="B3" s="162" t="s">
        <v>89</v>
      </c>
      <c r="C3" s="11"/>
      <c r="D3" s="11"/>
      <c r="E3" s="11"/>
      <c r="F3" s="11"/>
      <c r="G3" s="11"/>
      <c r="H3" s="11"/>
      <c r="I3" s="11"/>
      <c r="J3" s="11"/>
      <c r="K3" s="11"/>
      <c r="L3" s="11"/>
      <c r="M3" s="11"/>
    </row>
    <row r="4" spans="2:13" ht="15.75">
      <c r="B4" s="4"/>
      <c r="C4" s="163"/>
      <c r="D4" s="163"/>
      <c r="E4" s="163"/>
      <c r="F4" s="163"/>
      <c r="G4" s="163"/>
      <c r="H4" s="163"/>
      <c r="I4" s="163"/>
      <c r="J4" s="163"/>
      <c r="K4" s="163"/>
      <c r="L4" s="163"/>
      <c r="M4" s="163"/>
    </row>
    <row r="5" spans="2:13" ht="15.75">
      <c r="B5" s="111"/>
      <c r="C5" s="142" t="s">
        <v>58</v>
      </c>
      <c r="D5" s="142" t="s">
        <v>58</v>
      </c>
      <c r="E5" s="142" t="s">
        <v>72</v>
      </c>
      <c r="F5" s="142"/>
      <c r="G5" s="142" t="s">
        <v>166</v>
      </c>
      <c r="H5" s="4"/>
      <c r="I5" s="4"/>
      <c r="J5" s="164" t="s">
        <v>59</v>
      </c>
      <c r="K5" s="165"/>
      <c r="L5" s="164" t="s">
        <v>59</v>
      </c>
      <c r="M5" s="165"/>
    </row>
    <row r="6" spans="2:13" ht="15.75">
      <c r="B6" s="105" t="s">
        <v>271</v>
      </c>
      <c r="C6" s="105" t="s">
        <v>60</v>
      </c>
      <c r="D6" s="105" t="s">
        <v>167</v>
      </c>
      <c r="E6" s="105" t="s">
        <v>61</v>
      </c>
      <c r="F6" s="105" t="s">
        <v>17</v>
      </c>
      <c r="G6" s="105" t="s">
        <v>168</v>
      </c>
      <c r="H6" s="443" t="s">
        <v>62</v>
      </c>
      <c r="I6" s="444"/>
      <c r="J6" s="412">
        <f>M1-1</f>
        <v>2014</v>
      </c>
      <c r="K6" s="348"/>
      <c r="L6" s="412">
        <f>M1</f>
        <v>2015</v>
      </c>
      <c r="M6" s="348"/>
    </row>
    <row r="7" spans="2:13" ht="15.75">
      <c r="B7" s="108" t="s">
        <v>272</v>
      </c>
      <c r="C7" s="108" t="s">
        <v>63</v>
      </c>
      <c r="D7" s="108" t="s">
        <v>169</v>
      </c>
      <c r="E7" s="108" t="s">
        <v>39</v>
      </c>
      <c r="F7" s="108" t="s">
        <v>64</v>
      </c>
      <c r="G7" s="166" t="str">
        <f>CONCATENATE("Jan 1,",M1-1,"")</f>
        <v>Jan 1,2014</v>
      </c>
      <c r="H7" s="115" t="s">
        <v>72</v>
      </c>
      <c r="I7" s="115" t="s">
        <v>74</v>
      </c>
      <c r="J7" s="115" t="s">
        <v>72</v>
      </c>
      <c r="K7" s="115" t="s">
        <v>74</v>
      </c>
      <c r="L7" s="115" t="s">
        <v>72</v>
      </c>
      <c r="M7" s="115" t="s">
        <v>74</v>
      </c>
    </row>
    <row r="8" spans="2:13" ht="15.75">
      <c r="B8" s="167" t="s">
        <v>65</v>
      </c>
      <c r="C8" s="26"/>
      <c r="D8" s="26"/>
      <c r="E8" s="168"/>
      <c r="F8" s="169"/>
      <c r="G8" s="169"/>
      <c r="H8" s="26"/>
      <c r="I8" s="26"/>
      <c r="J8" s="169"/>
      <c r="K8" s="169"/>
      <c r="L8" s="169"/>
      <c r="M8" s="169"/>
    </row>
    <row r="9" spans="2:13" ht="15.75">
      <c r="B9" s="541" t="s">
        <v>327</v>
      </c>
      <c r="C9" s="542"/>
      <c r="D9" s="542"/>
      <c r="E9" s="543"/>
      <c r="F9" s="544"/>
      <c r="G9" s="172"/>
      <c r="H9" s="173"/>
      <c r="I9" s="173"/>
      <c r="J9" s="172"/>
      <c r="K9" s="172"/>
      <c r="L9" s="172"/>
      <c r="M9" s="172"/>
    </row>
    <row r="10" spans="2:13" ht="15.75">
      <c r="B10" s="541" t="s">
        <v>328</v>
      </c>
      <c r="C10" s="542">
        <v>36881</v>
      </c>
      <c r="D10" s="542">
        <v>14966</v>
      </c>
      <c r="E10" s="543">
        <v>4.88</v>
      </c>
      <c r="F10" s="544">
        <v>315800</v>
      </c>
      <c r="G10" s="172">
        <v>268500</v>
      </c>
      <c r="H10" s="545" t="s">
        <v>329</v>
      </c>
      <c r="I10" s="545">
        <v>40168</v>
      </c>
      <c r="J10" s="172">
        <v>13089</v>
      </c>
      <c r="K10" s="172">
        <v>5000</v>
      </c>
      <c r="L10" s="172">
        <v>12846</v>
      </c>
      <c r="M10" s="172">
        <v>5200</v>
      </c>
    </row>
    <row r="11" spans="2:13" ht="15.75">
      <c r="B11" s="31"/>
      <c r="C11" s="279"/>
      <c r="D11" s="279"/>
      <c r="E11" s="170"/>
      <c r="F11" s="171"/>
      <c r="G11" s="172"/>
      <c r="H11" s="173"/>
      <c r="I11" s="173"/>
      <c r="J11" s="172"/>
      <c r="K11" s="172"/>
      <c r="L11" s="172"/>
      <c r="M11" s="172"/>
    </row>
    <row r="12" spans="2:13" ht="15.75">
      <c r="B12" s="31"/>
      <c r="C12" s="279"/>
      <c r="D12" s="279"/>
      <c r="E12" s="170"/>
      <c r="F12" s="171"/>
      <c r="G12" s="172"/>
      <c r="H12" s="173"/>
      <c r="I12" s="173"/>
      <c r="J12" s="172"/>
      <c r="K12" s="172"/>
      <c r="L12" s="172"/>
      <c r="M12" s="172"/>
    </row>
    <row r="13" spans="2:13" ht="15.75">
      <c r="B13" s="31"/>
      <c r="C13" s="279"/>
      <c r="D13" s="279"/>
      <c r="E13" s="170"/>
      <c r="F13" s="171"/>
      <c r="G13" s="172"/>
      <c r="H13" s="173"/>
      <c r="I13" s="173"/>
      <c r="J13" s="172"/>
      <c r="K13" s="172"/>
      <c r="L13" s="172"/>
      <c r="M13" s="172"/>
    </row>
    <row r="14" spans="2:13" ht="15.75">
      <c r="B14" s="31"/>
      <c r="C14" s="279"/>
      <c r="D14" s="279"/>
      <c r="E14" s="170"/>
      <c r="F14" s="171"/>
      <c r="G14" s="172"/>
      <c r="H14" s="173"/>
      <c r="I14" s="173"/>
      <c r="J14" s="172"/>
      <c r="K14" s="172"/>
      <c r="L14" s="172"/>
      <c r="M14" s="172"/>
    </row>
    <row r="15" spans="2:13" ht="15.75">
      <c r="B15" s="31"/>
      <c r="C15" s="279"/>
      <c r="D15" s="279"/>
      <c r="E15" s="170"/>
      <c r="F15" s="171"/>
      <c r="G15" s="172"/>
      <c r="H15" s="173"/>
      <c r="I15" s="173"/>
      <c r="J15" s="172"/>
      <c r="K15" s="172"/>
      <c r="L15" s="172"/>
      <c r="M15" s="172"/>
    </row>
    <row r="16" spans="2:13" ht="15.75">
      <c r="B16" s="31"/>
      <c r="C16" s="279"/>
      <c r="D16" s="279"/>
      <c r="E16" s="170"/>
      <c r="F16" s="171"/>
      <c r="G16" s="172"/>
      <c r="H16" s="173"/>
      <c r="I16" s="173"/>
      <c r="J16" s="172"/>
      <c r="K16" s="172"/>
      <c r="L16" s="172"/>
      <c r="M16" s="172"/>
    </row>
    <row r="17" spans="2:13" ht="15.75">
      <c r="B17" s="31"/>
      <c r="C17" s="279"/>
      <c r="D17" s="279"/>
      <c r="E17" s="170"/>
      <c r="F17" s="171"/>
      <c r="G17" s="172"/>
      <c r="H17" s="173"/>
      <c r="I17" s="173"/>
      <c r="J17" s="172"/>
      <c r="K17" s="172"/>
      <c r="L17" s="172"/>
      <c r="M17" s="172"/>
    </row>
    <row r="18" spans="2:13" ht="15.75">
      <c r="B18" s="31"/>
      <c r="C18" s="279"/>
      <c r="D18" s="279"/>
      <c r="E18" s="170"/>
      <c r="F18" s="171"/>
      <c r="G18" s="172"/>
      <c r="H18" s="173"/>
      <c r="I18" s="173"/>
      <c r="J18" s="172"/>
      <c r="K18" s="172"/>
      <c r="L18" s="172"/>
      <c r="M18" s="172"/>
    </row>
    <row r="19" spans="2:13" ht="15.75">
      <c r="B19" s="31"/>
      <c r="C19" s="279"/>
      <c r="D19" s="279"/>
      <c r="E19" s="170"/>
      <c r="F19" s="171"/>
      <c r="G19" s="172"/>
      <c r="H19" s="173"/>
      <c r="I19" s="173"/>
      <c r="J19" s="172"/>
      <c r="K19" s="172"/>
      <c r="L19" s="172"/>
      <c r="M19" s="172"/>
    </row>
    <row r="20" spans="2:13" ht="15.75">
      <c r="B20" s="174" t="s">
        <v>66</v>
      </c>
      <c r="C20" s="175"/>
      <c r="D20" s="175"/>
      <c r="E20" s="176"/>
      <c r="F20" s="177"/>
      <c r="G20" s="178">
        <f>SUM(G9:G19)</f>
        <v>268500</v>
      </c>
      <c r="H20" s="179"/>
      <c r="I20" s="179"/>
      <c r="J20" s="178">
        <f>SUM(J9:J19)</f>
        <v>13089</v>
      </c>
      <c r="K20" s="178">
        <f>SUM(K9:K19)</f>
        <v>5000</v>
      </c>
      <c r="L20" s="178">
        <f>SUM(L9:L19)</f>
        <v>12846</v>
      </c>
      <c r="M20" s="178">
        <f>SUM(M9:M19)</f>
        <v>5200</v>
      </c>
    </row>
    <row r="21" spans="2:13" ht="15.75">
      <c r="B21" s="167" t="s">
        <v>67</v>
      </c>
      <c r="C21" s="180"/>
      <c r="D21" s="180"/>
      <c r="E21" s="181"/>
      <c r="F21" s="159"/>
      <c r="G21" s="159"/>
      <c r="H21" s="182"/>
      <c r="I21" s="182"/>
      <c r="J21" s="159"/>
      <c r="K21" s="159"/>
      <c r="L21" s="159"/>
      <c r="M21" s="159"/>
    </row>
    <row r="22" spans="2:13" ht="15.75">
      <c r="B22" s="541" t="s">
        <v>330</v>
      </c>
      <c r="C22" s="542">
        <v>30522</v>
      </c>
      <c r="D22" s="542">
        <v>45132</v>
      </c>
      <c r="E22" s="543">
        <v>5</v>
      </c>
      <c r="F22" s="544">
        <v>373000</v>
      </c>
      <c r="G22" s="172">
        <v>175000</v>
      </c>
      <c r="H22" s="545">
        <v>40019</v>
      </c>
      <c r="I22" s="545">
        <v>40019</v>
      </c>
      <c r="J22" s="172">
        <v>8750</v>
      </c>
      <c r="K22" s="172">
        <v>14000</v>
      </c>
      <c r="L22" s="172">
        <v>8050</v>
      </c>
      <c r="M22" s="172">
        <v>14000</v>
      </c>
    </row>
    <row r="23" spans="2:13" ht="15.75">
      <c r="B23" s="31"/>
      <c r="C23" s="279"/>
      <c r="D23" s="279"/>
      <c r="E23" s="170"/>
      <c r="F23" s="171"/>
      <c r="G23" s="172"/>
      <c r="H23" s="173"/>
      <c r="I23" s="173"/>
      <c r="J23" s="172"/>
      <c r="K23" s="172"/>
      <c r="L23" s="172"/>
      <c r="M23" s="172"/>
    </row>
    <row r="24" spans="2:13" ht="15.75">
      <c r="B24" s="31"/>
      <c r="C24" s="279"/>
      <c r="D24" s="279"/>
      <c r="E24" s="170"/>
      <c r="F24" s="171"/>
      <c r="G24" s="172"/>
      <c r="H24" s="173"/>
      <c r="I24" s="173"/>
      <c r="J24" s="172"/>
      <c r="K24" s="172"/>
      <c r="L24" s="172"/>
      <c r="M24" s="172"/>
    </row>
    <row r="25" spans="2:13" ht="15.75">
      <c r="B25" s="31"/>
      <c r="C25" s="279"/>
      <c r="D25" s="279"/>
      <c r="E25" s="170"/>
      <c r="F25" s="171"/>
      <c r="G25" s="172"/>
      <c r="H25" s="173"/>
      <c r="I25" s="173"/>
      <c r="J25" s="172"/>
      <c r="K25" s="172"/>
      <c r="L25" s="172"/>
      <c r="M25" s="172"/>
    </row>
    <row r="26" spans="2:13" ht="15.75">
      <c r="B26" s="31"/>
      <c r="C26" s="279"/>
      <c r="D26" s="279"/>
      <c r="E26" s="170"/>
      <c r="F26" s="171"/>
      <c r="G26" s="172"/>
      <c r="H26" s="173"/>
      <c r="I26" s="173"/>
      <c r="J26" s="172"/>
      <c r="K26" s="172"/>
      <c r="L26" s="172"/>
      <c r="M26" s="172"/>
    </row>
    <row r="27" spans="2:13" ht="15.75">
      <c r="B27" s="31"/>
      <c r="C27" s="279"/>
      <c r="D27" s="279"/>
      <c r="E27" s="170"/>
      <c r="F27" s="171"/>
      <c r="G27" s="172"/>
      <c r="H27" s="173"/>
      <c r="I27" s="173"/>
      <c r="J27" s="172"/>
      <c r="K27" s="172"/>
      <c r="L27" s="172"/>
      <c r="M27" s="172"/>
    </row>
    <row r="28" spans="2:13" ht="15.75">
      <c r="B28" s="31"/>
      <c r="C28" s="279"/>
      <c r="D28" s="279"/>
      <c r="E28" s="170"/>
      <c r="F28" s="171"/>
      <c r="G28" s="172"/>
      <c r="H28" s="173"/>
      <c r="I28" s="173"/>
      <c r="J28" s="172"/>
      <c r="K28" s="172"/>
      <c r="L28" s="172"/>
      <c r="M28" s="172"/>
    </row>
    <row r="29" spans="2:13" ht="15.75">
      <c r="B29" s="31"/>
      <c r="C29" s="279"/>
      <c r="D29" s="279"/>
      <c r="E29" s="170"/>
      <c r="F29" s="171"/>
      <c r="G29" s="172"/>
      <c r="H29" s="173"/>
      <c r="I29" s="173"/>
      <c r="J29" s="172"/>
      <c r="K29" s="172"/>
      <c r="L29" s="172"/>
      <c r="M29" s="172"/>
    </row>
    <row r="30" spans="2:13" ht="15.75">
      <c r="B30" s="31"/>
      <c r="C30" s="279"/>
      <c r="D30" s="279"/>
      <c r="E30" s="170"/>
      <c r="F30" s="171"/>
      <c r="G30" s="172"/>
      <c r="H30" s="173"/>
      <c r="I30" s="173"/>
      <c r="J30" s="172"/>
      <c r="K30" s="172"/>
      <c r="L30" s="172"/>
      <c r="M30" s="172"/>
    </row>
    <row r="31" spans="2:13" ht="15.75">
      <c r="B31" s="31"/>
      <c r="C31" s="279"/>
      <c r="D31" s="279"/>
      <c r="E31" s="170"/>
      <c r="F31" s="171"/>
      <c r="G31" s="172"/>
      <c r="H31" s="173"/>
      <c r="I31" s="173"/>
      <c r="J31" s="172"/>
      <c r="K31" s="172"/>
      <c r="L31" s="172"/>
      <c r="M31" s="172"/>
    </row>
    <row r="32" spans="2:13" ht="15.75">
      <c r="B32" s="174" t="s">
        <v>68</v>
      </c>
      <c r="C32" s="175"/>
      <c r="D32" s="175"/>
      <c r="E32" s="183"/>
      <c r="F32" s="177"/>
      <c r="G32" s="184">
        <f>SUM(G22:G31)</f>
        <v>175000</v>
      </c>
      <c r="H32" s="179"/>
      <c r="I32" s="179"/>
      <c r="J32" s="184">
        <f>SUM(J22:J31)</f>
        <v>8750</v>
      </c>
      <c r="K32" s="184">
        <f>SUM(K22:K31)</f>
        <v>14000</v>
      </c>
      <c r="L32" s="178">
        <f>SUM(L22:L31)</f>
        <v>8050</v>
      </c>
      <c r="M32" s="184">
        <f>SUM(M22:M31)</f>
        <v>14000</v>
      </c>
    </row>
    <row r="33" spans="2:13" ht="15.75">
      <c r="B33" s="167" t="s">
        <v>69</v>
      </c>
      <c r="C33" s="180"/>
      <c r="D33" s="180"/>
      <c r="E33" s="181"/>
      <c r="F33" s="159"/>
      <c r="G33" s="185"/>
      <c r="H33" s="182"/>
      <c r="I33" s="182"/>
      <c r="J33" s="159"/>
      <c r="K33" s="159"/>
      <c r="L33" s="159"/>
      <c r="M33" s="159"/>
    </row>
    <row r="34" spans="2:13" ht="15.75">
      <c r="B34" s="31" t="s">
        <v>331</v>
      </c>
      <c r="C34" s="279"/>
      <c r="D34" s="279"/>
      <c r="E34" s="170"/>
      <c r="F34" s="171"/>
      <c r="G34" s="172"/>
      <c r="H34" s="173"/>
      <c r="I34" s="173"/>
      <c r="J34" s="172"/>
      <c r="K34" s="172"/>
      <c r="L34" s="172"/>
      <c r="M34" s="172"/>
    </row>
    <row r="35" spans="2:13" ht="15.75">
      <c r="B35" s="31"/>
      <c r="C35" s="279"/>
      <c r="D35" s="279"/>
      <c r="E35" s="170"/>
      <c r="F35" s="171"/>
      <c r="G35" s="172"/>
      <c r="H35" s="173"/>
      <c r="I35" s="173"/>
      <c r="J35" s="172"/>
      <c r="K35" s="172"/>
      <c r="L35" s="172"/>
      <c r="M35" s="172"/>
    </row>
    <row r="36" spans="2:13" ht="15.75">
      <c r="B36" s="31"/>
      <c r="C36" s="279"/>
      <c r="D36" s="279"/>
      <c r="E36" s="170"/>
      <c r="F36" s="171"/>
      <c r="G36" s="172"/>
      <c r="H36" s="173"/>
      <c r="I36" s="173"/>
      <c r="J36" s="172"/>
      <c r="K36" s="172"/>
      <c r="L36" s="172"/>
      <c r="M36" s="172"/>
    </row>
    <row r="37" spans="2:13" ht="15.75">
      <c r="B37" s="31"/>
      <c r="C37" s="279"/>
      <c r="D37" s="279"/>
      <c r="E37" s="170"/>
      <c r="F37" s="171"/>
      <c r="G37" s="172"/>
      <c r="H37" s="173"/>
      <c r="I37" s="173"/>
      <c r="J37" s="172"/>
      <c r="K37" s="172"/>
      <c r="L37" s="172"/>
      <c r="M37" s="172"/>
    </row>
    <row r="38" spans="2:13" ht="15.75">
      <c r="B38" s="31"/>
      <c r="C38" s="279"/>
      <c r="D38" s="279"/>
      <c r="E38" s="170"/>
      <c r="F38" s="171"/>
      <c r="G38" s="172"/>
      <c r="H38" s="173"/>
      <c r="I38" s="173"/>
      <c r="J38" s="172"/>
      <c r="K38" s="172"/>
      <c r="L38" s="172"/>
      <c r="M38" s="172"/>
    </row>
    <row r="39" spans="2:13" ht="15.75">
      <c r="B39" s="31"/>
      <c r="C39" s="279"/>
      <c r="D39" s="279"/>
      <c r="E39" s="170"/>
      <c r="F39" s="171"/>
      <c r="G39" s="172"/>
      <c r="H39" s="173"/>
      <c r="I39" s="173"/>
      <c r="J39" s="172"/>
      <c r="K39" s="172"/>
      <c r="L39" s="172"/>
      <c r="M39" s="172"/>
    </row>
    <row r="40" spans="2:13" ht="15.75">
      <c r="B40" s="31"/>
      <c r="C40" s="279"/>
      <c r="D40" s="279"/>
      <c r="E40" s="170"/>
      <c r="F40" s="171"/>
      <c r="G40" s="172"/>
      <c r="H40" s="173"/>
      <c r="I40" s="173"/>
      <c r="J40" s="172"/>
      <c r="K40" s="172"/>
      <c r="L40" s="172"/>
      <c r="M40" s="172"/>
    </row>
    <row r="41" spans="2:29" ht="15.75">
      <c r="B41" s="31"/>
      <c r="C41" s="279"/>
      <c r="D41" s="279"/>
      <c r="E41" s="170"/>
      <c r="F41" s="171"/>
      <c r="G41" s="172"/>
      <c r="H41" s="173"/>
      <c r="I41" s="173"/>
      <c r="J41" s="172"/>
      <c r="K41" s="172"/>
      <c r="L41" s="172"/>
      <c r="M41" s="172"/>
      <c r="N41" s="1"/>
      <c r="O41" s="1"/>
      <c r="P41" s="1"/>
      <c r="Q41" s="1"/>
      <c r="R41" s="1"/>
      <c r="S41" s="1"/>
      <c r="T41" s="1"/>
      <c r="U41" s="1"/>
      <c r="V41" s="1"/>
      <c r="W41" s="1"/>
      <c r="X41" s="1"/>
      <c r="Y41" s="1"/>
      <c r="Z41" s="1"/>
      <c r="AA41" s="1"/>
      <c r="AB41" s="1"/>
      <c r="AC41" s="1"/>
    </row>
    <row r="42" spans="2:13" ht="15.75">
      <c r="B42" s="174" t="s">
        <v>170</v>
      </c>
      <c r="C42" s="158"/>
      <c r="D42" s="158"/>
      <c r="E42" s="183"/>
      <c r="F42" s="177"/>
      <c r="G42" s="184">
        <f>SUM(G34:G41)</f>
        <v>0</v>
      </c>
      <c r="H42" s="177"/>
      <c r="I42" s="177"/>
      <c r="J42" s="184">
        <f>SUM(J34:J41)</f>
        <v>0</v>
      </c>
      <c r="K42" s="184">
        <f>SUM(K34:K41)</f>
        <v>0</v>
      </c>
      <c r="L42" s="184">
        <f>SUM(L34:L41)</f>
        <v>0</v>
      </c>
      <c r="M42" s="184">
        <f>SUM(M34:M41)</f>
        <v>0</v>
      </c>
    </row>
    <row r="43" spans="2:13" ht="15.75">
      <c r="B43" s="174" t="s">
        <v>70</v>
      </c>
      <c r="C43" s="158"/>
      <c r="D43" s="158"/>
      <c r="E43" s="158"/>
      <c r="F43" s="177"/>
      <c r="G43" s="184">
        <f>SUM(G20+G32+G42)</f>
        <v>443500</v>
      </c>
      <c r="H43" s="177"/>
      <c r="I43" s="177"/>
      <c r="J43" s="184">
        <f>SUM(J20+J32+J42)</f>
        <v>21839</v>
      </c>
      <c r="K43" s="184">
        <f>SUM(K20+K32+K42)</f>
        <v>19000</v>
      </c>
      <c r="L43" s="184">
        <f>SUM(L20+L32+L42)</f>
        <v>20896</v>
      </c>
      <c r="M43" s="184">
        <f>SUM(M20+M32+M42)</f>
        <v>19200</v>
      </c>
    </row>
    <row r="44" spans="2:13" ht="15.75">
      <c r="B44" s="572" t="s">
        <v>379</v>
      </c>
      <c r="C44" s="573"/>
      <c r="D44" s="573"/>
      <c r="E44" s="573"/>
      <c r="F44" s="573"/>
      <c r="G44" s="573"/>
      <c r="H44" s="573"/>
      <c r="I44" s="573"/>
      <c r="J44" s="573"/>
      <c r="K44" s="573"/>
      <c r="L44" s="573"/>
      <c r="M44" s="573"/>
    </row>
    <row r="45" spans="6:13" ht="15.75">
      <c r="F45" s="186"/>
      <c r="G45" s="186"/>
      <c r="J45" s="186"/>
      <c r="K45" s="186"/>
      <c r="L45" s="186"/>
      <c r="M45" s="186"/>
    </row>
    <row r="46" spans="6:14" ht="15.75">
      <c r="F46" s="1"/>
      <c r="H46" s="187"/>
      <c r="N46" s="1"/>
    </row>
    <row r="47" spans="2:13" ht="15.75">
      <c r="B47" s="1"/>
      <c r="C47" s="1"/>
      <c r="D47" s="1"/>
      <c r="E47" s="1"/>
      <c r="F47" s="1"/>
      <c r="G47" s="1"/>
      <c r="H47" s="1"/>
      <c r="I47" s="1"/>
      <c r="J47" s="1"/>
      <c r="K47" s="1"/>
      <c r="L47" s="1"/>
      <c r="M47" s="1"/>
    </row>
    <row r="48" spans="2:13" ht="15.75">
      <c r="B48" s="1"/>
      <c r="C48" s="1"/>
      <c r="D48" s="1"/>
      <c r="E48" s="1"/>
      <c r="F48" s="1"/>
      <c r="G48" s="1"/>
      <c r="H48" s="1"/>
      <c r="I48" s="1"/>
      <c r="J48" s="1"/>
      <c r="K48" s="1"/>
      <c r="L48" s="1"/>
      <c r="M48" s="1"/>
    </row>
  </sheetData>
  <sheetProtection/>
  <mergeCells count="4">
    <mergeCell ref="H6:I6"/>
    <mergeCell ref="J6:K6"/>
    <mergeCell ref="L6:M6"/>
    <mergeCell ref="B44:M44"/>
  </mergeCells>
  <printOptions/>
  <pageMargins left="0.25" right="0.25" top="1" bottom="0.5" header="0.5" footer="0.25"/>
  <pageSetup blackAndWhite="1" fitToHeight="1" fitToWidth="1" horizontalDpi="120" verticalDpi="120" orientation="landscape" scale="77" r:id="rId1"/>
  <headerFooter alignWithMargins="0">
    <oddHeader>&amp;RState of Kansas
City
</oddHeader>
    <oddFooter>&amp;CPage No. 5</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I31"/>
  <sheetViews>
    <sheetView zoomScale="75" zoomScaleNormal="75" zoomScalePageLayoutView="0" workbookViewId="0" topLeftCell="A1">
      <selection activeCell="B31" sqref="B31:I31"/>
    </sheetView>
  </sheetViews>
  <sheetFormatPr defaultColWidth="8.796875" defaultRowHeight="15"/>
  <cols>
    <col min="1" max="1" width="10.69921875" style="5" customWidth="1"/>
    <col min="2" max="2" width="23.59765625" style="5" customWidth="1"/>
    <col min="3" max="5" width="9.69921875" style="5" customWidth="1"/>
    <col min="6" max="6" width="18.296875" style="5" customWidth="1"/>
    <col min="7" max="9" width="15.69921875" style="5" customWidth="1"/>
    <col min="10" max="16384" width="8.8984375" style="5" customWidth="1"/>
  </cols>
  <sheetData>
    <row r="1" spans="2:9" ht="15.75">
      <c r="B1" s="128" t="str">
        <f>inputPrYr!$D$2</f>
        <v>City of Buffalo</v>
      </c>
      <c r="C1" s="4"/>
      <c r="D1" s="4"/>
      <c r="E1" s="4"/>
      <c r="F1" s="4"/>
      <c r="G1" s="4"/>
      <c r="H1" s="4"/>
      <c r="I1" s="188">
        <f>inputPrYr!$C$5</f>
        <v>2015</v>
      </c>
    </row>
    <row r="2" spans="2:9" ht="15.75">
      <c r="B2" s="128"/>
      <c r="C2" s="4"/>
      <c r="D2" s="4"/>
      <c r="E2" s="4"/>
      <c r="F2" s="4"/>
      <c r="G2" s="4"/>
      <c r="H2" s="4"/>
      <c r="I2" s="124"/>
    </row>
    <row r="3" spans="2:9" ht="15.75">
      <c r="B3" s="4"/>
      <c r="C3" s="4"/>
      <c r="D3" s="4"/>
      <c r="E3" s="4"/>
      <c r="F3" s="4"/>
      <c r="G3" s="4"/>
      <c r="H3" s="4"/>
      <c r="I3" s="97"/>
    </row>
    <row r="4" spans="2:9" ht="15.75">
      <c r="B4" s="162" t="s">
        <v>83</v>
      </c>
      <c r="C4" s="11"/>
      <c r="D4" s="11"/>
      <c r="E4" s="11"/>
      <c r="F4" s="11"/>
      <c r="G4" s="11"/>
      <c r="H4" s="11"/>
      <c r="I4" s="11"/>
    </row>
    <row r="5" spans="2:9" ht="15.75">
      <c r="B5" s="33"/>
      <c r="C5" s="163"/>
      <c r="D5" s="163"/>
      <c r="E5" s="163"/>
      <c r="F5" s="163"/>
      <c r="G5" s="163"/>
      <c r="H5" s="163"/>
      <c r="I5" s="163"/>
    </row>
    <row r="6" spans="2:9" ht="15.75">
      <c r="B6" s="111"/>
      <c r="C6" s="111"/>
      <c r="D6" s="111"/>
      <c r="E6" s="111"/>
      <c r="F6" s="142" t="s">
        <v>215</v>
      </c>
      <c r="G6" s="111"/>
      <c r="H6" s="111"/>
      <c r="I6" s="111"/>
    </row>
    <row r="7" spans="2:9" ht="15.75">
      <c r="B7" s="112"/>
      <c r="C7" s="105"/>
      <c r="D7" s="105" t="s">
        <v>71</v>
      </c>
      <c r="E7" s="105" t="s">
        <v>72</v>
      </c>
      <c r="F7" s="105" t="s">
        <v>17</v>
      </c>
      <c r="G7" s="105" t="s">
        <v>74</v>
      </c>
      <c r="H7" s="105" t="s">
        <v>75</v>
      </c>
      <c r="I7" s="105" t="s">
        <v>75</v>
      </c>
    </row>
    <row r="8" spans="2:9" ht="15.75">
      <c r="B8" s="112"/>
      <c r="C8" s="105" t="s">
        <v>76</v>
      </c>
      <c r="D8" s="105" t="s">
        <v>77</v>
      </c>
      <c r="E8" s="105" t="s">
        <v>61</v>
      </c>
      <c r="F8" s="105" t="s">
        <v>78</v>
      </c>
      <c r="G8" s="105" t="s">
        <v>123</v>
      </c>
      <c r="H8" s="105" t="s">
        <v>79</v>
      </c>
      <c r="I8" s="105" t="s">
        <v>79</v>
      </c>
    </row>
    <row r="9" spans="2:9" ht="15.75">
      <c r="B9" s="108" t="s">
        <v>80</v>
      </c>
      <c r="C9" s="108" t="s">
        <v>58</v>
      </c>
      <c r="D9" s="189" t="s">
        <v>81</v>
      </c>
      <c r="E9" s="108" t="s">
        <v>39</v>
      </c>
      <c r="F9" s="189" t="s">
        <v>135</v>
      </c>
      <c r="G9" s="190" t="str">
        <f>CONCATENATE("Jan 1 ",I1-1,"")</f>
        <v>Jan 1 2014</v>
      </c>
      <c r="H9" s="108">
        <f>I1-1</f>
        <v>2014</v>
      </c>
      <c r="I9" s="108">
        <f>I1</f>
        <v>2015</v>
      </c>
    </row>
    <row r="10" spans="2:9" ht="15.75">
      <c r="B10" s="541" t="s">
        <v>332</v>
      </c>
      <c r="C10" s="546"/>
      <c r="D10" s="547"/>
      <c r="E10" s="543"/>
      <c r="F10" s="544"/>
      <c r="G10" s="171"/>
      <c r="H10" s="171"/>
      <c r="I10" s="171"/>
    </row>
    <row r="11" spans="2:9" ht="15.75">
      <c r="B11" s="541" t="s">
        <v>333</v>
      </c>
      <c r="C11" s="548">
        <v>39489</v>
      </c>
      <c r="D11" s="547">
        <v>240</v>
      </c>
      <c r="E11" s="549">
        <v>6.125</v>
      </c>
      <c r="F11" s="544">
        <v>91617</v>
      </c>
      <c r="G11" s="171">
        <v>71418</v>
      </c>
      <c r="H11" s="171">
        <v>8007</v>
      </c>
      <c r="I11" s="171">
        <v>8007</v>
      </c>
    </row>
    <row r="12" spans="2:9" ht="15.75">
      <c r="B12" s="31"/>
      <c r="C12" s="191"/>
      <c r="D12" s="192"/>
      <c r="E12" s="170"/>
      <c r="F12" s="171"/>
      <c r="G12" s="171"/>
      <c r="H12" s="171"/>
      <c r="I12" s="171"/>
    </row>
    <row r="13" spans="2:9" ht="15.75">
      <c r="B13" s="31"/>
      <c r="C13" s="191"/>
      <c r="D13" s="192"/>
      <c r="E13" s="170"/>
      <c r="F13" s="171"/>
      <c r="G13" s="171"/>
      <c r="H13" s="171"/>
      <c r="I13" s="171"/>
    </row>
    <row r="14" spans="2:9" ht="15.75">
      <c r="B14" s="31"/>
      <c r="C14" s="279"/>
      <c r="D14" s="192"/>
      <c r="E14" s="170"/>
      <c r="F14" s="171"/>
      <c r="G14" s="171"/>
      <c r="H14" s="171"/>
      <c r="I14" s="171"/>
    </row>
    <row r="15" spans="2:9" ht="15.75">
      <c r="B15" s="31"/>
      <c r="C15" s="191"/>
      <c r="D15" s="192"/>
      <c r="E15" s="170"/>
      <c r="F15" s="171"/>
      <c r="G15" s="171"/>
      <c r="H15" s="171"/>
      <c r="I15" s="171"/>
    </row>
    <row r="16" spans="2:9" ht="15.75">
      <c r="B16" s="31"/>
      <c r="C16" s="191"/>
      <c r="D16" s="192"/>
      <c r="E16" s="170"/>
      <c r="F16" s="171"/>
      <c r="G16" s="171"/>
      <c r="H16" s="171"/>
      <c r="I16" s="171"/>
    </row>
    <row r="17" spans="2:9" ht="15.75">
      <c r="B17" s="31"/>
      <c r="C17" s="191"/>
      <c r="D17" s="192"/>
      <c r="E17" s="170"/>
      <c r="F17" s="171"/>
      <c r="G17" s="171"/>
      <c r="H17" s="171"/>
      <c r="I17" s="171"/>
    </row>
    <row r="18" spans="2:9" ht="15.75">
      <c r="B18" s="31"/>
      <c r="C18" s="191"/>
      <c r="D18" s="192"/>
      <c r="E18" s="170"/>
      <c r="F18" s="171"/>
      <c r="G18" s="171"/>
      <c r="H18" s="171"/>
      <c r="I18" s="171"/>
    </row>
    <row r="19" spans="2:9" ht="15.75">
      <c r="B19" s="31"/>
      <c r="C19" s="191"/>
      <c r="D19" s="192"/>
      <c r="E19" s="170"/>
      <c r="F19" s="171"/>
      <c r="G19" s="171"/>
      <c r="H19" s="171"/>
      <c r="I19" s="171"/>
    </row>
    <row r="20" spans="2:9" ht="15.75">
      <c r="B20" s="31"/>
      <c r="C20" s="191"/>
      <c r="D20" s="192"/>
      <c r="E20" s="170"/>
      <c r="F20" s="171"/>
      <c r="G20" s="171"/>
      <c r="H20" s="171"/>
      <c r="I20" s="171"/>
    </row>
    <row r="21" spans="2:9" ht="15.75">
      <c r="B21" s="31"/>
      <c r="C21" s="191"/>
      <c r="D21" s="192"/>
      <c r="E21" s="170"/>
      <c r="F21" s="171"/>
      <c r="G21" s="171"/>
      <c r="H21" s="171"/>
      <c r="I21" s="171"/>
    </row>
    <row r="22" spans="2:9" ht="15.75">
      <c r="B22" s="31"/>
      <c r="C22" s="191"/>
      <c r="D22" s="192"/>
      <c r="E22" s="170"/>
      <c r="F22" s="171"/>
      <c r="G22" s="171"/>
      <c r="H22" s="171"/>
      <c r="I22" s="171"/>
    </row>
    <row r="23" spans="2:9" ht="15.75">
      <c r="B23" s="31"/>
      <c r="C23" s="191"/>
      <c r="D23" s="192"/>
      <c r="E23" s="170"/>
      <c r="F23" s="171"/>
      <c r="G23" s="171"/>
      <c r="H23" s="171"/>
      <c r="I23" s="171"/>
    </row>
    <row r="24" spans="2:9" ht="15.75">
      <c r="B24" s="31"/>
      <c r="C24" s="191"/>
      <c r="D24" s="192"/>
      <c r="E24" s="170"/>
      <c r="F24" s="171"/>
      <c r="G24" s="171"/>
      <c r="H24" s="171"/>
      <c r="I24" s="171"/>
    </row>
    <row r="25" spans="2:9" ht="15.75">
      <c r="B25" s="31"/>
      <c r="C25" s="191"/>
      <c r="D25" s="192"/>
      <c r="E25" s="170"/>
      <c r="F25" s="171"/>
      <c r="G25" s="171"/>
      <c r="H25" s="171"/>
      <c r="I25" s="171"/>
    </row>
    <row r="26" spans="2:9" ht="15.75">
      <c r="B26" s="31"/>
      <c r="C26" s="191"/>
      <c r="D26" s="192"/>
      <c r="E26" s="170"/>
      <c r="F26" s="171"/>
      <c r="G26" s="171"/>
      <c r="H26" s="171"/>
      <c r="I26" s="171"/>
    </row>
    <row r="27" spans="2:9" ht="15.75">
      <c r="B27" s="31"/>
      <c r="C27" s="191"/>
      <c r="D27" s="192"/>
      <c r="E27" s="170"/>
      <c r="F27" s="171"/>
      <c r="G27" s="171"/>
      <c r="H27" s="171"/>
      <c r="I27" s="171"/>
    </row>
    <row r="28" spans="2:9" ht="16.5" thickBot="1">
      <c r="B28" s="193" t="s">
        <v>12</v>
      </c>
      <c r="C28" s="127"/>
      <c r="D28" s="127"/>
      <c r="E28" s="127"/>
      <c r="F28" s="127"/>
      <c r="G28" s="194">
        <f>SUM(G10:G27)</f>
        <v>71418</v>
      </c>
      <c r="H28" s="194">
        <f>SUM(H10:H27)</f>
        <v>8007</v>
      </c>
      <c r="I28" s="194">
        <f>SUM(I10:I27)</f>
        <v>8007</v>
      </c>
    </row>
    <row r="29" spans="2:9" ht="16.5" thickTop="1">
      <c r="B29" s="4"/>
      <c r="C29" s="4"/>
      <c r="D29" s="4"/>
      <c r="E29" s="4"/>
      <c r="F29" s="4"/>
      <c r="G29" s="4"/>
      <c r="H29" s="128"/>
      <c r="I29" s="128"/>
    </row>
    <row r="30" spans="2:9" ht="15.75">
      <c r="B30" s="195" t="s">
        <v>207</v>
      </c>
      <c r="C30" s="196"/>
      <c r="D30" s="196"/>
      <c r="E30" s="196"/>
      <c r="F30" s="196"/>
      <c r="G30" s="196"/>
      <c r="H30" s="128"/>
      <c r="I30" s="128"/>
    </row>
    <row r="31" spans="2:9" ht="15.75">
      <c r="B31" s="572" t="s">
        <v>379</v>
      </c>
      <c r="C31" s="573"/>
      <c r="D31" s="573"/>
      <c r="E31" s="573"/>
      <c r="F31" s="573"/>
      <c r="G31" s="573"/>
      <c r="H31" s="573"/>
      <c r="I31" s="573"/>
    </row>
  </sheetData>
  <sheetProtection/>
  <mergeCells count="1">
    <mergeCell ref="B31:I31"/>
  </mergeCells>
  <printOptions/>
  <pageMargins left="0.25" right="0.25" top="1" bottom="0.5" header="0.5" footer="0.5"/>
  <pageSetup blackAndWhite="1" fitToHeight="1" fitToWidth="1" horizontalDpi="120" verticalDpi="120" orientation="landscape" scale="89" r:id="rId1"/>
  <headerFooter alignWithMargins="0">
    <oddHeader>&amp;RState of Kansas
City
</oddHeader>
    <oddFooter>&amp;CPage No.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Sandy</cp:lastModifiedBy>
  <cp:lastPrinted>2014-07-30T01:15:06Z</cp:lastPrinted>
  <dcterms:created xsi:type="dcterms:W3CDTF">1999-08-03T13:11:47Z</dcterms:created>
  <dcterms:modified xsi:type="dcterms:W3CDTF">2014-10-24T18:06:57Z</dcterms:modified>
  <cp:category/>
  <cp:version/>
  <cp:contentType/>
  <cp:contentStatus/>
</cp:coreProperties>
</file>