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390" windowWidth="9630" windowHeight="1980" tabRatio="858"/>
  </bookViews>
  <sheets>
    <sheet name="Instructions" sheetId="1" r:id="rId1"/>
    <sheet name="inputPrYr" sheetId="2" r:id="rId2"/>
    <sheet name="inputOth" sheetId="19" r:id="rId3"/>
    <sheet name="inputBudSum" sheetId="34" r:id="rId4"/>
    <sheet name="cert" sheetId="3" r:id="rId5"/>
    <sheet name="computation" sheetId="16" r:id="rId6"/>
    <sheet name="Mvalloc" sheetId="5" r:id="rId7"/>
    <sheet name="Transfers" sheetId="24" r:id="rId8"/>
    <sheet name="TransferStatutes" sheetId="27" r:id="rId9"/>
    <sheet name="debt" sheetId="14" r:id="rId10"/>
    <sheet name="lpform" sheetId="15" r:id="rId11"/>
    <sheet name="Library Grant" sheetId="37" r:id="rId12"/>
    <sheet name="general" sheetId="7" r:id="rId13"/>
    <sheet name="general-detail" sheetId="26" r:id="rId14"/>
    <sheet name="DebtSvs-Library" sheetId="20" r:id="rId15"/>
    <sheet name="Aquatic Park CIP Sales" sheetId="49" r:id="rId16"/>
    <sheet name="Co Infrastructure Tourism" sheetId="48" r:id="rId17"/>
    <sheet name="Drug Econ Dev" sheetId="47" r:id="rId18"/>
    <sheet name="Emer Cap &amp; EMS " sheetId="46" r:id="rId19"/>
    <sheet name="Lib Sales &amp; Park Ded" sheetId="45" r:id="rId20"/>
    <sheet name="Rec Prog Risk Mgmt" sheetId="44" r:id="rId21"/>
    <sheet name="Sen Ctr Sidewalk" sheetId="43" r:id="rId22"/>
    <sheet name="Soccer Spec Parks" sheetId="42" r:id="rId23"/>
    <sheet name="Streets Summer Ball" sheetId="41" r:id="rId24"/>
    <sheet name="Swim Pool &amp; Tiblow" sheetId="52" r:id="rId25"/>
    <sheet name="TIF Dev &amp; TIF Increment" sheetId="51" r:id="rId26"/>
    <sheet name="CID Dev Fees &amp; CID" sheetId="53" r:id="rId27"/>
    <sheet name="Ctr City Contribution" sheetId="40" r:id="rId28"/>
    <sheet name="Solid Waste &amp; Storm " sheetId="55" r:id="rId29"/>
    <sheet name="Waste Water" sheetId="54" r:id="rId30"/>
    <sheet name="Water" sheetId="11" r:id="rId31"/>
    <sheet name="nonbud" sheetId="23" r:id="rId32"/>
    <sheet name="NonBudFunds" sheetId="33" r:id="rId33"/>
    <sheet name="summ" sheetId="13" r:id="rId34"/>
    <sheet name="nhood" sheetId="25" r:id="rId35"/>
    <sheet name="Pub. Notice Option 1" sheetId="39" r:id="rId36"/>
    <sheet name="Pub. Notice Option 2" sheetId="38" r:id="rId37"/>
    <sheet name="Tab A" sheetId="28" r:id="rId38"/>
    <sheet name="Tab B" sheetId="29" r:id="rId39"/>
    <sheet name="Tab C" sheetId="30" r:id="rId40"/>
    <sheet name="Tab D" sheetId="31" r:id="rId41"/>
    <sheet name="Tab E" sheetId="32" r:id="rId42"/>
    <sheet name="Mill Rate Computation" sheetId="35" r:id="rId43"/>
    <sheet name="Helpful Links" sheetId="36" r:id="rId44"/>
    <sheet name="Legend" sheetId="22" r:id="rId45"/>
  </sheets>
  <externalReferences>
    <externalReference r:id="rId46"/>
  </externalReferences>
  <definedNames>
    <definedName name="_xlnm.Print_Area" localSheetId="14">'DebtSvs-Library'!$B$1:$E$72</definedName>
    <definedName name="_xlnm.Print_Area" localSheetId="12">general!$B$1:$E$90</definedName>
    <definedName name="_xlnm.Print_Area" localSheetId="1">inputPrYr!$A$1:$E$81</definedName>
    <definedName name="_xlnm.Print_Area" localSheetId="11">'Library Grant'!$A$1:$J$40</definedName>
    <definedName name="_xlnm.Print_Area" localSheetId="10">lpform!$B$1:$I$34</definedName>
    <definedName name="_xlnm.Print_Area" localSheetId="42">'Mill Rate Computation'!#REF!</definedName>
    <definedName name="_xlnm.Print_Area" localSheetId="33">summ!$A$1:$H$68</definedName>
  </definedNames>
  <calcPr calcId="145621"/>
</workbook>
</file>

<file path=xl/calcChain.xml><?xml version="1.0" encoding="utf-8"?>
<calcChain xmlns="http://schemas.openxmlformats.org/spreadsheetml/2006/main">
  <c r="D60" i="13" l="1"/>
  <c r="D59" i="13"/>
  <c r="D58" i="13"/>
  <c r="D57" i="13"/>
  <c r="B60" i="13"/>
  <c r="B59" i="13"/>
  <c r="B58" i="13"/>
  <c r="B57" i="13"/>
  <c r="A6" i="13"/>
  <c r="C48" i="20" l="1"/>
  <c r="D125" i="26"/>
  <c r="C69" i="7"/>
  <c r="C63" i="7"/>
  <c r="D40" i="24" l="1"/>
  <c r="E40" i="24"/>
  <c r="C40" i="24"/>
  <c r="C37" i="11"/>
  <c r="D37" i="11"/>
  <c r="C35" i="54"/>
  <c r="D35" i="54"/>
  <c r="C50" i="55"/>
  <c r="D50" i="55"/>
  <c r="D25" i="55"/>
  <c r="C25" i="55"/>
  <c r="D31" i="40"/>
  <c r="C31" i="40"/>
  <c r="D43" i="53"/>
  <c r="C43" i="53"/>
  <c r="D22" i="53"/>
  <c r="C22" i="53"/>
  <c r="D45" i="51"/>
  <c r="C45" i="51"/>
  <c r="D62" i="52"/>
  <c r="C62" i="52"/>
  <c r="D27" i="41"/>
  <c r="C27" i="41"/>
  <c r="D49" i="43"/>
  <c r="C49" i="43"/>
  <c r="D27" i="43"/>
  <c r="C27" i="43"/>
  <c r="D50" i="44"/>
  <c r="C50" i="44"/>
  <c r="D24" i="45"/>
  <c r="C24" i="45"/>
  <c r="D50" i="46"/>
  <c r="C50" i="46"/>
  <c r="D24" i="46"/>
  <c r="C24" i="46"/>
  <c r="D22" i="48"/>
  <c r="C22" i="48"/>
  <c r="D51" i="49"/>
  <c r="C51" i="49"/>
  <c r="D26" i="49"/>
  <c r="C26" i="49"/>
  <c r="D50" i="47"/>
  <c r="C50" i="47"/>
  <c r="D29" i="24"/>
  <c r="E29" i="24"/>
  <c r="C29" i="24"/>
  <c r="D21" i="24"/>
  <c r="E21" i="24"/>
  <c r="C21" i="24"/>
  <c r="D25" i="47"/>
  <c r="C25" i="47"/>
  <c r="D49" i="48"/>
  <c r="C49" i="48"/>
  <c r="J9" i="20"/>
  <c r="J10" i="20"/>
  <c r="J11" i="20"/>
  <c r="A44" i="13" l="1"/>
  <c r="A45" i="13"/>
  <c r="A46" i="13"/>
  <c r="A47" i="13"/>
  <c r="A48" i="13"/>
  <c r="A49" i="13"/>
  <c r="A39" i="13"/>
  <c r="A40" i="13"/>
  <c r="A41" i="13"/>
  <c r="A42" i="13"/>
  <c r="A43" i="13"/>
  <c r="A30" i="13"/>
  <c r="A31" i="13"/>
  <c r="A32" i="13"/>
  <c r="A33" i="13"/>
  <c r="A34" i="13"/>
  <c r="A35" i="13"/>
  <c r="A36" i="13"/>
  <c r="A37" i="13"/>
  <c r="A38" i="13"/>
  <c r="A27" i="13"/>
  <c r="A28" i="13"/>
  <c r="A29" i="13"/>
  <c r="D24" i="51" l="1"/>
  <c r="C24" i="51"/>
  <c r="C48" i="45"/>
  <c r="D48" i="45"/>
  <c r="D37" i="52"/>
  <c r="C37" i="52"/>
  <c r="D24" i="42"/>
  <c r="C24" i="42"/>
  <c r="D51" i="41"/>
  <c r="C51" i="41"/>
  <c r="D26" i="44"/>
  <c r="C26" i="44"/>
  <c r="D49" i="42"/>
  <c r="C49" i="42"/>
  <c r="A80" i="2" l="1"/>
  <c r="A79" i="2"/>
  <c r="A21" i="13" l="1"/>
  <c r="A22" i="13"/>
  <c r="A23" i="13"/>
  <c r="A24" i="13"/>
  <c r="A25" i="13"/>
  <c r="A26" i="13"/>
  <c r="B5" i="11" l="1"/>
  <c r="B5" i="54"/>
  <c r="E33" i="54"/>
  <c r="D33" i="54"/>
  <c r="C33" i="54"/>
  <c r="B47" i="13" s="1"/>
  <c r="E19" i="54"/>
  <c r="E18" i="54" s="1"/>
  <c r="D19" i="54"/>
  <c r="D18" i="54" s="1"/>
  <c r="C19" i="54"/>
  <c r="C18" i="54" s="1"/>
  <c r="E1" i="54"/>
  <c r="E5" i="54" s="1"/>
  <c r="B1" i="54"/>
  <c r="B30" i="55"/>
  <c r="B5" i="55"/>
  <c r="E48" i="55"/>
  <c r="D48" i="55"/>
  <c r="C48" i="55"/>
  <c r="E39" i="55"/>
  <c r="E38" i="55" s="1"/>
  <c r="D39" i="55"/>
  <c r="D38" i="55" s="1"/>
  <c r="C39" i="55"/>
  <c r="C40" i="55" s="1"/>
  <c r="E23" i="55"/>
  <c r="D23" i="55"/>
  <c r="C23" i="55"/>
  <c r="B45" i="13" s="1"/>
  <c r="E15" i="55"/>
  <c r="E14" i="55" s="1"/>
  <c r="D15" i="55"/>
  <c r="D14" i="55" s="1"/>
  <c r="C15" i="55"/>
  <c r="C16" i="55" s="1"/>
  <c r="E1" i="55"/>
  <c r="B50" i="55" s="1"/>
  <c r="B1" i="55"/>
  <c r="B5" i="40"/>
  <c r="B27" i="53"/>
  <c r="B5" i="53"/>
  <c r="E41" i="53"/>
  <c r="D41" i="53"/>
  <c r="C41" i="53"/>
  <c r="E34" i="53"/>
  <c r="E33" i="53" s="1"/>
  <c r="D34" i="53"/>
  <c r="D33" i="53" s="1"/>
  <c r="C34" i="53"/>
  <c r="C35" i="53" s="1"/>
  <c r="E20" i="53"/>
  <c r="D20" i="53"/>
  <c r="C20" i="53"/>
  <c r="B42" i="13" s="1"/>
  <c r="E13" i="53"/>
  <c r="E12" i="53" s="1"/>
  <c r="D13" i="53"/>
  <c r="D12" i="53" s="1"/>
  <c r="C13" i="53"/>
  <c r="C12" i="53" s="1"/>
  <c r="E1" i="53"/>
  <c r="E5" i="53" s="1"/>
  <c r="E27" i="53" s="1"/>
  <c r="B1" i="53"/>
  <c r="B29" i="51"/>
  <c r="B5" i="51"/>
  <c r="B40" i="52"/>
  <c r="B4" i="52"/>
  <c r="E43" i="51"/>
  <c r="D43" i="51"/>
  <c r="C43" i="51"/>
  <c r="E36" i="51"/>
  <c r="E35" i="51" s="1"/>
  <c r="D36" i="51"/>
  <c r="D35" i="51" s="1"/>
  <c r="C36" i="51"/>
  <c r="C37" i="51" s="1"/>
  <c r="E22" i="51"/>
  <c r="D22" i="51"/>
  <c r="D21" i="51" s="1"/>
  <c r="C22" i="51"/>
  <c r="B40" i="13" s="1"/>
  <c r="C21" i="51"/>
  <c r="E15" i="51"/>
  <c r="E14" i="51" s="1"/>
  <c r="D15" i="51"/>
  <c r="D14" i="51" s="1"/>
  <c r="C15" i="51"/>
  <c r="C14" i="51" s="1"/>
  <c r="E1" i="51"/>
  <c r="B45" i="51" s="1"/>
  <c r="B1" i="51"/>
  <c r="E60" i="52"/>
  <c r="D60" i="52"/>
  <c r="C60" i="52"/>
  <c r="E51" i="52"/>
  <c r="E50" i="52" s="1"/>
  <c r="D51" i="52"/>
  <c r="D50" i="52" s="1"/>
  <c r="C51" i="52"/>
  <c r="C52" i="52" s="1"/>
  <c r="E35" i="52"/>
  <c r="D35" i="52"/>
  <c r="C35" i="52"/>
  <c r="E26" i="52"/>
  <c r="E25" i="52" s="1"/>
  <c r="D26" i="52"/>
  <c r="D25" i="52" s="1"/>
  <c r="C26" i="52"/>
  <c r="C25" i="52" s="1"/>
  <c r="E1" i="52"/>
  <c r="C4" i="52" s="1"/>
  <c r="C40" i="52" s="1"/>
  <c r="B1" i="52"/>
  <c r="B31" i="41"/>
  <c r="B5" i="41"/>
  <c r="B28" i="42"/>
  <c r="B5" i="42"/>
  <c r="B32" i="43"/>
  <c r="B5" i="43"/>
  <c r="B31" i="44"/>
  <c r="B5" i="44"/>
  <c r="B29" i="45"/>
  <c r="B5" i="45"/>
  <c r="B29" i="46"/>
  <c r="B5" i="46"/>
  <c r="B30" i="47"/>
  <c r="B5" i="47"/>
  <c r="B27" i="48"/>
  <c r="B5" i="48"/>
  <c r="B31" i="49"/>
  <c r="B5" i="49"/>
  <c r="E29" i="40"/>
  <c r="D29" i="40"/>
  <c r="C29" i="40"/>
  <c r="B44" i="13" s="1"/>
  <c r="E15" i="40"/>
  <c r="E14" i="40" s="1"/>
  <c r="D15" i="40"/>
  <c r="D14" i="40" s="1"/>
  <c r="C15" i="40"/>
  <c r="C14" i="40" s="1"/>
  <c r="E1" i="40"/>
  <c r="B31" i="40" s="1"/>
  <c r="B1" i="40"/>
  <c r="E49" i="41"/>
  <c r="D49" i="41"/>
  <c r="C49" i="41"/>
  <c r="B37" i="13" s="1"/>
  <c r="E40" i="41"/>
  <c r="E39" i="41" s="1"/>
  <c r="D40" i="41"/>
  <c r="D39" i="41" s="1"/>
  <c r="C40" i="41"/>
  <c r="C41" i="41" s="1"/>
  <c r="E25" i="41"/>
  <c r="D25" i="41"/>
  <c r="C25" i="41"/>
  <c r="B36" i="13" s="1"/>
  <c r="E17" i="41"/>
  <c r="E16" i="41" s="1"/>
  <c r="D17" i="41"/>
  <c r="D16" i="41" s="1"/>
  <c r="C17" i="41"/>
  <c r="C16" i="41" s="1"/>
  <c r="E1" i="41"/>
  <c r="D5" i="41" s="1"/>
  <c r="D31" i="41" s="1"/>
  <c r="B1" i="41"/>
  <c r="E47" i="42"/>
  <c r="E49" i="42" s="1"/>
  <c r="D47" i="42"/>
  <c r="C47" i="42"/>
  <c r="E37" i="42"/>
  <c r="E36" i="42" s="1"/>
  <c r="D37" i="42"/>
  <c r="D36" i="42" s="1"/>
  <c r="C37" i="42"/>
  <c r="C38" i="42" s="1"/>
  <c r="E22" i="42"/>
  <c r="D22" i="42"/>
  <c r="C22" i="42"/>
  <c r="E14" i="42"/>
  <c r="E13" i="42" s="1"/>
  <c r="D14" i="42"/>
  <c r="D13" i="42" s="1"/>
  <c r="C14" i="42"/>
  <c r="C13" i="42" s="1"/>
  <c r="E1" i="42"/>
  <c r="D5" i="42" s="1"/>
  <c r="D28" i="42" s="1"/>
  <c r="B1" i="42"/>
  <c r="E47" i="43"/>
  <c r="E49" i="43" s="1"/>
  <c r="D47" i="43"/>
  <c r="C47" i="43"/>
  <c r="E40" i="43"/>
  <c r="E39" i="43" s="1"/>
  <c r="D40" i="43"/>
  <c r="D39" i="43" s="1"/>
  <c r="C40" i="43"/>
  <c r="C41" i="43" s="1"/>
  <c r="E25" i="43"/>
  <c r="D25" i="43"/>
  <c r="C25" i="43"/>
  <c r="B32" i="13" s="1"/>
  <c r="E15" i="43"/>
  <c r="E14" i="43" s="1"/>
  <c r="D15" i="43"/>
  <c r="D14" i="43" s="1"/>
  <c r="C15" i="43"/>
  <c r="C14" i="43" s="1"/>
  <c r="E1" i="43"/>
  <c r="E5" i="43" s="1"/>
  <c r="E32" i="43" s="1"/>
  <c r="B1" i="43"/>
  <c r="E48" i="44"/>
  <c r="D48" i="44"/>
  <c r="D47" i="44" s="1"/>
  <c r="C48" i="44"/>
  <c r="B31" i="13" s="1"/>
  <c r="E39" i="44"/>
  <c r="E38" i="44" s="1"/>
  <c r="D39" i="44"/>
  <c r="D38" i="44" s="1"/>
  <c r="C39" i="44"/>
  <c r="C38" i="44" s="1"/>
  <c r="E24" i="44"/>
  <c r="D24" i="44"/>
  <c r="C24" i="44"/>
  <c r="E12" i="44"/>
  <c r="E11" i="44" s="1"/>
  <c r="D12" i="44"/>
  <c r="D11" i="44" s="1"/>
  <c r="C12" i="44"/>
  <c r="C11" i="44" s="1"/>
  <c r="E1" i="44"/>
  <c r="E5" i="44" s="1"/>
  <c r="E31" i="44" s="1"/>
  <c r="B1" i="44"/>
  <c r="E46" i="45"/>
  <c r="D46" i="45"/>
  <c r="C46" i="45"/>
  <c r="B29" i="13" s="1"/>
  <c r="E37" i="45"/>
  <c r="E36" i="45" s="1"/>
  <c r="D37" i="45"/>
  <c r="D36" i="45" s="1"/>
  <c r="C37" i="45"/>
  <c r="C38" i="45" s="1"/>
  <c r="E22" i="45"/>
  <c r="D22" i="45"/>
  <c r="C22" i="45"/>
  <c r="B28" i="13" s="1"/>
  <c r="C21" i="45"/>
  <c r="E14" i="45"/>
  <c r="E13" i="45" s="1"/>
  <c r="D14" i="45"/>
  <c r="D13" i="45" s="1"/>
  <c r="C14" i="45"/>
  <c r="C13" i="45" s="1"/>
  <c r="E1" i="45"/>
  <c r="C5" i="45" s="1"/>
  <c r="C29" i="45" s="1"/>
  <c r="B1" i="45"/>
  <c r="E48" i="46"/>
  <c r="D48" i="46"/>
  <c r="C48" i="46"/>
  <c r="B27" i="13" s="1"/>
  <c r="E39" i="46"/>
  <c r="E38" i="46" s="1"/>
  <c r="D39" i="46"/>
  <c r="D38" i="46" s="1"/>
  <c r="C39" i="46"/>
  <c r="C40" i="46" s="1"/>
  <c r="E22" i="46"/>
  <c r="E24" i="46" s="1"/>
  <c r="D22" i="46"/>
  <c r="C22" i="46"/>
  <c r="B26" i="13" s="1"/>
  <c r="E14" i="46"/>
  <c r="E13" i="46" s="1"/>
  <c r="D14" i="46"/>
  <c r="D13" i="46" s="1"/>
  <c r="C14" i="46"/>
  <c r="C13" i="46" s="1"/>
  <c r="E1" i="46"/>
  <c r="D5" i="46" s="1"/>
  <c r="D29" i="46" s="1"/>
  <c r="B1" i="46"/>
  <c r="E48" i="47"/>
  <c r="E50" i="47" s="1"/>
  <c r="D48" i="47"/>
  <c r="C48" i="47"/>
  <c r="B25" i="13" s="1"/>
  <c r="E40" i="47"/>
  <c r="E39" i="47" s="1"/>
  <c r="D40" i="47"/>
  <c r="D39" i="47" s="1"/>
  <c r="C40" i="47"/>
  <c r="C41" i="47" s="1"/>
  <c r="E23" i="47"/>
  <c r="D23" i="47"/>
  <c r="C23" i="47"/>
  <c r="B24" i="13" s="1"/>
  <c r="E13" i="47"/>
  <c r="E12" i="47" s="1"/>
  <c r="D13" i="47"/>
  <c r="D12" i="47" s="1"/>
  <c r="C13" i="47"/>
  <c r="C12" i="47" s="1"/>
  <c r="E1" i="47"/>
  <c r="B25" i="47" s="1"/>
  <c r="B1" i="47"/>
  <c r="E47" i="48"/>
  <c r="E49" i="48" s="1"/>
  <c r="D47" i="48"/>
  <c r="C47" i="48"/>
  <c r="B23" i="13" s="1"/>
  <c r="E37" i="48"/>
  <c r="E36" i="48" s="1"/>
  <c r="D37" i="48"/>
  <c r="D36" i="48" s="1"/>
  <c r="C37" i="48"/>
  <c r="C38" i="48" s="1"/>
  <c r="C23" i="48"/>
  <c r="E20" i="48"/>
  <c r="D20" i="48"/>
  <c r="C20" i="48"/>
  <c r="B22" i="13" s="1"/>
  <c r="D19" i="48"/>
  <c r="E12" i="48"/>
  <c r="E11" i="48" s="1"/>
  <c r="D12" i="48"/>
  <c r="D11" i="48" s="1"/>
  <c r="C12" i="48"/>
  <c r="C11" i="48" s="1"/>
  <c r="E1" i="48"/>
  <c r="D5" i="48" s="1"/>
  <c r="D27" i="48" s="1"/>
  <c r="B1" i="48"/>
  <c r="E49" i="49"/>
  <c r="D49" i="49"/>
  <c r="C49" i="49"/>
  <c r="B21" i="13" s="1"/>
  <c r="E41" i="49"/>
  <c r="E40" i="49" s="1"/>
  <c r="D41" i="49"/>
  <c r="D40" i="49" s="1"/>
  <c r="C41" i="49"/>
  <c r="C42" i="49" s="1"/>
  <c r="E24" i="49"/>
  <c r="D24" i="49"/>
  <c r="C24" i="49"/>
  <c r="B20" i="13" s="1"/>
  <c r="C23" i="49"/>
  <c r="E15" i="49"/>
  <c r="E14" i="49" s="1"/>
  <c r="D15" i="49"/>
  <c r="D14" i="49" s="1"/>
  <c r="C15" i="49"/>
  <c r="C14" i="49" s="1"/>
  <c r="E1" i="49"/>
  <c r="E5" i="49" s="1"/>
  <c r="E31" i="49" s="1"/>
  <c r="B1" i="49"/>
  <c r="C33" i="53" l="1"/>
  <c r="C44" i="51"/>
  <c r="E24" i="51"/>
  <c r="F40" i="13"/>
  <c r="E43" i="3"/>
  <c r="C25" i="51"/>
  <c r="C16" i="51"/>
  <c r="C23" i="51" s="1"/>
  <c r="D6" i="51" s="1"/>
  <c r="D16" i="51" s="1"/>
  <c r="D23" i="51" s="1"/>
  <c r="D25" i="51"/>
  <c r="D40" i="13"/>
  <c r="D35" i="13"/>
  <c r="C21" i="42"/>
  <c r="B34" i="13"/>
  <c r="D37" i="3"/>
  <c r="D34" i="13"/>
  <c r="E21" i="42"/>
  <c r="F34" i="13"/>
  <c r="E37" i="3"/>
  <c r="B35" i="13"/>
  <c r="B50" i="44"/>
  <c r="C5" i="44"/>
  <c r="C31" i="44" s="1"/>
  <c r="B26" i="44"/>
  <c r="D5" i="44"/>
  <c r="D31" i="44" s="1"/>
  <c r="C23" i="44"/>
  <c r="B30" i="13"/>
  <c r="D27" i="44"/>
  <c r="D30" i="13"/>
  <c r="E26" i="44"/>
  <c r="F30" i="13"/>
  <c r="E33" i="3"/>
  <c r="D49" i="45"/>
  <c r="D29" i="13"/>
  <c r="E45" i="45"/>
  <c r="F29" i="13"/>
  <c r="E32" i="3"/>
  <c r="C21" i="46"/>
  <c r="C13" i="48"/>
  <c r="C21" i="48"/>
  <c r="D6" i="48" s="1"/>
  <c r="D13" i="48" s="1"/>
  <c r="D21" i="48" s="1"/>
  <c r="D23" i="48"/>
  <c r="D22" i="13"/>
  <c r="F22" i="13"/>
  <c r="C19" i="48"/>
  <c r="E22" i="48"/>
  <c r="E25" i="3"/>
  <c r="E22" i="47"/>
  <c r="F24" i="13"/>
  <c r="E27" i="3"/>
  <c r="D26" i="47"/>
  <c r="D24" i="13"/>
  <c r="C22" i="47"/>
  <c r="C26" i="47"/>
  <c r="E46" i="42"/>
  <c r="E38" i="3"/>
  <c r="F35" i="13"/>
  <c r="C32" i="54"/>
  <c r="E32" i="54"/>
  <c r="E50" i="3"/>
  <c r="F47" i="13"/>
  <c r="D50" i="3"/>
  <c r="D47" i="13"/>
  <c r="C36" i="54"/>
  <c r="C20" i="54"/>
  <c r="C34" i="54" s="1"/>
  <c r="D6" i="54" s="1"/>
  <c r="D20" i="54" s="1"/>
  <c r="D34" i="54" s="1"/>
  <c r="E50" i="55"/>
  <c r="E49" i="3"/>
  <c r="F46" i="13"/>
  <c r="D47" i="55"/>
  <c r="D46" i="13"/>
  <c r="B46" i="13"/>
  <c r="C49" i="55"/>
  <c r="D31" i="55" s="1"/>
  <c r="D40" i="55" s="1"/>
  <c r="D49" i="55" s="1"/>
  <c r="C38" i="55"/>
  <c r="C24" i="55"/>
  <c r="D6" i="55" s="1"/>
  <c r="D16" i="55" s="1"/>
  <c r="D24" i="55" s="1"/>
  <c r="F45" i="13"/>
  <c r="E48" i="3"/>
  <c r="E22" i="55"/>
  <c r="E25" i="55"/>
  <c r="D26" i="55"/>
  <c r="D45" i="13"/>
  <c r="C22" i="55"/>
  <c r="C26" i="55"/>
  <c r="C28" i="40"/>
  <c r="C16" i="40"/>
  <c r="C30" i="40" s="1"/>
  <c r="C33" i="40" s="1"/>
  <c r="E43" i="53"/>
  <c r="F43" i="13"/>
  <c r="E46" i="3"/>
  <c r="D40" i="53"/>
  <c r="D43" i="13"/>
  <c r="C44" i="53"/>
  <c r="B43" i="13"/>
  <c r="C42" i="53"/>
  <c r="D28" i="53" s="1"/>
  <c r="D35" i="53" s="1"/>
  <c r="D42" i="53" s="1"/>
  <c r="E19" i="53"/>
  <c r="E45" i="3"/>
  <c r="F42" i="13"/>
  <c r="E22" i="53"/>
  <c r="D19" i="53"/>
  <c r="D45" i="3"/>
  <c r="D42" i="13"/>
  <c r="C23" i="53"/>
  <c r="C19" i="53"/>
  <c r="C14" i="53"/>
  <c r="C21" i="53" s="1"/>
  <c r="C24" i="53" s="1"/>
  <c r="E45" i="51"/>
  <c r="E44" i="3"/>
  <c r="F41" i="13"/>
  <c r="D46" i="51"/>
  <c r="D41" i="13"/>
  <c r="C46" i="51"/>
  <c r="B41" i="13"/>
  <c r="C42" i="51"/>
  <c r="C35" i="51"/>
  <c r="D39" i="13"/>
  <c r="D42" i="3"/>
  <c r="E59" i="52"/>
  <c r="E42" i="3"/>
  <c r="F39" i="13"/>
  <c r="D38" i="13"/>
  <c r="E62" i="52"/>
  <c r="B38" i="13"/>
  <c r="E34" i="52"/>
  <c r="E41" i="3"/>
  <c r="F38" i="13"/>
  <c r="C59" i="52"/>
  <c r="B39" i="13"/>
  <c r="C18" i="41"/>
  <c r="C26" i="41" s="1"/>
  <c r="C28" i="41" s="1"/>
  <c r="D36" i="13"/>
  <c r="D39" i="3"/>
  <c r="E24" i="41"/>
  <c r="F36" i="13"/>
  <c r="E39" i="3"/>
  <c r="E48" i="41"/>
  <c r="F37" i="13"/>
  <c r="E40" i="3"/>
  <c r="C24" i="41"/>
  <c r="E27" i="41"/>
  <c r="D37" i="13"/>
  <c r="E46" i="43"/>
  <c r="E36" i="3"/>
  <c r="F33" i="13"/>
  <c r="D50" i="43"/>
  <c r="D33" i="13"/>
  <c r="C50" i="43"/>
  <c r="B33" i="13"/>
  <c r="C48" i="43"/>
  <c r="C51" i="43" s="1"/>
  <c r="C39" i="43"/>
  <c r="E24" i="43"/>
  <c r="F32" i="13"/>
  <c r="E35" i="3"/>
  <c r="E27" i="43"/>
  <c r="D28" i="43"/>
  <c r="D32" i="13"/>
  <c r="C24" i="43"/>
  <c r="C28" i="43"/>
  <c r="C16" i="43"/>
  <c r="C26" i="43" s="1"/>
  <c r="D6" i="43" s="1"/>
  <c r="D16" i="43" s="1"/>
  <c r="D26" i="43" s="1"/>
  <c r="C47" i="44"/>
  <c r="E50" i="44"/>
  <c r="F31" i="13"/>
  <c r="E34" i="3"/>
  <c r="D31" i="13"/>
  <c r="C40" i="44"/>
  <c r="C49" i="44" s="1"/>
  <c r="D32" i="44" s="1"/>
  <c r="D40" i="44" s="1"/>
  <c r="D49" i="44" s="1"/>
  <c r="E21" i="45"/>
  <c r="E31" i="3"/>
  <c r="F28" i="13"/>
  <c r="E24" i="45"/>
  <c r="D25" i="45"/>
  <c r="D28" i="13"/>
  <c r="D31" i="3"/>
  <c r="C25" i="45"/>
  <c r="C15" i="45"/>
  <c r="C23" i="45" s="1"/>
  <c r="C26" i="45" s="1"/>
  <c r="E21" i="46"/>
  <c r="F26" i="13"/>
  <c r="E29" i="3"/>
  <c r="D25" i="46"/>
  <c r="D26" i="13"/>
  <c r="C25" i="46"/>
  <c r="C15" i="46"/>
  <c r="C23" i="46" s="1"/>
  <c r="C26" i="46" s="1"/>
  <c r="E48" i="49"/>
  <c r="F21" i="13"/>
  <c r="E24" i="3"/>
  <c r="E51" i="49"/>
  <c r="D52" i="49"/>
  <c r="D24" i="3"/>
  <c r="D21" i="13"/>
  <c r="C50" i="49"/>
  <c r="C53" i="49" s="1"/>
  <c r="C40" i="49"/>
  <c r="E47" i="46"/>
  <c r="F27" i="13"/>
  <c r="E30" i="3"/>
  <c r="E50" i="46"/>
  <c r="D27" i="13"/>
  <c r="C49" i="46"/>
  <c r="D30" i="46" s="1"/>
  <c r="D40" i="46" s="1"/>
  <c r="D49" i="46" s="1"/>
  <c r="C38" i="46"/>
  <c r="E23" i="49"/>
  <c r="E23" i="3"/>
  <c r="F20" i="13"/>
  <c r="E26" i="49"/>
  <c r="D27" i="49"/>
  <c r="D20" i="13"/>
  <c r="C27" i="49"/>
  <c r="C16" i="49"/>
  <c r="C25" i="49" s="1"/>
  <c r="D6" i="49" s="1"/>
  <c r="D16" i="49" s="1"/>
  <c r="D25" i="49" s="1"/>
  <c r="C32" i="40"/>
  <c r="D32" i="40"/>
  <c r="D44" i="13"/>
  <c r="E31" i="40"/>
  <c r="E47" i="3"/>
  <c r="F44" i="13"/>
  <c r="E47" i="47"/>
  <c r="E28" i="3"/>
  <c r="F25" i="13"/>
  <c r="D25" i="13"/>
  <c r="C49" i="47"/>
  <c r="D31" i="47" s="1"/>
  <c r="D41" i="47" s="1"/>
  <c r="D49" i="47" s="1"/>
  <c r="C39" i="47"/>
  <c r="C14" i="47"/>
  <c r="C24" i="47" s="1"/>
  <c r="D6" i="47" s="1"/>
  <c r="D14" i="47" s="1"/>
  <c r="D24" i="47" s="1"/>
  <c r="E46" i="48"/>
  <c r="F23" i="13"/>
  <c r="E26" i="3"/>
  <c r="D50" i="48"/>
  <c r="D23" i="13"/>
  <c r="C48" i="48"/>
  <c r="C51" i="48" s="1"/>
  <c r="C46" i="48"/>
  <c r="C36" i="48"/>
  <c r="E48" i="45"/>
  <c r="C47" i="45"/>
  <c r="C50" i="45" s="1"/>
  <c r="C61" i="52"/>
  <c r="D41" i="52" s="1"/>
  <c r="D52" i="52" s="1"/>
  <c r="D61" i="52" s="1"/>
  <c r="C50" i="52"/>
  <c r="C27" i="52"/>
  <c r="C36" i="52" s="1"/>
  <c r="D5" i="52" s="1"/>
  <c r="D27" i="52" s="1"/>
  <c r="D36" i="52" s="1"/>
  <c r="C34" i="52"/>
  <c r="E24" i="42"/>
  <c r="C15" i="42"/>
  <c r="C23" i="42" s="1"/>
  <c r="C25" i="42" s="1"/>
  <c r="E51" i="41"/>
  <c r="C50" i="41"/>
  <c r="C52" i="41" s="1"/>
  <c r="C39" i="41"/>
  <c r="D23" i="44"/>
  <c r="C27" i="44"/>
  <c r="C13" i="44"/>
  <c r="C25" i="44" s="1"/>
  <c r="D6" i="44" s="1"/>
  <c r="D13" i="44" s="1"/>
  <c r="D25" i="44" s="1"/>
  <c r="C48" i="42"/>
  <c r="C50" i="42" s="1"/>
  <c r="C36" i="42"/>
  <c r="C36" i="45"/>
  <c r="D36" i="54"/>
  <c r="E35" i="54"/>
  <c r="D32" i="54"/>
  <c r="B35" i="54"/>
  <c r="C5" i="54"/>
  <c r="D5" i="54"/>
  <c r="D5" i="55"/>
  <c r="D30" i="55" s="1"/>
  <c r="C14" i="55"/>
  <c r="E47" i="55"/>
  <c r="E5" i="55"/>
  <c r="E30" i="55" s="1"/>
  <c r="D22" i="55"/>
  <c r="B25" i="55"/>
  <c r="C47" i="55"/>
  <c r="C5" i="55"/>
  <c r="C30" i="55" s="1"/>
  <c r="B22" i="53"/>
  <c r="C5" i="53"/>
  <c r="C27" i="53" s="1"/>
  <c r="D23" i="53"/>
  <c r="B43" i="53"/>
  <c r="D5" i="53"/>
  <c r="D27" i="53" s="1"/>
  <c r="E40" i="53"/>
  <c r="D44" i="53"/>
  <c r="C40" i="53"/>
  <c r="D30" i="51"/>
  <c r="D37" i="51" s="1"/>
  <c r="D44" i="51" s="1"/>
  <c r="C47" i="51"/>
  <c r="C26" i="51"/>
  <c r="C5" i="51"/>
  <c r="C29" i="51" s="1"/>
  <c r="E21" i="51"/>
  <c r="D42" i="51"/>
  <c r="D5" i="51"/>
  <c r="D29" i="51" s="1"/>
  <c r="E42" i="51"/>
  <c r="E5" i="51"/>
  <c r="E29" i="51" s="1"/>
  <c r="B24" i="51"/>
  <c r="D59" i="52"/>
  <c r="B62" i="52"/>
  <c r="D4" i="52"/>
  <c r="D40" i="52" s="1"/>
  <c r="E4" i="52"/>
  <c r="E40" i="52" s="1"/>
  <c r="E37" i="52"/>
  <c r="D34" i="52"/>
  <c r="B37" i="52"/>
  <c r="C52" i="49"/>
  <c r="C50" i="48"/>
  <c r="C49" i="45"/>
  <c r="D28" i="40"/>
  <c r="C5" i="40"/>
  <c r="E28" i="40"/>
  <c r="D5" i="40"/>
  <c r="E5" i="40"/>
  <c r="E5" i="41"/>
  <c r="E31" i="41" s="1"/>
  <c r="D24" i="41"/>
  <c r="B27" i="41"/>
  <c r="C48" i="41"/>
  <c r="C5" i="41"/>
  <c r="C31" i="41" s="1"/>
  <c r="D48" i="41"/>
  <c r="B51" i="41"/>
  <c r="E5" i="42"/>
  <c r="E28" i="42" s="1"/>
  <c r="D21" i="42"/>
  <c r="B24" i="42"/>
  <c r="C46" i="42"/>
  <c r="C5" i="42"/>
  <c r="C28" i="42" s="1"/>
  <c r="D46" i="42"/>
  <c r="B49" i="42"/>
  <c r="D33" i="43"/>
  <c r="D41" i="43" s="1"/>
  <c r="D48" i="43" s="1"/>
  <c r="D24" i="43"/>
  <c r="B27" i="43"/>
  <c r="C46" i="43"/>
  <c r="C5" i="43"/>
  <c r="C32" i="43" s="1"/>
  <c r="D46" i="43"/>
  <c r="B49" i="43"/>
  <c r="D5" i="43"/>
  <c r="D32" i="43" s="1"/>
  <c r="E23" i="44"/>
  <c r="E47" i="44"/>
  <c r="D21" i="45"/>
  <c r="B24" i="45"/>
  <c r="C45" i="45"/>
  <c r="D45" i="45"/>
  <c r="B48" i="45"/>
  <c r="D5" i="45"/>
  <c r="D29" i="45" s="1"/>
  <c r="E5" i="45"/>
  <c r="E29" i="45" s="1"/>
  <c r="E5" i="46"/>
  <c r="E29" i="46" s="1"/>
  <c r="D21" i="46"/>
  <c r="B24" i="46"/>
  <c r="C47" i="46"/>
  <c r="C5" i="46"/>
  <c r="C29" i="46" s="1"/>
  <c r="D47" i="46"/>
  <c r="B50" i="46"/>
  <c r="D22" i="47"/>
  <c r="C47" i="47"/>
  <c r="C5" i="47"/>
  <c r="C30" i="47" s="1"/>
  <c r="D47" i="47"/>
  <c r="B50" i="47"/>
  <c r="D5" i="47"/>
  <c r="D30" i="47" s="1"/>
  <c r="E5" i="47"/>
  <c r="E30" i="47" s="1"/>
  <c r="D28" i="48"/>
  <c r="D38" i="48" s="1"/>
  <c r="D48" i="48" s="1"/>
  <c r="E5" i="48"/>
  <c r="E27" i="48" s="1"/>
  <c r="B22" i="48"/>
  <c r="C5" i="48"/>
  <c r="C27" i="48" s="1"/>
  <c r="E19" i="48"/>
  <c r="D46" i="48"/>
  <c r="B49" i="48"/>
  <c r="D32" i="49"/>
  <c r="D42" i="49" s="1"/>
  <c r="D50" i="49" s="1"/>
  <c r="D23" i="49"/>
  <c r="C48" i="49"/>
  <c r="C5" i="49"/>
  <c r="C31" i="49" s="1"/>
  <c r="D48" i="49"/>
  <c r="B51" i="49"/>
  <c r="D5" i="49"/>
  <c r="D31" i="49" s="1"/>
  <c r="B26" i="49"/>
  <c r="D15" i="24"/>
  <c r="D41" i="24" s="1"/>
  <c r="E15" i="24"/>
  <c r="E41" i="24" s="1"/>
  <c r="C15" i="24"/>
  <c r="C41" i="24" s="1"/>
  <c r="C51" i="55" l="1"/>
  <c r="C45" i="53"/>
  <c r="D29" i="42"/>
  <c r="D38" i="42" s="1"/>
  <c r="D48" i="42" s="1"/>
  <c r="E29" i="42" s="1"/>
  <c r="E38" i="42" s="1"/>
  <c r="E48" i="42" s="1"/>
  <c r="D6" i="42"/>
  <c r="D15" i="42" s="1"/>
  <c r="D23" i="42" s="1"/>
  <c r="D25" i="42" s="1"/>
  <c r="D6" i="46"/>
  <c r="D15" i="46" s="1"/>
  <c r="D23" i="46" s="1"/>
  <c r="D26" i="46" s="1"/>
  <c r="C51" i="46"/>
  <c r="C24" i="48"/>
  <c r="C37" i="54"/>
  <c r="C27" i="55"/>
  <c r="D6" i="40"/>
  <c r="D16" i="40" s="1"/>
  <c r="D30" i="40" s="1"/>
  <c r="E6" i="40" s="1"/>
  <c r="E16" i="40" s="1"/>
  <c r="E30" i="40" s="1"/>
  <c r="E32" i="40" s="1"/>
  <c r="D6" i="53"/>
  <c r="D14" i="53" s="1"/>
  <c r="D21" i="53" s="1"/>
  <c r="E6" i="53" s="1"/>
  <c r="E14" i="53" s="1"/>
  <c r="E21" i="53" s="1"/>
  <c r="E23" i="53" s="1"/>
  <c r="D6" i="41"/>
  <c r="D18" i="41" s="1"/>
  <c r="D26" i="41" s="1"/>
  <c r="D28" i="41" s="1"/>
  <c r="C29" i="43"/>
  <c r="C51" i="44"/>
  <c r="D6" i="45"/>
  <c r="D15" i="45" s="1"/>
  <c r="D23" i="45" s="1"/>
  <c r="D26" i="45" s="1"/>
  <c r="C28" i="49"/>
  <c r="C51" i="47"/>
  <c r="C27" i="47"/>
  <c r="D30" i="45"/>
  <c r="D38" i="45" s="1"/>
  <c r="D47" i="45" s="1"/>
  <c r="E30" i="45" s="1"/>
  <c r="E38" i="45" s="1"/>
  <c r="E47" i="45" s="1"/>
  <c r="E49" i="45" s="1"/>
  <c r="D32" i="41"/>
  <c r="D41" i="41" s="1"/>
  <c r="D50" i="41" s="1"/>
  <c r="E32" i="41" s="1"/>
  <c r="E41" i="41" s="1"/>
  <c r="E50" i="41" s="1"/>
  <c r="C28" i="44"/>
  <c r="E6" i="54"/>
  <c r="E20" i="54" s="1"/>
  <c r="E34" i="54" s="1"/>
  <c r="E36" i="54" s="1"/>
  <c r="D37" i="54"/>
  <c r="D51" i="55"/>
  <c r="E31" i="55"/>
  <c r="E40" i="55" s="1"/>
  <c r="E49" i="55" s="1"/>
  <c r="E6" i="55"/>
  <c r="E16" i="55" s="1"/>
  <c r="E24" i="55" s="1"/>
  <c r="E26" i="55" s="1"/>
  <c r="D27" i="55"/>
  <c r="E28" i="53"/>
  <c r="E35" i="53" s="1"/>
  <c r="E42" i="53" s="1"/>
  <c r="E44" i="53" s="1"/>
  <c r="D45" i="53"/>
  <c r="D47" i="51"/>
  <c r="E30" i="51"/>
  <c r="E37" i="51" s="1"/>
  <c r="E44" i="51" s="1"/>
  <c r="E46" i="51" s="1"/>
  <c r="E6" i="51"/>
  <c r="E16" i="51" s="1"/>
  <c r="E23" i="51" s="1"/>
  <c r="E25" i="51" s="1"/>
  <c r="D26" i="51"/>
  <c r="E5" i="52"/>
  <c r="E27" i="52" s="1"/>
  <c r="E36" i="52" s="1"/>
  <c r="E41" i="52"/>
  <c r="E52" i="52" s="1"/>
  <c r="E61" i="52" s="1"/>
  <c r="E6" i="42"/>
  <c r="E15" i="42" s="1"/>
  <c r="E23" i="42" s="1"/>
  <c r="E6" i="43"/>
  <c r="E16" i="43" s="1"/>
  <c r="E26" i="43" s="1"/>
  <c r="E28" i="43" s="1"/>
  <c r="D29" i="43"/>
  <c r="E33" i="43"/>
  <c r="E41" i="43" s="1"/>
  <c r="E48" i="43" s="1"/>
  <c r="E50" i="43" s="1"/>
  <c r="D51" i="43"/>
  <c r="D28" i="44"/>
  <c r="E6" i="44"/>
  <c r="E13" i="44" s="1"/>
  <c r="E25" i="44" s="1"/>
  <c r="E27" i="44" s="1"/>
  <c r="D51" i="44"/>
  <c r="E32" i="44"/>
  <c r="E40" i="44" s="1"/>
  <c r="E49" i="44" s="1"/>
  <c r="E30" i="46"/>
  <c r="E40" i="46" s="1"/>
  <c r="E49" i="46" s="1"/>
  <c r="D51" i="46"/>
  <c r="D27" i="47"/>
  <c r="E6" i="47"/>
  <c r="E14" i="47" s="1"/>
  <c r="E24" i="47" s="1"/>
  <c r="E26" i="47" s="1"/>
  <c r="E31" i="47"/>
  <c r="E41" i="47" s="1"/>
  <c r="E49" i="47" s="1"/>
  <c r="D51" i="47"/>
  <c r="E28" i="48"/>
  <c r="E38" i="48" s="1"/>
  <c r="E48" i="48" s="1"/>
  <c r="E50" i="48" s="1"/>
  <c r="D51" i="48"/>
  <c r="E6" i="48"/>
  <c r="E13" i="48" s="1"/>
  <c r="E21" i="48" s="1"/>
  <c r="E23" i="48" s="1"/>
  <c r="D24" i="48"/>
  <c r="E32" i="49"/>
  <c r="E42" i="49" s="1"/>
  <c r="E50" i="49" s="1"/>
  <c r="E52" i="49" s="1"/>
  <c r="D53" i="49"/>
  <c r="E6" i="49"/>
  <c r="E16" i="49" s="1"/>
  <c r="E25" i="49" s="1"/>
  <c r="E27" i="49" s="1"/>
  <c r="D28" i="49"/>
  <c r="D76" i="7"/>
  <c r="D75" i="7"/>
  <c r="D74" i="7"/>
  <c r="E74" i="7"/>
  <c r="D73" i="7"/>
  <c r="E73" i="7"/>
  <c r="D72" i="7"/>
  <c r="E72" i="7"/>
  <c r="D71" i="7"/>
  <c r="E71" i="7"/>
  <c r="D70" i="7"/>
  <c r="D69" i="7"/>
  <c r="E69" i="7"/>
  <c r="D68" i="7"/>
  <c r="E68" i="7"/>
  <c r="D67" i="7"/>
  <c r="E67" i="7"/>
  <c r="D66" i="7"/>
  <c r="D65" i="7"/>
  <c r="E65" i="7"/>
  <c r="D64" i="7"/>
  <c r="E64" i="7"/>
  <c r="D63" i="7"/>
  <c r="E63" i="7"/>
  <c r="C76" i="7"/>
  <c r="C75" i="7"/>
  <c r="C74" i="7"/>
  <c r="C73" i="7"/>
  <c r="C72" i="7"/>
  <c r="C71" i="7"/>
  <c r="C70" i="7"/>
  <c r="C68" i="7"/>
  <c r="C67" i="7"/>
  <c r="C66" i="7"/>
  <c r="C65" i="7"/>
  <c r="C64" i="7"/>
  <c r="D62" i="7"/>
  <c r="E62" i="7"/>
  <c r="C62" i="7"/>
  <c r="D61" i="7"/>
  <c r="E61" i="7"/>
  <c r="C61" i="7"/>
  <c r="D60" i="7"/>
  <c r="E60" i="7"/>
  <c r="C60" i="7"/>
  <c r="D59" i="7"/>
  <c r="E59" i="7"/>
  <c r="C59" i="7"/>
  <c r="D79" i="7"/>
  <c r="C79" i="7"/>
  <c r="B76" i="7"/>
  <c r="B75" i="7"/>
  <c r="B74" i="7"/>
  <c r="B73" i="7"/>
  <c r="B72" i="7"/>
  <c r="B71" i="7"/>
  <c r="B70" i="7"/>
  <c r="B69" i="7"/>
  <c r="B68" i="7"/>
  <c r="B67" i="7"/>
  <c r="B66" i="7"/>
  <c r="B65" i="7"/>
  <c r="B64" i="7"/>
  <c r="B63" i="7"/>
  <c r="B62" i="7"/>
  <c r="B61" i="7"/>
  <c r="B60" i="7"/>
  <c r="B59" i="7"/>
  <c r="E56" i="7"/>
  <c r="D56" i="7"/>
  <c r="C50" i="7"/>
  <c r="D50" i="42" l="1"/>
  <c r="E6" i="46"/>
  <c r="E15" i="46" s="1"/>
  <c r="E23" i="46" s="1"/>
  <c r="E25" i="46" s="1"/>
  <c r="D33" i="40"/>
  <c r="D24" i="53"/>
  <c r="E6" i="41"/>
  <c r="E18" i="41" s="1"/>
  <c r="E26" i="41" s="1"/>
  <c r="E6" i="45"/>
  <c r="E15" i="45" s="1"/>
  <c r="E23" i="45" s="1"/>
  <c r="E25" i="45" s="1"/>
  <c r="D50" i="45"/>
  <c r="D52" i="41"/>
  <c r="D81" i="7"/>
  <c r="C87" i="26"/>
  <c r="D87" i="26"/>
  <c r="E70" i="7" s="1"/>
  <c r="B87" i="26"/>
  <c r="C125" i="26"/>
  <c r="C122" i="26"/>
  <c r="D122" i="26"/>
  <c r="B122" i="26"/>
  <c r="C120" i="26"/>
  <c r="D120" i="26"/>
  <c r="E76" i="7" s="1"/>
  <c r="B120" i="26"/>
  <c r="C104" i="26"/>
  <c r="D60" i="26"/>
  <c r="C60" i="26"/>
  <c r="B60" i="26"/>
  <c r="D115" i="26"/>
  <c r="E75" i="7" s="1"/>
  <c r="C115" i="26"/>
  <c r="B115" i="26"/>
  <c r="D109" i="26"/>
  <c r="C109" i="26"/>
  <c r="B109" i="26"/>
  <c r="D104" i="26"/>
  <c r="B104" i="26"/>
  <c r="D98" i="26"/>
  <c r="C98" i="26"/>
  <c r="B98" i="26"/>
  <c r="D92" i="26"/>
  <c r="C92" i="26"/>
  <c r="B92" i="26"/>
  <c r="D81" i="26"/>
  <c r="C81" i="26"/>
  <c r="B81" i="26"/>
  <c r="D75" i="26"/>
  <c r="C75" i="26"/>
  <c r="B75" i="26"/>
  <c r="B125" i="26" l="1"/>
  <c r="E79" i="7"/>
  <c r="A44" i="3"/>
  <c r="A45" i="3"/>
  <c r="A46" i="3"/>
  <c r="A47" i="3"/>
  <c r="A48" i="3"/>
  <c r="A49" i="3"/>
  <c r="A50" i="3"/>
  <c r="A51" i="3"/>
  <c r="A52" i="3"/>
  <c r="A30" i="3"/>
  <c r="A31" i="3"/>
  <c r="A32" i="3"/>
  <c r="A33" i="3"/>
  <c r="A34" i="3"/>
  <c r="A35" i="3"/>
  <c r="A36" i="3"/>
  <c r="A37" i="3"/>
  <c r="A38" i="3"/>
  <c r="A39" i="3"/>
  <c r="A40" i="3"/>
  <c r="A41" i="3"/>
  <c r="A42" i="3"/>
  <c r="A43" i="3"/>
  <c r="A24" i="3"/>
  <c r="A25" i="3"/>
  <c r="A26" i="3"/>
  <c r="A27" i="3"/>
  <c r="A28" i="3"/>
  <c r="A29" i="3"/>
  <c r="E88" i="2" l="1"/>
  <c r="D88" i="2"/>
  <c r="A106" i="19" l="1"/>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B6" i="38" l="1"/>
  <c r="C6" i="39"/>
  <c r="I2" i="39"/>
  <c r="C7" i="39" s="1"/>
  <c r="D54" i="26"/>
  <c r="E66" i="7" s="1"/>
  <c r="C54" i="26"/>
  <c r="B54" i="26"/>
  <c r="D48" i="26"/>
  <c r="C48" i="26"/>
  <c r="B48" i="26"/>
  <c r="D42" i="26"/>
  <c r="C42" i="26"/>
  <c r="B42" i="26"/>
  <c r="D36" i="26"/>
  <c r="C36" i="26"/>
  <c r="B36" i="26"/>
  <c r="C81" i="7" s="1"/>
  <c r="C80" i="7" s="1"/>
  <c r="D24" i="26"/>
  <c r="C24" i="26"/>
  <c r="B24" i="26"/>
  <c r="D18" i="26"/>
  <c r="C18" i="26"/>
  <c r="B18" i="26"/>
  <c r="D62" i="2"/>
  <c r="J148" i="35"/>
  <c r="H134" i="35"/>
  <c r="C137" i="35"/>
  <c r="J137" i="35"/>
  <c r="H120" i="35"/>
  <c r="C123" i="35"/>
  <c r="H114" i="35"/>
  <c r="F117" i="35"/>
  <c r="H117" i="35"/>
  <c r="F123" i="35"/>
  <c r="H100" i="35"/>
  <c r="C103" i="35"/>
  <c r="J103" i="35"/>
  <c r="H94" i="35"/>
  <c r="F97" i="35"/>
  <c r="H97" i="35"/>
  <c r="F103" i="35"/>
  <c r="C83" i="35"/>
  <c r="J83" i="35"/>
  <c r="H80" i="35"/>
  <c r="H74" i="35"/>
  <c r="F77" i="35"/>
  <c r="H77" i="35"/>
  <c r="F83" i="35"/>
  <c r="F50" i="35"/>
  <c r="J50" i="35"/>
  <c r="H48" i="35"/>
  <c r="H41" i="35"/>
  <c r="B28" i="35"/>
  <c r="H28" i="35"/>
  <c r="H25" i="35"/>
  <c r="C25" i="35"/>
  <c r="D7" i="25"/>
  <c r="D58" i="20"/>
  <c r="D26" i="20"/>
  <c r="D25" i="20" s="1"/>
  <c r="D43" i="7"/>
  <c r="C14" i="5"/>
  <c r="A64" i="13"/>
  <c r="A8" i="13"/>
  <c r="A65" i="13"/>
  <c r="G20" i="34"/>
  <c r="G22" i="34" s="1"/>
  <c r="C22" i="3"/>
  <c r="A22" i="3"/>
  <c r="B22" i="3"/>
  <c r="D66" i="20"/>
  <c r="C10" i="5"/>
  <c r="B14" i="5"/>
  <c r="B10" i="5"/>
  <c r="B45" i="20"/>
  <c r="A19" i="13"/>
  <c r="B13" i="25"/>
  <c r="B9" i="25"/>
  <c r="A57" i="19"/>
  <c r="A74" i="19"/>
  <c r="A33" i="19"/>
  <c r="A32" i="19"/>
  <c r="B76" i="2"/>
  <c r="B75" i="2"/>
  <c r="G26" i="2"/>
  <c r="G24" i="2"/>
  <c r="G23" i="2"/>
  <c r="G22" i="2"/>
  <c r="E44" i="20"/>
  <c r="D44" i="20"/>
  <c r="C44" i="20"/>
  <c r="C18" i="3"/>
  <c r="A18" i="3"/>
  <c r="B19" i="37"/>
  <c r="B18" i="37"/>
  <c r="B17" i="37"/>
  <c r="B16" i="37"/>
  <c r="B15" i="37"/>
  <c r="E19" i="37"/>
  <c r="E18" i="37"/>
  <c r="E17" i="37"/>
  <c r="E16" i="37"/>
  <c r="G14" i="37"/>
  <c r="B78" i="37" s="1"/>
  <c r="E14" i="37"/>
  <c r="G16" i="37"/>
  <c r="B8" i="37"/>
  <c r="B7" i="37"/>
  <c r="B5" i="37"/>
  <c r="C14" i="25"/>
  <c r="B54" i="13"/>
  <c r="B53" i="13"/>
  <c r="C55" i="3"/>
  <c r="C66" i="20"/>
  <c r="E27" i="2"/>
  <c r="D9" i="38" s="1"/>
  <c r="D34" i="19"/>
  <c r="D77" i="2"/>
  <c r="C21" i="3"/>
  <c r="D70" i="20"/>
  <c r="D64" i="20"/>
  <c r="D63" i="20" s="1"/>
  <c r="C64" i="20"/>
  <c r="C58" i="20"/>
  <c r="C57" i="20" s="1"/>
  <c r="D41" i="20"/>
  <c r="C37" i="20"/>
  <c r="D37" i="20"/>
  <c r="B74" i="2"/>
  <c r="D13" i="25"/>
  <c r="E13" i="25"/>
  <c r="D83" i="7"/>
  <c r="C83" i="7"/>
  <c r="D87" i="7"/>
  <c r="A6" i="31"/>
  <c r="A46" i="31"/>
  <c r="A41" i="31"/>
  <c r="A77" i="28"/>
  <c r="A74" i="28"/>
  <c r="A33" i="28"/>
  <c r="A28" i="28"/>
  <c r="A25" i="28"/>
  <c r="A16" i="28"/>
  <c r="A6" i="28"/>
  <c r="A34" i="29"/>
  <c r="A33" i="29"/>
  <c r="A6" i="29"/>
  <c r="A38" i="30"/>
  <c r="A33" i="30"/>
  <c r="A19" i="30"/>
  <c r="A6" i="30"/>
  <c r="A8" i="32"/>
  <c r="F1" i="24"/>
  <c r="C5" i="24" s="1"/>
  <c r="A1" i="24"/>
  <c r="C9" i="5"/>
  <c r="C8" i="5"/>
  <c r="J5" i="16"/>
  <c r="D71" i="2"/>
  <c r="C35" i="20"/>
  <c r="B18" i="13" s="1"/>
  <c r="C26" i="20"/>
  <c r="C27" i="20" s="1"/>
  <c r="D35" i="20"/>
  <c r="D18" i="13" s="1"/>
  <c r="C35" i="11"/>
  <c r="B48" i="13" s="1"/>
  <c r="C21" i="11"/>
  <c r="C20" i="11" s="1"/>
  <c r="D21" i="11"/>
  <c r="D20" i="11" s="1"/>
  <c r="D35" i="11"/>
  <c r="D48" i="13" s="1"/>
  <c r="E21" i="11"/>
  <c r="E20" i="11" s="1"/>
  <c r="E35" i="11"/>
  <c r="E37" i="11" s="1"/>
  <c r="E1" i="20"/>
  <c r="G10" i="20" s="1"/>
  <c r="C43" i="7"/>
  <c r="C44" i="7" s="1"/>
  <c r="D80" i="7"/>
  <c r="E1" i="7"/>
  <c r="H92" i="7" s="1"/>
  <c r="E1" i="11"/>
  <c r="B37" i="11" s="1"/>
  <c r="A18" i="13"/>
  <c r="D20" i="2"/>
  <c r="A63" i="2"/>
  <c r="E20" i="2"/>
  <c r="G21" i="2" s="1"/>
  <c r="F1" i="25"/>
  <c r="B4" i="25" s="1"/>
  <c r="J17" i="23"/>
  <c r="J18" i="23"/>
  <c r="J28" i="23"/>
  <c r="H17" i="23"/>
  <c r="H18" i="23"/>
  <c r="H29" i="23"/>
  <c r="H30" i="23"/>
  <c r="H28" i="23"/>
  <c r="F17" i="23"/>
  <c r="F18" i="23" s="1"/>
  <c r="F28" i="23"/>
  <c r="D28" i="23"/>
  <c r="D17" i="23"/>
  <c r="B28" i="23"/>
  <c r="K1" i="23"/>
  <c r="F2" i="23" s="1"/>
  <c r="E1" i="19"/>
  <c r="A16" i="19" s="1"/>
  <c r="C56" i="3"/>
  <c r="C51" i="19"/>
  <c r="D17" i="5" s="1"/>
  <c r="D51" i="19"/>
  <c r="E19" i="5" s="1"/>
  <c r="E51" i="19"/>
  <c r="F21" i="5" s="1"/>
  <c r="D1" i="26"/>
  <c r="B5" i="26" s="1"/>
  <c r="A1" i="26"/>
  <c r="D12" i="26"/>
  <c r="D30" i="26"/>
  <c r="C12" i="26"/>
  <c r="C62" i="26" s="1"/>
  <c r="C124" i="26" s="1"/>
  <c r="C126" i="26" s="1"/>
  <c r="C30" i="26"/>
  <c r="B12" i="26"/>
  <c r="B30" i="26"/>
  <c r="A1" i="25"/>
  <c r="B8" i="25"/>
  <c r="B7" i="25"/>
  <c r="D21" i="25"/>
  <c r="D23" i="25" s="1"/>
  <c r="B14" i="19"/>
  <c r="D17" i="25" s="1"/>
  <c r="D19" i="25" s="1"/>
  <c r="A73" i="19"/>
  <c r="A72" i="19"/>
  <c r="C43" i="24"/>
  <c r="B51" i="13" s="1"/>
  <c r="G1" i="5"/>
  <c r="B7" i="5" s="1"/>
  <c r="E43" i="24"/>
  <c r="F51" i="13" s="1"/>
  <c r="D43" i="24"/>
  <c r="D51" i="13" s="1"/>
  <c r="A59" i="3"/>
  <c r="A58" i="3"/>
  <c r="A61" i="3"/>
  <c r="A60" i="3"/>
  <c r="D22" i="19"/>
  <c r="E19" i="16" s="1"/>
  <c r="C22" i="19"/>
  <c r="E18" i="16" s="1"/>
  <c r="B22" i="19"/>
  <c r="E17" i="16" s="1"/>
  <c r="F14" i="19"/>
  <c r="E13" i="16" s="1"/>
  <c r="D14" i="19"/>
  <c r="E12" i="16" s="1"/>
  <c r="C14" i="19"/>
  <c r="G9" i="16" s="1"/>
  <c r="D42" i="19"/>
  <c r="D54" i="13" s="1"/>
  <c r="E27" i="37" s="1"/>
  <c r="A38" i="19"/>
  <c r="A20" i="19"/>
  <c r="A12" i="19"/>
  <c r="A50" i="19"/>
  <c r="A49" i="19"/>
  <c r="A48" i="19"/>
  <c r="A47" i="19"/>
  <c r="A41" i="19"/>
  <c r="A40" i="19"/>
  <c r="A39" i="19"/>
  <c r="A21" i="19"/>
  <c r="A19" i="19"/>
  <c r="A18" i="19"/>
  <c r="A13" i="19"/>
  <c r="A11" i="19"/>
  <c r="A10" i="19"/>
  <c r="E14" i="19"/>
  <c r="G22" i="16" s="1"/>
  <c r="G1" i="3"/>
  <c r="F10" i="3" s="1"/>
  <c r="I5" i="23"/>
  <c r="G5" i="23"/>
  <c r="A1" i="23"/>
  <c r="K7" i="23"/>
  <c r="B17" i="23"/>
  <c r="B18" i="23" s="1"/>
  <c r="M1" i="14"/>
  <c r="G7" i="14" s="1"/>
  <c r="E82" i="2"/>
  <c r="D82" i="2"/>
  <c r="H1" i="13"/>
  <c r="B14" i="13" s="1"/>
  <c r="A18" i="2"/>
  <c r="A72" i="2"/>
  <c r="A27" i="2"/>
  <c r="A2" i="3"/>
  <c r="B9" i="5"/>
  <c r="E19" i="13"/>
  <c r="G75" i="20" s="1"/>
  <c r="E18" i="13"/>
  <c r="G25" i="20" s="1"/>
  <c r="E17" i="13"/>
  <c r="G92" i="7" s="1"/>
  <c r="C17" i="13"/>
  <c r="C18" i="13"/>
  <c r="C19" i="13"/>
  <c r="D72" i="2"/>
  <c r="B4" i="20"/>
  <c r="B1" i="20"/>
  <c r="E9" i="3"/>
  <c r="A1" i="19"/>
  <c r="J1" i="16"/>
  <c r="B11" i="16" s="1"/>
  <c r="G8" i="15"/>
  <c r="H8" i="15"/>
  <c r="I8" i="15"/>
  <c r="J6" i="14"/>
  <c r="L6" i="14"/>
  <c r="B13" i="3"/>
  <c r="B71" i="3"/>
  <c r="I1" i="15"/>
  <c r="C20" i="3"/>
  <c r="A23" i="3"/>
  <c r="B20" i="3"/>
  <c r="C4" i="3"/>
  <c r="C1" i="16"/>
  <c r="M20" i="14"/>
  <c r="M27" i="14"/>
  <c r="M35" i="14"/>
  <c r="L20" i="14"/>
  <c r="L27" i="14"/>
  <c r="L35" i="14"/>
  <c r="K20" i="14"/>
  <c r="K27" i="14"/>
  <c r="K35" i="14"/>
  <c r="J20" i="14"/>
  <c r="J27" i="14"/>
  <c r="J35" i="14"/>
  <c r="G35" i="14"/>
  <c r="F59" i="13" s="1"/>
  <c r="G20" i="14"/>
  <c r="F57" i="13" s="1"/>
  <c r="G27" i="14"/>
  <c r="F58" i="13" s="1"/>
  <c r="B1" i="14"/>
  <c r="B1" i="7"/>
  <c r="B6" i="7"/>
  <c r="B73" i="2"/>
  <c r="B1" i="15"/>
  <c r="I32" i="15"/>
  <c r="H32" i="15"/>
  <c r="G32" i="15"/>
  <c r="F60" i="13" s="1"/>
  <c r="B1" i="5"/>
  <c r="B1" i="11"/>
  <c r="A20" i="13"/>
  <c r="A5" i="13"/>
  <c r="E7" i="25"/>
  <c r="E78" i="7" s="1"/>
  <c r="D12" i="25"/>
  <c r="E12" i="25"/>
  <c r="D10" i="25"/>
  <c r="E10" i="25"/>
  <c r="D8" i="25"/>
  <c r="E8" i="25"/>
  <c r="E35" i="20" s="1"/>
  <c r="D11" i="25"/>
  <c r="E11" i="25"/>
  <c r="D9" i="25"/>
  <c r="E9" i="25"/>
  <c r="E64" i="20" s="1"/>
  <c r="C34" i="20"/>
  <c r="F14" i="5"/>
  <c r="G22" i="3"/>
  <c r="G21" i="3"/>
  <c r="G20" i="3"/>
  <c r="C6" i="25"/>
  <c r="D6" i="25"/>
  <c r="D14" i="5"/>
  <c r="H67" i="20"/>
  <c r="H66" i="20"/>
  <c r="D38" i="11"/>
  <c r="E14" i="5"/>
  <c r="C38" i="11"/>
  <c r="H17" i="20"/>
  <c r="H65" i="20"/>
  <c r="H15" i="20"/>
  <c r="G62" i="20"/>
  <c r="H77" i="20"/>
  <c r="H24" i="20"/>
  <c r="G6" i="20"/>
  <c r="H19" i="20"/>
  <c r="H26" i="20"/>
  <c r="H25" i="20"/>
  <c r="H70" i="20"/>
  <c r="A46" i="19"/>
  <c r="A36" i="19"/>
  <c r="J123" i="35"/>
  <c r="B19" i="13"/>
  <c r="D18" i="23"/>
  <c r="D29" i="23" s="1"/>
  <c r="D30" i="23" s="1"/>
  <c r="E34" i="11"/>
  <c r="J29" i="23"/>
  <c r="J30" i="23"/>
  <c r="F54" i="13"/>
  <c r="G27" i="37" s="1"/>
  <c r="E7" i="19"/>
  <c r="A62" i="19"/>
  <c r="G69" i="20"/>
  <c r="C7" i="5"/>
  <c r="D5" i="11"/>
  <c r="C63" i="20"/>
  <c r="B47" i="37"/>
  <c r="D6" i="5"/>
  <c r="B89" i="37"/>
  <c r="A17" i="25"/>
  <c r="B5" i="16"/>
  <c r="E6" i="25"/>
  <c r="A6" i="19"/>
  <c r="B22" i="16"/>
  <c r="B6" i="25"/>
  <c r="A27" i="25"/>
  <c r="B7" i="19"/>
  <c r="C70" i="19"/>
  <c r="A63" i="19"/>
  <c r="F7" i="19"/>
  <c r="A69" i="19"/>
  <c r="A28" i="19"/>
  <c r="A44" i="19"/>
  <c r="H91" i="7"/>
  <c r="B70" i="19"/>
  <c r="H14" i="20" l="1"/>
  <c r="E81" i="7"/>
  <c r="E83" i="7" s="1"/>
  <c r="B26" i="16"/>
  <c r="A47" i="16"/>
  <c r="F29" i="23"/>
  <c r="F30" i="23" s="1"/>
  <c r="K28" i="23"/>
  <c r="B49" i="13" s="1"/>
  <c r="K18" i="23"/>
  <c r="B29" i="23"/>
  <c r="B30" i="23" s="1"/>
  <c r="K17" i="23"/>
  <c r="C34" i="11"/>
  <c r="D34" i="11"/>
  <c r="C5" i="11"/>
  <c r="E5" i="24"/>
  <c r="C22" i="11"/>
  <c r="C36" i="11" s="1"/>
  <c r="F48" i="13"/>
  <c r="E51" i="3"/>
  <c r="D34" i="20"/>
  <c r="H16" i="20"/>
  <c r="G19" i="20"/>
  <c r="C83" i="20"/>
  <c r="C36" i="20"/>
  <c r="D5" i="20" s="1"/>
  <c r="D27" i="20" s="1"/>
  <c r="D36" i="20" s="1"/>
  <c r="D84" i="20" s="1"/>
  <c r="D4" i="20"/>
  <c r="D45" i="20" s="1"/>
  <c r="D19" i="13"/>
  <c r="H75" i="20"/>
  <c r="H64" i="20"/>
  <c r="H74" i="20"/>
  <c r="H20" i="20"/>
  <c r="B66" i="20"/>
  <c r="B37" i="20"/>
  <c r="H69" i="20"/>
  <c r="C71" i="20"/>
  <c r="H27" i="20"/>
  <c r="C4" i="20"/>
  <c r="C45" i="20" s="1"/>
  <c r="H76" i="20"/>
  <c r="G12" i="20"/>
  <c r="C25" i="20"/>
  <c r="E4" i="20"/>
  <c r="E45" i="20" s="1"/>
  <c r="D83" i="20"/>
  <c r="D85" i="20"/>
  <c r="C85" i="20"/>
  <c r="C59" i="20"/>
  <c r="C65" i="20" s="1"/>
  <c r="C86" i="20" s="1"/>
  <c r="M36" i="14"/>
  <c r="L36" i="14"/>
  <c r="G36" i="14"/>
  <c r="K36" i="14"/>
  <c r="J36" i="14"/>
  <c r="D5" i="24"/>
  <c r="F61" i="13"/>
  <c r="J50" i="13"/>
  <c r="E26" i="16"/>
  <c r="A64" i="19"/>
  <c r="A24" i="19"/>
  <c r="C7" i="19"/>
  <c r="D7" i="19"/>
  <c r="H84" i="7"/>
  <c r="C42" i="7"/>
  <c r="G79" i="7"/>
  <c r="H87" i="7"/>
  <c r="H81" i="7"/>
  <c r="H93" i="7"/>
  <c r="C6" i="7"/>
  <c r="B17" i="13"/>
  <c r="B50" i="13" s="1"/>
  <c r="B52" i="13" s="1"/>
  <c r="D17" i="13"/>
  <c r="D103" i="7"/>
  <c r="C82" i="7"/>
  <c r="G86" i="7"/>
  <c r="C103" i="7"/>
  <c r="D6" i="7"/>
  <c r="G76" i="7"/>
  <c r="H86" i="7"/>
  <c r="H83" i="7"/>
  <c r="C88" i="7"/>
  <c r="B83" i="7"/>
  <c r="H82" i="7"/>
  <c r="E6" i="7"/>
  <c r="D62" i="26"/>
  <c r="D124" i="26" s="1"/>
  <c r="D126" i="26" s="1"/>
  <c r="B62" i="26"/>
  <c r="B124" i="26" s="1"/>
  <c r="B126" i="26" s="1"/>
  <c r="D5" i="26"/>
  <c r="G21" i="34"/>
  <c r="G19" i="34" s="1"/>
  <c r="G23" i="34"/>
  <c r="B63" i="3"/>
  <c r="E29" i="37"/>
  <c r="E50" i="13"/>
  <c r="G77" i="20" s="1"/>
  <c r="M60" i="13"/>
  <c r="G14" i="16"/>
  <c r="D14" i="25"/>
  <c r="E14" i="25"/>
  <c r="E28" i="37"/>
  <c r="F67" i="20"/>
  <c r="F19" i="13"/>
  <c r="E63" i="20"/>
  <c r="E22" i="3"/>
  <c r="E68" i="20"/>
  <c r="E66" i="20"/>
  <c r="G20" i="16"/>
  <c r="E39" i="20"/>
  <c r="E37" i="20"/>
  <c r="E34" i="20"/>
  <c r="E21" i="3"/>
  <c r="F18" i="13"/>
  <c r="F38" i="20"/>
  <c r="C15" i="5"/>
  <c r="J23" i="13"/>
  <c r="A3" i="16"/>
  <c r="B36" i="16"/>
  <c r="B91" i="37"/>
  <c r="B84" i="37"/>
  <c r="J61" i="13"/>
  <c r="J58" i="13"/>
  <c r="A8" i="16"/>
  <c r="C12" i="16"/>
  <c r="C13" i="16"/>
  <c r="B34" i="16"/>
  <c r="B46" i="37"/>
  <c r="J60" i="13"/>
  <c r="B4" i="16"/>
  <c r="E15" i="37"/>
  <c r="E22" i="37" s="1"/>
  <c r="J4" i="16"/>
  <c r="J6" i="16" s="1"/>
  <c r="J42" i="16" s="1"/>
  <c r="C42" i="20"/>
  <c r="D61" i="13"/>
  <c r="B61" i="13"/>
  <c r="C50" i="13"/>
  <c r="D57" i="20"/>
  <c r="F28" i="5"/>
  <c r="F10" i="5" s="1"/>
  <c r="E52" i="20" s="1"/>
  <c r="G19" i="37" s="1"/>
  <c r="E5" i="11"/>
  <c r="H94" i="7"/>
  <c r="B16" i="16"/>
  <c r="C5" i="26"/>
  <c r="E26" i="5"/>
  <c r="E10" i="5" s="1"/>
  <c r="E51" i="20" s="1"/>
  <c r="G18" i="37" s="1"/>
  <c r="D24" i="5"/>
  <c r="D42" i="7"/>
  <c r="D53" i="13"/>
  <c r="G53" i="3"/>
  <c r="D14" i="13"/>
  <c r="A11" i="13" s="1"/>
  <c r="J21" i="13"/>
  <c r="J24" i="13"/>
  <c r="F14" i="13"/>
  <c r="J52" i="13"/>
  <c r="J53" i="13"/>
  <c r="A65" i="19"/>
  <c r="B56" i="13"/>
  <c r="B38" i="16"/>
  <c r="G15" i="13"/>
  <c r="D56" i="13"/>
  <c r="F56" i="13"/>
  <c r="J59" i="13"/>
  <c r="B9" i="16"/>
  <c r="G18" i="34"/>
  <c r="F17" i="13" l="1"/>
  <c r="F50" i="13" s="1"/>
  <c r="F52" i="13" s="1"/>
  <c r="F84" i="7"/>
  <c r="E85" i="7"/>
  <c r="E20" i="3"/>
  <c r="E53" i="3" s="1"/>
  <c r="E80" i="7"/>
  <c r="K30" i="23"/>
  <c r="K29" i="23"/>
  <c r="B44" i="24"/>
  <c r="C39" i="11"/>
  <c r="D6" i="11"/>
  <c r="D22" i="11" s="1"/>
  <c r="D36" i="11" s="1"/>
  <c r="D50" i="13"/>
  <c r="D52" i="13" s="1"/>
  <c r="C84" i="20"/>
  <c r="B40" i="20" s="1"/>
  <c r="B39" i="20"/>
  <c r="E5" i="20"/>
  <c r="B68" i="20"/>
  <c r="D46" i="20"/>
  <c r="D59" i="20" s="1"/>
  <c r="D65" i="20" s="1"/>
  <c r="D86" i="20" s="1"/>
  <c r="B69" i="20" s="1"/>
  <c r="G14" i="20"/>
  <c r="B85" i="7"/>
  <c r="D7" i="7"/>
  <c r="D44" i="7" s="1"/>
  <c r="D82" i="7" s="1"/>
  <c r="G81" i="7" s="1"/>
  <c r="C104" i="7"/>
  <c r="D7" i="34"/>
  <c r="M23" i="13"/>
  <c r="M53" i="13" s="1"/>
  <c r="G94" i="7"/>
  <c r="G27" i="20"/>
  <c r="G24" i="16"/>
  <c r="G28" i="16" s="1"/>
  <c r="G30" i="16" s="1"/>
  <c r="J32" i="16" s="1"/>
  <c r="J34" i="16" s="1"/>
  <c r="E9" i="5"/>
  <c r="E8" i="5" s="1"/>
  <c r="F9" i="5"/>
  <c r="E11" i="20" s="1"/>
  <c r="D9" i="5"/>
  <c r="D10" i="5"/>
  <c r="E50" i="20" s="1"/>
  <c r="E6" i="11" l="1"/>
  <c r="E22" i="11" s="1"/>
  <c r="E36" i="11" s="1"/>
  <c r="E38" i="11" s="1"/>
  <c r="D39" i="11"/>
  <c r="G64" i="20"/>
  <c r="E46" i="20"/>
  <c r="D8" i="5"/>
  <c r="D104" i="7"/>
  <c r="B86" i="7" s="1"/>
  <c r="E7" i="7"/>
  <c r="F8" i="5"/>
  <c r="F15" i="5" s="1"/>
  <c r="E9" i="20"/>
  <c r="E10" i="20"/>
  <c r="G17" i="37"/>
  <c r="E58" i="20"/>
  <c r="E10" i="7"/>
  <c r="D15" i="5"/>
  <c r="E15" i="5"/>
  <c r="E11" i="7"/>
  <c r="E26" i="20" l="1"/>
  <c r="G15" i="20" s="1"/>
  <c r="E12" i="7"/>
  <c r="E43" i="7" s="1"/>
  <c r="G82" i="7" s="1"/>
  <c r="G65" i="20"/>
  <c r="E59" i="20"/>
  <c r="E69" i="20" s="1"/>
  <c r="E27" i="20" l="1"/>
  <c r="E40" i="20" s="1"/>
  <c r="E41" i="20" s="1"/>
  <c r="E42" i="20" s="1"/>
  <c r="E70" i="20"/>
  <c r="E71" i="20" s="1"/>
  <c r="E44" i="7"/>
  <c r="E86" i="7" s="1"/>
  <c r="G66" i="20"/>
  <c r="G16" i="20" l="1"/>
  <c r="K28" i="20" s="1"/>
  <c r="G18" i="13"/>
  <c r="E25" i="20"/>
  <c r="J36" i="16"/>
  <c r="J38" i="16" s="1"/>
  <c r="J45" i="16" s="1"/>
  <c r="F21" i="3"/>
  <c r="H18" i="13"/>
  <c r="G24" i="20" s="1"/>
  <c r="E57" i="20"/>
  <c r="G19" i="13"/>
  <c r="H19" i="13" s="1"/>
  <c r="G74" i="20" s="1"/>
  <c r="G15" i="37"/>
  <c r="G22" i="37" s="1"/>
  <c r="D24" i="37" s="1"/>
  <c r="F22" i="3"/>
  <c r="K66" i="20"/>
  <c r="E87" i="7"/>
  <c r="E88" i="7" s="1"/>
  <c r="G67" i="20"/>
  <c r="G70" i="20" s="1"/>
  <c r="G17" i="20" l="1"/>
  <c r="G20" i="20" s="1"/>
  <c r="E23" i="37"/>
  <c r="G29" i="37"/>
  <c r="E30" i="37" s="1"/>
  <c r="D31" i="37" s="1"/>
  <c r="F33" i="37" s="1"/>
  <c r="E42" i="7"/>
  <c r="G17" i="13"/>
  <c r="G50" i="13" s="1"/>
  <c r="M52" i="13" s="1"/>
  <c r="M54" i="13" s="1"/>
  <c r="F20" i="3"/>
  <c r="F53" i="3" s="1"/>
  <c r="D10" i="38" s="1"/>
  <c r="G83" i="7"/>
  <c r="K83" i="7" s="1"/>
  <c r="M61" i="13" l="1"/>
  <c r="F54" i="3"/>
  <c r="I96" i="7" s="1"/>
  <c r="H17" i="13"/>
  <c r="H50" i="13" s="1"/>
  <c r="G93" i="7" s="1"/>
  <c r="G84" i="7"/>
  <c r="G87" i="7" s="1"/>
  <c r="M26" i="13"/>
  <c r="J26" i="13" s="1"/>
  <c r="M25" i="13"/>
  <c r="J25" i="13" s="1"/>
  <c r="I29" i="20" l="1"/>
  <c r="I79" i="20"/>
  <c r="G26" i="20"/>
  <c r="M58" i="13"/>
  <c r="G76" i="20"/>
  <c r="G91" i="7"/>
</calcChain>
</file>

<file path=xl/sharedStrings.xml><?xml version="1.0" encoding="utf-8"?>
<sst xmlns="http://schemas.openxmlformats.org/spreadsheetml/2006/main" count="2415" uniqueCount="1244">
  <si>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</si>
  <si>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</si>
  <si>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</si>
  <si>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</si>
  <si>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</si>
  <si>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2. All pages have a revision date.</t>
  </si>
  <si>
    <t>Adjusted Totals</t>
  </si>
  <si>
    <t>LAVTR</t>
  </si>
  <si>
    <t>Neighborhood Revitalization</t>
  </si>
  <si>
    <t>City and County Revenue Sharing</t>
  </si>
  <si>
    <t xml:space="preserve">General Instructions </t>
  </si>
  <si>
    <t>Computer Spreadsheet Preparation</t>
  </si>
  <si>
    <t>Fund Names:</t>
  </si>
  <si>
    <t>Statute</t>
  </si>
  <si>
    <t>General</t>
  </si>
  <si>
    <t>Fund name for all funds with a tax levy:</t>
  </si>
  <si>
    <t>Other (non-tax levy) fund names:</t>
  </si>
  <si>
    <t>Total</t>
  </si>
  <si>
    <t xml:space="preserve"> </t>
  </si>
  <si>
    <t>County</t>
  </si>
  <si>
    <t>Page</t>
  </si>
  <si>
    <t>Clerk's</t>
  </si>
  <si>
    <t>Table of Contents:</t>
  </si>
  <si>
    <t>No.</t>
  </si>
  <si>
    <t>Expenditures</t>
  </si>
  <si>
    <t>Use Only</t>
  </si>
  <si>
    <t>Statement of Indebtedness</t>
  </si>
  <si>
    <t>Statement of Lease-Purchases</t>
  </si>
  <si>
    <t>Fund</t>
  </si>
  <si>
    <t>K.S.A.</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</si>
  <si>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</si>
  <si>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</si>
  <si>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</si>
  <si>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</si>
  <si>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</si>
  <si>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</si>
  <si>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</si>
  <si>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</si>
  <si>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</si>
  <si>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</si>
  <si>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</si>
  <si>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</si>
  <si>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</si>
  <si>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</si>
  <si>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</si>
  <si>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</si>
  <si>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</si>
  <si>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</si>
  <si>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</si>
  <si>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</si>
  <si>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</si>
  <si>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</si>
  <si>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</si>
  <si>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</si>
  <si>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</si>
  <si>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</si>
  <si>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</si>
  <si>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</si>
  <si>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</si>
  <si>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</si>
  <si>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</si>
  <si>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</si>
  <si>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</si>
  <si>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</si>
  <si>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</si>
  <si>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</si>
  <si>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</si>
  <si>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</si>
  <si>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</si>
  <si>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</si>
  <si>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</si>
  <si>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</si>
  <si>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</si>
  <si>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</si>
  <si>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</si>
  <si>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</si>
  <si>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</si>
  <si>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</si>
  <si>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</si>
  <si>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</si>
  <si>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</si>
  <si>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</si>
  <si>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</si>
  <si>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</si>
  <si>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</si>
  <si>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</si>
  <si>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</si>
  <si>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</si>
  <si>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</si>
  <si>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</si>
  <si>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</si>
  <si>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</si>
  <si>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</si>
  <si>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</si>
  <si>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</si>
  <si>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</si>
  <si>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</si>
  <si>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</si>
  <si>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Vehicle Factor</t>
  </si>
  <si>
    <t>County Treasurers 16/20M Vehicle Estimate</t>
  </si>
  <si>
    <t>16/20M Veh</t>
  </si>
  <si>
    <t>RVT</t>
  </si>
  <si>
    <t>MVT</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</si>
  <si>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</si>
  <si>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</si>
  <si>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</si>
  <si>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</si>
  <si>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</si>
  <si>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</si>
  <si>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</si>
  <si>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</si>
  <si>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</si>
  <si>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</si>
  <si>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</si>
  <si>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</si>
  <si>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</si>
  <si>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</si>
  <si>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</si>
  <si>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</si>
  <si>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</si>
  <si>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</si>
  <si>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</si>
  <si>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</si>
  <si>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</si>
  <si>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</si>
  <si>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</si>
  <si>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Licenses</t>
  </si>
  <si>
    <t>Miscellaneous</t>
  </si>
  <si>
    <t xml:space="preserve">  3.</t>
  </si>
  <si>
    <t>STATEMENT OF CONDITIONAL LEASE-PURCHASE AND CERTIFICATE OF PARTICIPATION*</t>
  </si>
  <si>
    <t xml:space="preserve">  State Assessed</t>
  </si>
  <si>
    <t xml:space="preserve">  New Improvements</t>
  </si>
  <si>
    <t>14.</t>
  </si>
  <si>
    <t>15.</t>
  </si>
  <si>
    <t>Unencumbered Cash Balance Jan 1</t>
  </si>
  <si>
    <t>Unencumbered Cash Balance Dec 31</t>
  </si>
  <si>
    <t>Receipts: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</si>
  <si>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</si>
  <si>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</si>
  <si>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</si>
  <si>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</si>
  <si>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</si>
  <si>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</si>
  <si>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</si>
  <si>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</si>
  <si>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</si>
  <si>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</si>
  <si>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</si>
  <si>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</si>
  <si>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</si>
  <si>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</si>
  <si>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</si>
  <si>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</si>
  <si>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</si>
  <si>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</si>
  <si>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</si>
  <si>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</si>
  <si>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</si>
  <si>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</si>
  <si>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</si>
  <si>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</si>
  <si>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</si>
  <si>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</si>
  <si>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</si>
  <si>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</si>
  <si>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</si>
  <si>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</si>
  <si>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</si>
  <si>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</si>
  <si>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</si>
  <si>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</si>
  <si>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</si>
  <si>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</si>
  <si>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</si>
  <si>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</si>
  <si>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</si>
  <si>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</si>
  <si>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</si>
  <si>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</si>
  <si>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</si>
  <si>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</si>
  <si>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</si>
  <si>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</si>
  <si>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</si>
  <si>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</si>
  <si>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</si>
  <si>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</si>
  <si>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</si>
  <si>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</si>
  <si>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</si>
  <si>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</si>
  <si>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</si>
  <si>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</si>
  <si>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</si>
  <si>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</si>
  <si>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</si>
  <si>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</si>
  <si>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</si>
  <si>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</si>
  <si>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</si>
  <si>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</si>
  <si>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</si>
  <si>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</si>
  <si>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</si>
  <si>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</si>
  <si>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</si>
  <si>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</si>
  <si>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1.Instruction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</si>
  <si>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</si>
  <si>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</si>
  <si>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</si>
  <si>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</si>
  <si>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</si>
  <si>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</si>
  <si>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</si>
  <si>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Enter City Name (City of )</t>
  </si>
  <si>
    <t>Enter Other Counties' Name:</t>
  </si>
  <si>
    <t>1st</t>
  </si>
  <si>
    <t>2nd</t>
  </si>
  <si>
    <t>3rd</t>
  </si>
  <si>
    <t>Input sheet for City3.XLS budget form</t>
  </si>
  <si>
    <t>Total Assessed Valuation</t>
  </si>
  <si>
    <t xml:space="preserve">Motor              Vehicle </t>
  </si>
  <si>
    <t>Recreational Vehicle</t>
  </si>
  <si>
    <t xml:space="preserve">16\20 M Vehicle </t>
  </si>
  <si>
    <t>Total Vehicle Tax Estimates</t>
  </si>
  <si>
    <r>
      <t>***</t>
    </r>
    <r>
      <rPr>
        <b/>
        <u/>
        <sz val="12"/>
        <rFont val="Times New Roman"/>
        <family val="1"/>
      </rPr>
      <t>Note</t>
    </r>
    <r>
      <rPr>
        <sz val="12"/>
        <rFont val="Times New Roman"/>
        <family val="1"/>
      </rPr>
      <t xml:space="preserve">:  Only used when a portion of the County monies are distributed to the Cities under the provision of                                                                                                                 </t>
    </r>
  </si>
  <si>
    <t xml:space="preserve">        K.S.A. 79-3425c.</t>
  </si>
  <si>
    <t>Assessed Valuation:</t>
  </si>
  <si>
    <t>City3 Spreadsheet Instructions</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</si>
  <si>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</si>
  <si>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Allocation of MVT, RVT, 16/20M Veh &amp; Slider</t>
  </si>
  <si>
    <t>Funds</t>
  </si>
  <si>
    <t>Budget Authority</t>
  </si>
  <si>
    <t xml:space="preserve">expenditure amounts should reflect the amended </t>
  </si>
  <si>
    <t>expenditure amounts.</t>
  </si>
  <si>
    <t>Neighborhood Revitalization Rebate</t>
  </si>
  <si>
    <t>11. Added Neighborhood Revitalization, LAVTR, City and County Revenue Sharing, and Slider to the input page and to the General Fund page. Also added NR to all tax levy fund pages.</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</si>
  <si>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</si>
  <si>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</si>
  <si>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</si>
  <si>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</si>
  <si>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</si>
  <si>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</si>
  <si>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</si>
  <si>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</si>
  <si>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</si>
  <si>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</si>
  <si>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</si>
  <si>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Home County Name followed by "County"</t>
  </si>
  <si>
    <t xml:space="preserve"> Real                                       Estate</t>
  </si>
  <si>
    <t xml:space="preserve">Ad Valorem Tax </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</si>
  <si>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</si>
  <si>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</si>
  <si>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</si>
  <si>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</si>
  <si>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and block turns red on all fund pages for the non-appropirated balance.</t>
  </si>
  <si>
    <t>24. Added to the Certificate page three additional spaces for Counties assessed valuation.</t>
  </si>
  <si>
    <t>25. Added to the instruction page concerning the three additional spaces for Counties budget information.</t>
  </si>
  <si>
    <t>26. Made the Schedule of Transfers it's own worksheet.</t>
  </si>
  <si>
    <t>27. Added Neighborhood Revitalization table and added links to all tax levy fund pages.</t>
  </si>
  <si>
    <t>28. Added to the instructions about neighborhood revitalization.</t>
  </si>
  <si>
    <t>29. Added Slider to Vehicle Allocation table and linked to fund pages.</t>
  </si>
  <si>
    <t>30. Added to all budgeted fund pages the budget authority for the actual year, budget violation, and cash violation.</t>
  </si>
  <si>
    <t>31. Added instruction on the addition for item 31.</t>
  </si>
  <si>
    <t>32.  Added miscellanous category to both receipt and expenditure and set warning on fund pages.</t>
  </si>
  <si>
    <t>33. Added instruction concerning the miscellaneous category and how to fix warning.</t>
  </si>
  <si>
    <t xml:space="preserve">34. Added page number for neighborhood revit on the Certificate page. </t>
  </si>
  <si>
    <t>35. Added three spaces for additional counties on the inputpryr, clerk's info, and certificate page.</t>
  </si>
  <si>
    <t>36. Change Certificate page total mil rate from 0 to blank.</t>
  </si>
  <si>
    <t>38. Added 'excluding oil, gas, and mobile homes' on Clerks budget info on tab inputoth.</t>
  </si>
  <si>
    <t>37. Expanded on the preparation of budget note 11 for instructions for the Notice of Budget Hearing.</t>
  </si>
  <si>
    <t>The following were changed to this spreadsheet on 5/08/2008</t>
  </si>
  <si>
    <t>1. Instruction page #9a change from 'shown be shown' to read 'should be shown'.</t>
  </si>
  <si>
    <t>2. Legend #37 change from 'note 10' to 'note 11'.</t>
  </si>
  <si>
    <r>
      <t>3. Change the Non-Budgeted Funds form from 'Only the actual budget year shown' to read '</t>
    </r>
    <r>
      <rPr>
        <i/>
        <sz val="12"/>
        <rFont val="Times New Roman"/>
        <family val="1"/>
      </rPr>
      <t>Only the actual budget year for YYYY is to be shown</t>
    </r>
    <r>
      <rPr>
        <sz val="12"/>
        <rFont val="Times New Roman"/>
        <family val="1"/>
      </rPr>
      <t>'.</t>
    </r>
  </si>
  <si>
    <t>4. The revision date was changed.</t>
  </si>
  <si>
    <t>The following were changed to this spreadsheet on 7/01/08</t>
  </si>
  <si>
    <t>4. Changed foot note to reflect the changes maded on 7/1/08 to the above tabs.</t>
  </si>
  <si>
    <t>Single No Tax Levy Page:</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</si>
  <si>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</si>
  <si>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</si>
  <si>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</si>
  <si>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</si>
  <si>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</si>
  <si>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</si>
  <si>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</si>
  <si>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</si>
  <si>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</si>
  <si>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</si>
  <si>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</si>
  <si>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</si>
  <si>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</si>
  <si>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</si>
  <si>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</si>
  <si>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</si>
  <si>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</si>
  <si>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</si>
  <si>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</si>
  <si>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</si>
  <si>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</si>
  <si>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</si>
  <si>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</si>
  <si>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</si>
  <si>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72 change from Budget Summary to Budget Certificate.</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</si>
  <si>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</si>
  <si>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</si>
  <si>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</si>
  <si>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</si>
  <si>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</si>
  <si>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</si>
  <si>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</si>
  <si>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</si>
  <si>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</si>
  <si>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</si>
  <si>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</si>
  <si>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</si>
  <si>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</si>
  <si>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</si>
  <si>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</si>
  <si>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</si>
  <si>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</si>
  <si>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</si>
  <si>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</si>
  <si>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</si>
  <si>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</si>
  <si>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</si>
  <si>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</si>
  <si>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</si>
  <si>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</si>
  <si>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</si>
  <si>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</si>
  <si>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</si>
  <si>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</si>
  <si>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</si>
  <si>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</si>
  <si>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</si>
  <si>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</si>
  <si>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12-825d.</t>
    </r>
    <r>
      <rPr>
        <sz val="12"/>
        <color indexed="8"/>
        <rFont val="Times New Roman"/>
        <family val="1"/>
      </rPr>
      <t xml:space="preserve">  </t>
    </r>
    <r>
      <rPr>
        <b/>
        <sz val="12"/>
        <color indexed="8"/>
        <rFont val="Times New Roman"/>
        <family val="1"/>
      </rPr>
      <t>Utility reserve fund.</t>
    </r>
    <r>
      <rPr>
        <sz val="12"/>
        <color indexed="8"/>
        <rFont val="Times New Roman"/>
        <family val="1"/>
      </rPr>
      <t xml:space="preserve">  Cities with a waterworks, fuel, power or lighting plant, may establish a utility reserve fund.</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</si>
  <si>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</si>
  <si>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</si>
  <si>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</si>
  <si>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</si>
  <si>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</si>
  <si>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</si>
  <si>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</si>
  <si>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</si>
  <si>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</si>
  <si>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60-4117.</t>
    </r>
    <r>
      <rPr>
        <sz val="12"/>
        <color indexed="8"/>
        <rFont val="Times New Roman"/>
        <family val="1"/>
      </rPr>
      <t xml:space="preserve">  </t>
    </r>
    <r>
      <rPr>
        <b/>
        <sz val="12"/>
        <color indexed="8"/>
        <rFont val="Times New Roman"/>
        <family val="1"/>
      </rPr>
      <t>Special prosecutor's trust fund.</t>
    </r>
    <r>
      <rPr>
        <sz val="12"/>
        <color indexed="8"/>
        <rFont val="Times New Roman"/>
        <family val="1"/>
      </rPr>
      <t xml:space="preserve">  Provides for creation of a special prosecutor’s trust fund for deposit of proceeds received from the sale of property forfeited pursuant to the act.</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</si>
  <si>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</si>
  <si>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</si>
  <si>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</si>
  <si>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</si>
  <si>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</si>
  <si>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</si>
  <si>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</si>
  <si>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</si>
  <si>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</si>
  <si>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</si>
  <si>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</si>
  <si>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</si>
  <si>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</si>
  <si>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</si>
  <si>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InputPrYr tab changed line A51 from Bond &amp; Interest to Debt Service</t>
  </si>
  <si>
    <t>10. InputOth tab changed line A30 from Bonda &amp; Interest to Debt Service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</si>
  <si>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</si>
  <si>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</si>
  <si>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</si>
  <si>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</si>
  <si>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</si>
  <si>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</si>
  <si>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</si>
  <si>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</si>
  <si>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</si>
  <si>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</si>
  <si>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</si>
  <si>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</si>
  <si>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</si>
  <si>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</si>
  <si>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</si>
  <si>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</si>
  <si>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</si>
  <si>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</si>
  <si>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</si>
  <si>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</si>
  <si>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</si>
  <si>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</si>
  <si>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</si>
  <si>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</si>
  <si>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</si>
  <si>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</si>
  <si>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</si>
  <si>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</si>
  <si>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</si>
  <si>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</si>
  <si>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</si>
  <si>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</si>
  <si>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</si>
  <si>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</si>
  <si>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</si>
  <si>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</si>
  <si>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</si>
  <si>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</si>
  <si>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</si>
  <si>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</si>
  <si>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</si>
  <si>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</si>
  <si>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</si>
  <si>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</si>
  <si>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</si>
  <si>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</si>
  <si>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</si>
  <si>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</si>
  <si>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</si>
  <si>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</si>
  <si>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</si>
  <si>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</si>
  <si>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</si>
  <si>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</si>
  <si>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</si>
  <si>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</si>
  <si>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</si>
  <si>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</si>
  <si>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</si>
  <si>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</si>
  <si>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</si>
  <si>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</si>
  <si>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</si>
  <si>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</si>
  <si>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</si>
  <si>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</si>
  <si>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</si>
  <si>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</si>
  <si>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</si>
  <si>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</si>
  <si>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</si>
  <si>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</si>
  <si>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</si>
  <si>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</si>
  <si>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</si>
  <si>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</si>
  <si>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</si>
  <si>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</si>
  <si>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</si>
  <si>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</si>
  <si>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</si>
  <si>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</si>
  <si>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</si>
  <si>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</si>
  <si>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</si>
  <si>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</si>
  <si>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</si>
  <si>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</si>
  <si>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</si>
  <si>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</si>
  <si>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</si>
  <si>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</si>
  <si>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</si>
  <si>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</si>
  <si>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</si>
  <si>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</si>
  <si>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</si>
  <si>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</si>
  <si>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</si>
  <si>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</si>
  <si>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</si>
  <si>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</si>
  <si>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</si>
  <si>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</si>
  <si>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</si>
  <si>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</si>
  <si>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</si>
  <si>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</si>
  <si>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</si>
  <si>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</si>
  <si>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</si>
  <si>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</si>
  <si>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</si>
  <si>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</si>
  <si>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</si>
  <si>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</si>
  <si>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</si>
  <si>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</si>
  <si>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</si>
  <si>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</si>
  <si>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</si>
  <si>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</si>
  <si>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</si>
  <si>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</si>
  <si>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</si>
  <si>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</si>
  <si>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</si>
  <si>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</si>
  <si>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</si>
  <si>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</si>
  <si>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</si>
  <si>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</si>
  <si>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</si>
  <si>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</si>
  <si>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</si>
  <si>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</si>
  <si>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</si>
  <si>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</si>
  <si>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</si>
  <si>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</si>
  <si>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</si>
  <si>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</si>
  <si>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</si>
  <si>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</si>
  <si>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</si>
  <si>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</si>
  <si>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</si>
  <si>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</si>
  <si>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</si>
  <si>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</si>
  <si>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</si>
  <si>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</si>
  <si>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</si>
  <si>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</si>
  <si>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</si>
  <si>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</si>
  <si>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</si>
  <si>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</si>
  <si>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</si>
  <si>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</si>
  <si>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</si>
  <si>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</si>
  <si>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</si>
  <si>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</si>
  <si>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</si>
  <si>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</si>
  <si>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</si>
  <si>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</si>
  <si>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</si>
  <si>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</si>
  <si>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</si>
  <si>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</si>
  <si>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</si>
  <si>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</si>
  <si>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</si>
  <si>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</si>
  <si>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</si>
  <si>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</si>
  <si>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</si>
  <si>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</si>
  <si>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</si>
  <si>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</si>
  <si>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</si>
  <si>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</si>
  <si>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</si>
  <si>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</si>
  <si>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</si>
  <si>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</si>
  <si>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</si>
  <si>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</si>
  <si>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</si>
  <si>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</si>
  <si>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</si>
  <si>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</si>
  <si>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</si>
  <si>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</si>
  <si>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</si>
  <si>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</si>
  <si>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</si>
  <si>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</si>
  <si>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</si>
  <si>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</si>
  <si>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</si>
  <si>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</si>
  <si>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</si>
  <si>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</si>
  <si>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</si>
  <si>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</si>
  <si>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</si>
  <si>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</si>
  <si>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</si>
  <si>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</si>
  <si>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</si>
  <si>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</si>
  <si>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</si>
  <si>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</si>
  <si>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</si>
  <si>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</si>
  <si>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</si>
  <si>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</si>
  <si>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</si>
  <si>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</si>
  <si>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</si>
  <si>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4c. The Certificate page allows for up to four counties assessed valuation.</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</si>
  <si>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</si>
  <si>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</si>
  <si>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</si>
  <si>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</si>
  <si>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</si>
  <si>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</si>
  <si>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</si>
  <si>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</si>
  <si>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</si>
  <si>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</si>
  <si>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Expenditure</t>
  </si>
  <si>
    <t>Receipt</t>
  </si>
  <si>
    <t xml:space="preserve">Fund Transferred </t>
  </si>
  <si>
    <t>Fund Transferred</t>
  </si>
  <si>
    <t>*Note:</t>
  </si>
  <si>
    <r>
      <t>Adjustments</t>
    </r>
    <r>
      <rPr>
        <b/>
        <sz val="12"/>
        <color indexed="10"/>
        <rFont val="Times New Roman"/>
        <family val="1"/>
      </rPr>
      <t>*</t>
    </r>
  </si>
  <si>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</si>
  <si>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</si>
  <si>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</si>
  <si>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</si>
  <si>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Does miscellaneous exceed 10% of Total Rec</t>
  </si>
  <si>
    <t>Does miscellaneous exceed 10% of Total Exp</t>
  </si>
  <si>
    <t>Official Title:</t>
  </si>
  <si>
    <t>City Clerk, City Treasurer, Mayor</t>
  </si>
  <si>
    <t>Beginning Amt.</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</si>
  <si>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</si>
  <si>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</si>
  <si>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</si>
  <si>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</si>
  <si>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</si>
  <si>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</si>
  <si>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</si>
  <si>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</si>
  <si>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</si>
  <si>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</si>
  <si>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</si>
  <si>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</si>
  <si>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</si>
  <si>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</si>
  <si>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</si>
  <si>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</si>
  <si>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</si>
  <si>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</si>
  <si>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</si>
  <si>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</si>
  <si>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</si>
  <si>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</si>
  <si>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</si>
  <si>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</si>
  <si>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</si>
  <si>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</si>
  <si>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</si>
  <si>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</si>
  <si>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</si>
  <si>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</si>
  <si>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</si>
  <si>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</si>
  <si>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</si>
  <si>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</si>
  <si>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</si>
  <si>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</si>
  <si>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</si>
  <si>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</si>
  <si>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</si>
  <si>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</si>
  <si>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</si>
  <si>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</si>
  <si>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</si>
  <si>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</si>
  <si>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</si>
  <si>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</si>
  <si>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</si>
  <si>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</si>
  <si>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</si>
  <si>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</si>
  <si>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</si>
  <si>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</si>
  <si>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</si>
  <si>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</si>
  <si>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</si>
  <si>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</si>
  <si>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</si>
  <si>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</si>
  <si>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</si>
  <si>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</si>
  <si>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</si>
  <si>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</si>
  <si>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</si>
  <si>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</si>
  <si>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</si>
  <si>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</si>
  <si>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</si>
  <si>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</si>
  <si>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</si>
  <si>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</si>
  <si>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</si>
  <si>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</si>
  <si>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</si>
  <si>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</si>
  <si>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</si>
  <si>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Non-Appropriated Balance</t>
  </si>
  <si>
    <t>Total Expenditure/Non-Appr Balance</t>
  </si>
  <si>
    <t>Delinquent Comp Rate:</t>
  </si>
  <si>
    <t>Change in Ad Valorem Tax Revenue:</t>
  </si>
  <si>
    <t>What Mill Rate Would Be Desired?</t>
  </si>
  <si>
    <t>1. All pages removed the revision date</t>
  </si>
  <si>
    <t>2. All tax levy fund pages reduced the columns and revised the bottom of pages for see tabs</t>
  </si>
  <si>
    <t>for Expenditures</t>
  </si>
  <si>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</si>
  <si>
    <t xml:space="preserve">2. The information entered into the Input Other (inputOth) worksheet is obtained from the County Clerk, County Treasurer, League of Municipalities "Budget Tips", and the budget from two years ago (the year for actual year column of the current budget).  After the information has been entered, please verify the data is correct. </t>
  </si>
  <si>
    <t>Desired Carryover Amount:</t>
  </si>
  <si>
    <t>Estimated Mill Rate Impact:</t>
  </si>
  <si>
    <t xml:space="preserve">Totals </t>
  </si>
  <si>
    <t>3. Instruction tab added lines 4d (cert-rec), 14(project carryover), 14a (Desired Carryover), and 15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</si>
  <si>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</si>
  <si>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</si>
  <si>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</si>
  <si>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</si>
  <si>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</si>
  <si>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</si>
  <si>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</si>
  <si>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</si>
  <si>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</si>
  <si>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</si>
  <si>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 tax levy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</si>
  <si>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</si>
  <si>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</si>
  <si>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</si>
  <si>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</si>
  <si>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</si>
  <si>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</si>
  <si>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</si>
  <si>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</si>
  <si>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</si>
  <si>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</si>
  <si>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</si>
  <si>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</si>
  <si>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</si>
  <si>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</si>
  <si>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</si>
  <si>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</si>
  <si>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</si>
  <si>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</si>
  <si>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</si>
  <si>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</si>
  <si>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</si>
  <si>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</si>
  <si>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</si>
  <si>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1. Summ tab changed proposed year expenditure column to 'Budget Authority for Expenditures'</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</si>
  <si>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</si>
  <si>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</si>
  <si>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</si>
  <si>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</si>
  <si>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</si>
  <si>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</si>
  <si>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</si>
  <si>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</si>
  <si>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</si>
  <si>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</si>
  <si>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</si>
  <si>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</si>
  <si>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</si>
  <si>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</si>
  <si>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</si>
  <si>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</si>
  <si>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</si>
  <si>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</si>
  <si>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</si>
  <si>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</si>
  <si>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</si>
  <si>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</si>
  <si>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</si>
  <si>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</si>
  <si>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</si>
  <si>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</si>
  <si>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</si>
  <si>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</si>
  <si>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</si>
  <si>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</si>
  <si>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</si>
  <si>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</si>
  <si>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</si>
  <si>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</si>
  <si>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</si>
  <si>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</si>
  <si>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</si>
  <si>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</si>
  <si>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</si>
  <si>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</si>
  <si>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</si>
  <si>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</si>
  <si>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</si>
  <si>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</si>
  <si>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</si>
  <si>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</si>
  <si>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</si>
  <si>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</si>
  <si>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</si>
  <si>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</si>
  <si>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</si>
  <si>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</si>
  <si>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Library</t>
  </si>
  <si>
    <t>12-1220</t>
  </si>
  <si>
    <t xml:space="preserve">Prior Year </t>
  </si>
  <si>
    <t xml:space="preserve">Current Year </t>
  </si>
  <si>
    <t xml:space="preserve">Proposed Budget </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</si>
  <si>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</si>
  <si>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</si>
  <si>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</si>
  <si>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</si>
  <si>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</si>
  <si>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</si>
  <si>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</si>
  <si>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</si>
  <si>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</si>
  <si>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</si>
  <si>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</si>
  <si>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</si>
  <si>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</si>
  <si>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</si>
  <si>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</si>
  <si>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</si>
  <si>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</si>
  <si>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Type of</t>
  </si>
  <si>
    <t xml:space="preserve">  Debt</t>
  </si>
  <si>
    <t>Items</t>
  </si>
  <si>
    <t xml:space="preserve"> Purchased</t>
  </si>
  <si>
    <t>Expenditures Must Be Changed by:</t>
  </si>
  <si>
    <t>Mill Rate Comparison</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</si>
  <si>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</si>
  <si>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</si>
  <si>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</si>
  <si>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</si>
  <si>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</si>
  <si>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</si>
  <si>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</si>
  <si>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</si>
  <si>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</si>
  <si>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</si>
  <si>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</si>
  <si>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</si>
  <si>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</si>
  <si>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</si>
  <si>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</si>
  <si>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</si>
  <si>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</si>
  <si>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</si>
  <si>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</si>
  <si>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</si>
  <si>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</si>
  <si>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</si>
  <si>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</si>
  <si>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</si>
  <si>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</si>
  <si>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</si>
  <si>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</si>
  <si>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</si>
  <si>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</si>
  <si>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</si>
  <si>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</si>
  <si>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</si>
  <si>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</si>
  <si>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</si>
  <si>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</si>
  <si>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</si>
  <si>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</si>
  <si>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</si>
  <si>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</si>
  <si>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</si>
  <si>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</si>
  <si>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 xml:space="preserve">Budgeted Funds </t>
  </si>
  <si>
    <t xml:space="preserve">This spreadsheet was designed for a City having up to four counties providing budget information.  Additionally, the spreadsheet has General, Debt Service, Library, 4 tax levy fund pages, Special Highway, five no tax levy fund pages, one full page no tax levy fund page, and a non-budgeted fund page holding up to five funds.  </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</si>
  <si>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</si>
  <si>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</si>
  <si>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</si>
  <si>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</si>
  <si>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</si>
  <si>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</si>
  <si>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</si>
  <si>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</si>
  <si>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</si>
  <si>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</si>
  <si>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</si>
  <si>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</si>
  <si>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</si>
  <si>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</si>
  <si>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</si>
  <si>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</si>
  <si>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</si>
  <si>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</si>
  <si>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</si>
  <si>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</si>
  <si>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</si>
  <si>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</si>
  <si>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</si>
  <si>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</si>
  <si>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</si>
  <si>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
    </r>
  </si>
  <si>
    <r>
      <t xml:space="preserve">13a. </t>
    </r>
    <r>
      <rPr>
        <b/>
        <u/>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</si>
  <si>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</si>
  <si>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</si>
  <si>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</si>
  <si>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</si>
  <si>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</si>
  <si>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</si>
  <si>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</si>
  <si>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</si>
  <si>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</si>
  <si>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</si>
  <si>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</si>
  <si>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</si>
  <si>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 xml:space="preserve">Allocation of Motor (MVT), Recreational (RVT), 16/20M  Vehicle Tax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</si>
  <si>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</si>
  <si>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#4d to show Certificate page new schedule for Library Grant</t>
  </si>
  <si>
    <t xml:space="preserve">peter.haxton@library.ks.gov </t>
  </si>
  <si>
    <t>1. Library Grant tab, updated State Library e-mail contact address</t>
  </si>
  <si>
    <t>1. Corrected addition computation in column D, inputPrYr tab</t>
  </si>
  <si>
    <t>1. Corrected prior year fund mill rate link on library fund page.</t>
  </si>
  <si>
    <t>1.  Added "ordinance required?  yes/no" message to area adjacent to each tax levy fund</t>
  </si>
  <si>
    <t>1.  Corrected formula in cell e9 on Mvalloc tab page; corrected formula error in cell e38 on Cert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</si>
  <si>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</si>
  <si>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</si>
  <si>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</si>
  <si>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</si>
  <si>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</si>
  <si>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</si>
  <si>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</si>
  <si>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</si>
  <si>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</si>
  <si>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 xml:space="preserve">you must publish notice of vote by the governing body to adopt such budget in the official county newspaper and </t>
  </si>
  <si>
    <t>attach a copy of the published notice to this budget.</t>
  </si>
  <si>
    <t>16.</t>
  </si>
  <si>
    <t>Consumer Price Index for all urban consumers for calendar year 2013</t>
  </si>
  <si>
    <t>17.</t>
  </si>
  <si>
    <t>Consumer Price Index adjustment (3 times 16)</t>
  </si>
  <si>
    <t>18.</t>
  </si>
  <si>
    <t>Maximum levy for budget year 2015, including debt service, not requiring 'notice of vote publication.'</t>
  </si>
  <si>
    <t>(15 plus 17)</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</si>
  <si>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</si>
  <si>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</si>
  <si>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</si>
  <si>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</si>
  <si>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</si>
  <si>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</si>
  <si>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</si>
  <si>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</si>
  <si>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</si>
  <si>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</si>
  <si>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</si>
  <si>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</si>
  <si>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 xml:space="preserve">Sample Notice of Vote Publication </t>
  </si>
  <si>
    <t>Pursuant to K.S.A. 79-2925b, as amended by 2014 House Bill 2047</t>
  </si>
  <si>
    <t>Total Property Tax Levied</t>
  </si>
  <si>
    <t>1.  Several changes to workbook associated with 2014 HB 2047.</t>
  </si>
  <si>
    <t>The following changes were made to this workbook on 5/9/14</t>
  </si>
  <si>
    <t>The following changes were made to this workbook on 4/7/14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</si>
  <si>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</si>
  <si>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</si>
  <si>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</si>
  <si>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</si>
  <si>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4/27/12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</si>
  <si>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</si>
  <si>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</si>
  <si>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</si>
  <si>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</si>
  <si>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4/19/11</t>
  </si>
  <si>
    <t>The following changes were made to this workbook on 9/1/10</t>
  </si>
  <si>
    <t>The following changes were made to this workbook on 1/05/10</t>
  </si>
  <si>
    <t>The following changes were made to this workbook on 12/28/09</t>
  </si>
  <si>
    <t>The following changes were made to this workbook on 12/08/09</t>
  </si>
  <si>
    <t>The following changes were made to this workbook on 10/5/09</t>
  </si>
  <si>
    <t>The following changes were made to this workbook on 6/16/09</t>
  </si>
  <si>
    <t>In no event will published notice of the vote be required if the total budget year tax levy is $1,000 or less.</t>
  </si>
  <si>
    <t>City of Bonner Springs</t>
  </si>
  <si>
    <t>Wyandotte County</t>
  </si>
  <si>
    <t>Johnson County</t>
  </si>
  <si>
    <t>Leavenworth County</t>
  </si>
  <si>
    <t>Spec. Rev. Drug &amp; Alcohol</t>
  </si>
  <si>
    <t>Spec. Rev. Economic Development</t>
  </si>
  <si>
    <t>Spec. Rev. Emergency Services Capital</t>
  </si>
  <si>
    <t>Spec. Rev. Emergency Medical Services</t>
  </si>
  <si>
    <t>Spec. Rev. Library Sales Tax</t>
  </si>
  <si>
    <t>Spec. Rev. Park Dedication</t>
  </si>
  <si>
    <t>Spec. Rev. Recreation Programs</t>
  </si>
  <si>
    <t>Spec. Rev. Risk Management</t>
  </si>
  <si>
    <t>Spec. Rev. Senior Center</t>
  </si>
  <si>
    <t>Spec. Rev. Sidewalk Escrow</t>
  </si>
  <si>
    <t>Spec. Rev. Soccer</t>
  </si>
  <si>
    <t>Spec. Rev. Special Parks &amp; Recreation</t>
  </si>
  <si>
    <t>Spec. Rev. Street Projects</t>
  </si>
  <si>
    <t>Spec. Rev. Summer Ball</t>
  </si>
  <si>
    <t>Spec. Rev. Swimming Pool</t>
  </si>
  <si>
    <t>Spec. Rev. Tiblow Transit</t>
  </si>
  <si>
    <t>Spec. Rev. TIF Develop Funds</t>
  </si>
  <si>
    <t>Bonner Pointe TIF Increment</t>
  </si>
  <si>
    <t>CID Development Fees</t>
  </si>
  <si>
    <t>Bonner Springs Center CID</t>
  </si>
  <si>
    <t>Bonner Springs Ctr City Contribution</t>
  </si>
  <si>
    <t>Enterprise Fund - Solid Waste</t>
  </si>
  <si>
    <t>Enterprise Fund - Storm Water</t>
  </si>
  <si>
    <t>Enterprise Fund - Waste Water</t>
  </si>
  <si>
    <t>Enterprise Fund - Water</t>
  </si>
  <si>
    <t>Non Budgeted Funds</t>
  </si>
  <si>
    <t>Spec. Rev. Aquatic Park Facility Sales Tax</t>
  </si>
  <si>
    <t>Spec. Rev. County Infrastructure</t>
  </si>
  <si>
    <t>Certified</t>
  </si>
  <si>
    <t>Spec. Rev. Aquatic Parks Sales Tax</t>
  </si>
  <si>
    <t>Spec. Rev. CIP Sales Tax</t>
  </si>
  <si>
    <t>Amend</t>
  </si>
  <si>
    <t>Amended</t>
  </si>
  <si>
    <t>City Clerk</t>
  </si>
  <si>
    <t>August 11, 2014</t>
  </si>
  <si>
    <t>7:30 p.m.</t>
  </si>
  <si>
    <t>205 East Second Street</t>
  </si>
  <si>
    <t>Bonner Beautiful</t>
  </si>
  <si>
    <t>Budget &amp; Finance</t>
  </si>
  <si>
    <t>Building &amp; Codes</t>
  </si>
  <si>
    <t>Cemetery</t>
  </si>
  <si>
    <t>City Band</t>
  </si>
  <si>
    <t>City Council</t>
  </si>
  <si>
    <t>City Manager</t>
  </si>
  <si>
    <t>Custodial</t>
  </si>
  <si>
    <t>Fire</t>
  </si>
  <si>
    <t>Municipal Court</t>
  </si>
  <si>
    <t>Planning</t>
  </si>
  <si>
    <t>Police</t>
  </si>
  <si>
    <t>Project Manager</t>
  </si>
  <si>
    <t>Property Maintenance Codes</t>
  </si>
  <si>
    <t>Public Works</t>
  </si>
  <si>
    <t>Transfers &amp; Contingencies</t>
  </si>
  <si>
    <t xml:space="preserve">  Salary Survey Adjustment</t>
  </si>
  <si>
    <t xml:space="preserve">  Retail Incentive Rebate</t>
  </si>
  <si>
    <t xml:space="preserve">  Transfers</t>
  </si>
  <si>
    <t xml:space="preserve">  Miscellaneous Expense</t>
  </si>
  <si>
    <t>Total Page 1</t>
  </si>
  <si>
    <t>Total Page 2</t>
  </si>
  <si>
    <t>Grand Total</t>
  </si>
  <si>
    <t>Actual for 2013</t>
  </si>
  <si>
    <t>Estimate for 2014</t>
  </si>
  <si>
    <t>Year for 2015</t>
  </si>
  <si>
    <t>Parks &amp; Recreation</t>
  </si>
  <si>
    <t xml:space="preserve">Page </t>
  </si>
  <si>
    <t>8a</t>
  </si>
  <si>
    <t>8c</t>
  </si>
  <si>
    <t>General Fund</t>
  </si>
  <si>
    <t>Emergency Medical Services</t>
  </si>
  <si>
    <t>Senior Center</t>
  </si>
  <si>
    <t>Swimming Pool</t>
  </si>
  <si>
    <t>Tiblow Transit</t>
  </si>
  <si>
    <t>Economic Development</t>
  </si>
  <si>
    <t>Bonner Springs Center City Contribution</t>
  </si>
  <si>
    <t>Street Projects</t>
  </si>
  <si>
    <t>Waste Water</t>
  </si>
  <si>
    <t xml:space="preserve">  Total From General Fund</t>
  </si>
  <si>
    <t>Drug &amp; Alcohol</t>
  </si>
  <si>
    <t>Solid Waste</t>
  </si>
  <si>
    <t>Water</t>
  </si>
  <si>
    <t>City Sales &amp; Use Tax</t>
  </si>
  <si>
    <t>County Sales &amp; Use Tax</t>
  </si>
  <si>
    <t xml:space="preserve">Casino Revenue </t>
  </si>
  <si>
    <t>Franchise Fees</t>
  </si>
  <si>
    <t>Fines</t>
  </si>
  <si>
    <t>Amusement Tax</t>
  </si>
  <si>
    <t>Reimbursed Expenses</t>
  </si>
  <si>
    <t>Loring Services - Streets</t>
  </si>
  <si>
    <t>Liquor Tax</t>
  </si>
  <si>
    <t>Permits</t>
  </si>
  <si>
    <t>Loring Services - Police</t>
  </si>
  <si>
    <t>Court Fees</t>
  </si>
  <si>
    <t>Service Charges</t>
  </si>
  <si>
    <t>Payments in Lieu of Tax</t>
  </si>
  <si>
    <t>Miscellaneous Revenue</t>
  </si>
  <si>
    <t>Recreation Fees</t>
  </si>
  <si>
    <t>Animal Fees</t>
  </si>
  <si>
    <t>Miscellaneous Fees</t>
  </si>
  <si>
    <t xml:space="preserve">Grants </t>
  </si>
  <si>
    <t>Transfers From:  Water</t>
  </si>
  <si>
    <t xml:space="preserve">                            Waste Water</t>
  </si>
  <si>
    <t xml:space="preserve">                            Solid Waste</t>
  </si>
  <si>
    <t xml:space="preserve">                            Special Drug &amp; Alcohol</t>
  </si>
  <si>
    <t xml:space="preserve">                            134 Street Relocation-Gen</t>
  </si>
  <si>
    <t xml:space="preserve">                            Klink Resurface Project</t>
  </si>
  <si>
    <t>Ordinance 2178</t>
  </si>
  <si>
    <t>12-825d</t>
  </si>
  <si>
    <t>Spec. Rev. Tourism</t>
  </si>
  <si>
    <t>Certified Oct 2013</t>
  </si>
  <si>
    <t>Contractual Services</t>
  </si>
  <si>
    <t>Major Capital Items</t>
  </si>
  <si>
    <t>Transfer to:  Swimming Pool</t>
  </si>
  <si>
    <t xml:space="preserve">                     Soccer</t>
  </si>
  <si>
    <t>Miscellaneous Program Fees</t>
  </si>
  <si>
    <t>Personnel Services</t>
  </si>
  <si>
    <t>Commodity Items</t>
  </si>
  <si>
    <t>Capital Items</t>
  </si>
  <si>
    <t>Youth Volleyball Personnel Services</t>
  </si>
  <si>
    <t xml:space="preserve">Youth Volleyball  </t>
  </si>
  <si>
    <t>Transfer from Special Parks</t>
  </si>
  <si>
    <t>Ball Program Fees</t>
  </si>
  <si>
    <t>Sponsorship Fees</t>
  </si>
  <si>
    <t xml:space="preserve">Concession Revenue </t>
  </si>
  <si>
    <t xml:space="preserve">Personnel Services </t>
  </si>
  <si>
    <t>Soccer Program Fees</t>
  </si>
  <si>
    <t>Cancellation Fees</t>
  </si>
  <si>
    <t xml:space="preserve">Commodity Items </t>
  </si>
  <si>
    <t>Transfer from Special Parks &amp; Recreation</t>
  </si>
  <si>
    <t>Transfer from General Fund</t>
  </si>
  <si>
    <t>Daily Admissions</t>
  </si>
  <si>
    <t>Season Passes</t>
  </si>
  <si>
    <t>Private Rentals</t>
  </si>
  <si>
    <t>10 Punch Pass</t>
  </si>
  <si>
    <t>Aquatic Programs</t>
  </si>
  <si>
    <t>Swim Lessons</t>
  </si>
  <si>
    <t>Group Swim Dive Lessons</t>
  </si>
  <si>
    <t>Private Swim Lessons</t>
  </si>
  <si>
    <t>Swim Team Fees</t>
  </si>
  <si>
    <t>Swim Team T-Shirt Reimbursements</t>
  </si>
  <si>
    <t>Lifeguard Reimbursements</t>
  </si>
  <si>
    <t>Merchandise Sales</t>
  </si>
  <si>
    <t>Concession Sales</t>
  </si>
  <si>
    <t>Special Programs</t>
  </si>
  <si>
    <t>Impact Fees</t>
  </si>
  <si>
    <t>Developer Fees</t>
  </si>
  <si>
    <t>Special Parks &amp; Recreation</t>
  </si>
  <si>
    <t>Soccer</t>
  </si>
  <si>
    <t>3.4-4.6</t>
  </si>
  <si>
    <t>Mar/Sept</t>
  </si>
  <si>
    <t>Temporary Note 2012-A</t>
  </si>
  <si>
    <t xml:space="preserve">May </t>
  </si>
  <si>
    <t>None</t>
  </si>
  <si>
    <t>NA</t>
  </si>
  <si>
    <t>2007 G.O. Bonds</t>
  </si>
  <si>
    <t>2008 G.O. Bonds-Lake Forest</t>
  </si>
  <si>
    <t>2009 G.O. Bonds</t>
  </si>
  <si>
    <t>2011 G.O. Bonds</t>
  </si>
  <si>
    <t>2014 G/O. Bonds</t>
  </si>
  <si>
    <t xml:space="preserve">Note;        </t>
  </si>
  <si>
    <t xml:space="preserve">Redeemed </t>
  </si>
  <si>
    <t>with 2014-A</t>
  </si>
  <si>
    <t xml:space="preserve">Note:  </t>
  </si>
  <si>
    <t>2004-A G.O. Bonds*</t>
  </si>
  <si>
    <t>2006 G.O. Bonds-Library**</t>
  </si>
  <si>
    <t>2014 Budget</t>
  </si>
  <si>
    <t>Amendments</t>
  </si>
  <si>
    <t>Payment In Lieu of Tax</t>
  </si>
  <si>
    <t>Undistributed Taxes by City</t>
  </si>
  <si>
    <t>Tax Distribution</t>
  </si>
  <si>
    <t xml:space="preserve">Principal </t>
  </si>
  <si>
    <t xml:space="preserve">Interest   </t>
  </si>
  <si>
    <t>Special Assessments</t>
  </si>
  <si>
    <t>Transfer From:  Waste Water</t>
  </si>
  <si>
    <t xml:space="preserve">                          Water</t>
  </si>
  <si>
    <t xml:space="preserve">                          Library Sales Tax</t>
  </si>
  <si>
    <t xml:space="preserve">                          Library Project</t>
  </si>
  <si>
    <t xml:space="preserve">                          Wolf Creek Sewer</t>
  </si>
  <si>
    <t xml:space="preserve">                          Storm Water</t>
  </si>
  <si>
    <t xml:space="preserve">                          Emergency Service Sales Tax</t>
  </si>
  <si>
    <t xml:space="preserve">                          Aquatic Facility Sales Tax </t>
  </si>
  <si>
    <t>Temporary Note Payoff</t>
  </si>
  <si>
    <t>Miscellaneous Cash Basis Reserve</t>
  </si>
  <si>
    <t>Guest Tax</t>
  </si>
  <si>
    <t>Reimbursed Expense</t>
  </si>
  <si>
    <t>Transfer to:  DARE Festival</t>
  </si>
  <si>
    <t xml:space="preserve">                     General Fund - DARE</t>
  </si>
  <si>
    <t xml:space="preserve">   Total To General Fund</t>
  </si>
  <si>
    <t xml:space="preserve">Debt Service </t>
  </si>
  <si>
    <t xml:space="preserve">Water </t>
  </si>
  <si>
    <t>Library Sales Tax</t>
  </si>
  <si>
    <t>Storm Water</t>
  </si>
  <si>
    <t>Emergency Service Sales Tax</t>
  </si>
  <si>
    <t>Aquatic Facility Sales Tax</t>
  </si>
  <si>
    <t xml:space="preserve">  Total to Debt Service</t>
  </si>
  <si>
    <t xml:space="preserve">Drug &amp; Alcohol </t>
  </si>
  <si>
    <t>Miscellaneous Fid Internal Service</t>
  </si>
  <si>
    <t>IRB Origination Fee</t>
  </si>
  <si>
    <t>TIF Application Fees</t>
  </si>
  <si>
    <t>Major Capital - Excess Sales Tax</t>
  </si>
  <si>
    <t>Transfer to Debt Service</t>
  </si>
  <si>
    <t>Ambulance Fees</t>
  </si>
  <si>
    <t>Transfer to Street Projects</t>
  </si>
  <si>
    <t xml:space="preserve">Capital Items </t>
  </si>
  <si>
    <t>Wyandotte County Social Services</t>
  </si>
  <si>
    <t>Sidewalk Escrow Fees</t>
  </si>
  <si>
    <t>Major Capital Items - Sidewalks</t>
  </si>
  <si>
    <t>State Highway Tax</t>
  </si>
  <si>
    <t>County Highway Tax</t>
  </si>
  <si>
    <t>State Connecting Link</t>
  </si>
  <si>
    <t>Transfer from:  Capital Improvement Tax</t>
  </si>
  <si>
    <t xml:space="preserve">                         County Infrastructure</t>
  </si>
  <si>
    <t xml:space="preserve">                         General Fund </t>
  </si>
  <si>
    <t>Transfer to K-32 Street Construction</t>
  </si>
  <si>
    <t>County Infrastructure</t>
  </si>
  <si>
    <t>Section 5311 Transportation</t>
  </si>
  <si>
    <t>Donations-Fares</t>
  </si>
  <si>
    <t>Donations-Other</t>
  </si>
  <si>
    <t>Grants</t>
  </si>
  <si>
    <t>Transfer from Senior Center Account</t>
  </si>
  <si>
    <t xml:space="preserve">Transfer from General Fund </t>
  </si>
  <si>
    <t>Senior Center Account</t>
  </si>
  <si>
    <t>TIF Increment-Wy Co Ad Valorem Tax</t>
  </si>
  <si>
    <t>CID Sales Tax</t>
  </si>
  <si>
    <t>User Charges</t>
  </si>
  <si>
    <t>Penalties</t>
  </si>
  <si>
    <t>Miscellaneous Revenue - Recycling</t>
  </si>
  <si>
    <t>Transfer to General Fund</t>
  </si>
  <si>
    <t>Storm Water Fees</t>
  </si>
  <si>
    <t>Sewer Surcharges</t>
  </si>
  <si>
    <t>Sewer Impact Fees</t>
  </si>
  <si>
    <t>Transfer From:  134 Street Relocation-General</t>
  </si>
  <si>
    <t xml:space="preserve">                          General Fund-Develop. Fees</t>
  </si>
  <si>
    <t>Cancel Prior Year Encumbrance</t>
  </si>
  <si>
    <t xml:space="preserve">  Total Miscellaneous</t>
  </si>
  <si>
    <t>Transfers to:   Debt Service</t>
  </si>
  <si>
    <t xml:space="preserve">                       General Fund </t>
  </si>
  <si>
    <t>Miscellaneous Permits</t>
  </si>
  <si>
    <t>Fees</t>
  </si>
  <si>
    <t>Sale of Property</t>
  </si>
  <si>
    <t>Transfer from 134 Street Relocation -General</t>
  </si>
  <si>
    <t>Transfer to:  Debt Service</t>
  </si>
  <si>
    <t xml:space="preserve">                     General Fund</t>
  </si>
  <si>
    <t>Note for actual Library tax distribution</t>
  </si>
  <si>
    <t>See Fund 525 Annual Report for actual</t>
  </si>
  <si>
    <t>Taxes paid to Library.  Use actual revenue.</t>
  </si>
  <si>
    <t xml:space="preserve">and adopted the maximum expenditures for various funds for the 2015 Budget and (3) the Amounts of the </t>
  </si>
  <si>
    <t>2014 Ad Valorem Taxes are within statutory limitations.</t>
  </si>
  <si>
    <t>We, the undersigned, officers of the</t>
  </si>
  <si>
    <t xml:space="preserve">certify that: (1) the hearing mentioned in the attached publication was held; (2) after the Budget Hearing, </t>
  </si>
  <si>
    <t xml:space="preserve"> the City Council adopted the maximum expenditures for 2014 Budget Amendments</t>
  </si>
  <si>
    <t>The governing body of the</t>
  </si>
  <si>
    <t>answering objections of taxpayers relating to the proposed use of all funds and the amount of ad valorem tax for the 2015 Budget.</t>
  </si>
  <si>
    <t xml:space="preserve">                                                      The hearing will include 2014 Budget Amendments shown in bold in the 2014 Expenditure Column.</t>
  </si>
  <si>
    <t>**Redeemed $405,000 with 2014-A G. O. Bonds April 2014</t>
  </si>
  <si>
    <t xml:space="preserve">              *Refunded with 2014-A G.O. Bonds April 2014</t>
  </si>
  <si>
    <t>Miscellaneous Capital Projects</t>
  </si>
  <si>
    <t>Miscellaneous Capita Project Funds</t>
  </si>
  <si>
    <t>Misc. Fiduciary/Int Service Funds</t>
  </si>
  <si>
    <t>Misc. Special Revenue Funds</t>
  </si>
  <si>
    <t>Transfer from Gen Fund</t>
  </si>
  <si>
    <t>Transfer From Streets</t>
  </si>
  <si>
    <t>Transfer from Storm Water</t>
  </si>
  <si>
    <t>Transfer to Waste Water</t>
  </si>
  <si>
    <t xml:space="preserve">Transfer to Water </t>
  </si>
  <si>
    <t>Donations</t>
  </si>
  <si>
    <t>Transfer from Spec/</t>
  </si>
  <si>
    <t xml:space="preserve">     Drug &amp; Alcohol</t>
  </si>
  <si>
    <t>Capital Improvement Sales Tax</t>
  </si>
  <si>
    <t>Transfer to:  2009-1 Temporary Note</t>
  </si>
  <si>
    <t xml:space="preserve">                     Debt Service - Front Street</t>
  </si>
  <si>
    <t>2015 Budget</t>
  </si>
  <si>
    <t>__________________________________</t>
  </si>
  <si>
    <t xml:space="preserve">      Jeff Harrington, Mayor</t>
  </si>
  <si>
    <t>Attest:  _____________________________</t>
  </si>
  <si>
    <t xml:space="preserve">                       Rita Hoag, City Clerk </t>
  </si>
  <si>
    <t xml:space="preserve">         Seal</t>
  </si>
  <si>
    <t>Approved (vote)  6 to 0</t>
  </si>
  <si>
    <t>8b</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</si>
</sst>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0.000"/>
    <numFmt numFmtId="171" formatCode="0.000%"/>
    <numFmt numFmtId="172" formatCode="[$-409]mmmm\ d\,\ yyyy;@"/>
    <numFmt numFmtId="173" formatCode="[$-409]h:mm\ AM/PM;@"/>
    <numFmt numFmtId="174" formatCode="&quot;$&quot;#,##0"/>
    <numFmt numFmtId="175" formatCode="&quot;$&quot;#,##0.00"/>
    <numFmt numFmtId="176" formatCode="#,###"/>
    <numFmt numFmtId="177" formatCode="#,##0.000_);[Red]\(#,##0.000\)"/>
    <numFmt numFmtId="178" formatCode="0.0%"/>
  </numFmts>
  <fonts count="61"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b/>
      <sz val="12"/>
      <color indexed="10"/>
      <name val="Times New Roman"/>
      <family val="1"/>
    </font>
    <font>
      <sz val="12"/>
      <name val="Courier"/>
      <family val="3"/>
    </font>
    <font>
      <sz val="12"/>
      <color indexed="10"/>
      <name val="Courier"/>
      <family val="3"/>
    </font>
    <font>
      <i/>
      <sz val="12"/>
      <name val="Times New Roman"/>
      <family val="1"/>
    </font>
    <font>
      <b/>
      <sz val="14"/>
      <name val="Times New Roman"/>
      <family val="1"/>
    </font>
    <font>
      <sz val="12"/>
      <color indexed="8"/>
      <name val="Times New Roman"/>
      <family val="1"/>
    </font>
    <font>
      <b/>
      <sz val="11"/>
      <name val="Times New Roman"/>
      <family val="1"/>
    </font>
    <font>
      <b/>
      <sz val="12"/>
      <color indexed="8"/>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0"/>
      <name val="Courier"/>
      <family val="3"/>
    </font>
    <font>
      <b/>
      <sz val="8"/>
      <color indexed="10"/>
      <name val="Times New Roman"/>
      <family val="1"/>
    </font>
    <font>
      <u/>
      <sz val="12"/>
      <color indexed="10"/>
      <name val="Times New Roman"/>
      <family val="1"/>
    </font>
    <font>
      <sz val="10"/>
      <color indexed="10"/>
      <name val="Times New Roman"/>
      <family val="1"/>
    </font>
    <font>
      <u/>
      <sz val="12"/>
      <color indexed="12"/>
      <name val="Courier New"/>
      <family val="3"/>
    </font>
    <font>
      <b/>
      <sz val="11"/>
      <name val="Calibri"/>
      <family val="2"/>
    </font>
    <font>
      <sz val="11"/>
      <color theme="1"/>
      <name val="Calibri"/>
      <family val="2"/>
      <scheme val="minor"/>
    </font>
    <font>
      <b/>
      <sz val="11"/>
      <color theme="1"/>
      <name val="Calibri"/>
      <family val="2"/>
      <scheme val="minor"/>
    </font>
    <font>
      <u/>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0"/>
      <color rgb="FFFF0000"/>
      <name val="Times New Roman"/>
      <family val="1"/>
    </font>
    <font>
      <sz val="12"/>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2"/>
      <color rgb="FF000000"/>
      <name val="Times New Roman"/>
      <family val="1"/>
    </font>
    <font>
      <b/>
      <sz val="10"/>
      <color rgb="FFFF0000"/>
      <name val="Times New Roman"/>
      <family val="1"/>
    </font>
    <font>
      <b/>
      <sz val="14"/>
      <color theme="1"/>
      <name val="Calibri"/>
      <family val="2"/>
      <scheme val="minor"/>
    </font>
    <font>
      <b/>
      <sz val="9"/>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1"/>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00FFFF"/>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9">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 fillId="0" borderId="0"/>
    <xf numFmtId="0" fontId="2"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31" fillId="0" borderId="0"/>
    <xf numFmtId="0" fontId="27" fillId="0" borderId="0"/>
    <xf numFmtId="0" fontId="27" fillId="0" borderId="0"/>
    <xf numFmtId="0" fontId="27" fillId="0" borderId="0"/>
    <xf numFmtId="0" fontId="27" fillId="0" borderId="0"/>
    <xf numFmtId="0" fontId="31" fillId="0" borderId="0"/>
    <xf numFmtId="0" fontId="27" fillId="0" borderId="0"/>
    <xf numFmtId="0" fontId="27" fillId="0" borderId="0"/>
    <xf numFmtId="0" fontId="27" fillId="0" borderId="0"/>
    <xf numFmtId="0" fontId="27" fillId="0" borderId="0"/>
    <xf numFmtId="0" fontId="31" fillId="0" borderId="0"/>
    <xf numFmtId="0" fontId="27" fillId="0" borderId="0"/>
    <xf numFmtId="0" fontId="27" fillId="0" borderId="0"/>
    <xf numFmtId="0" fontId="27" fillId="0" borderId="0"/>
    <xf numFmtId="0" fontId="27" fillId="0" borderId="0"/>
    <xf numFmtId="0" fontId="31"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 fillId="0" borderId="0"/>
    <xf numFmtId="0" fontId="27" fillId="0" borderId="0"/>
    <xf numFmtId="0" fontId="31" fillId="0" borderId="0"/>
    <xf numFmtId="0" fontId="27" fillId="0" borderId="0"/>
    <xf numFmtId="0" fontId="2" fillId="0" borderId="0"/>
    <xf numFmtId="0" fontId="27"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44" fillId="0" borderId="0"/>
    <xf numFmtId="0" fontId="44" fillId="0" borderId="0"/>
    <xf numFmtId="0" fontId="2" fillId="0" borderId="0"/>
    <xf numFmtId="0" fontId="2"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2"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7"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7" fillId="0" borderId="0"/>
    <xf numFmtId="0" fontId="27" fillId="0" borderId="0"/>
    <xf numFmtId="0" fontId="27"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 fillId="0" borderId="0"/>
    <xf numFmtId="0" fontId="2" fillId="0" borderId="0"/>
    <xf numFmtId="0" fontId="27" fillId="0" borderId="0"/>
    <xf numFmtId="0" fontId="27" fillId="0" borderId="0"/>
    <xf numFmtId="0" fontId="27" fillId="0" borderId="0"/>
    <xf numFmtId="0" fontId="27" fillId="0" borderId="0"/>
    <xf numFmtId="0" fontId="27" fillId="0" borderId="0"/>
    <xf numFmtId="0" fontId="2" fillId="0" borderId="0"/>
    <xf numFmtId="0" fontId="2" fillId="0" borderId="0"/>
    <xf numFmtId="0" fontId="27" fillId="0" borderId="0"/>
    <xf numFmtId="0" fontId="2" fillId="0" borderId="0"/>
    <xf numFmtId="0" fontId="2" fillId="0" borderId="0"/>
    <xf numFmtId="0" fontId="27" fillId="0" borderId="0"/>
    <xf numFmtId="0" fontId="2" fillId="0" borderId="0"/>
    <xf numFmtId="0" fontId="2" fillId="0" borderId="0"/>
  </cellStyleXfs>
  <cellXfs count="875">
    <xf numFmtId="0" fontId="0" fillId="0" borderId="0" xfId="0"/>
    <xf numFmtId="0" fontId="5" fillId="0" borderId="0" xfId="0" applyFont="1"/>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16" fillId="0" borderId="0" xfId="0" applyFont="1" applyAlignment="1">
      <alignment vertical="center" wrapText="1"/>
    </xf>
    <xf numFmtId="0" fontId="4" fillId="0" borderId="0" xfId="0" applyFont="1" applyAlignment="1">
      <alignment vertical="center" wrapText="1"/>
    </xf>
    <xf numFmtId="0" fontId="5" fillId="2" borderId="0" xfId="0" applyFont="1" applyFill="1" applyAlignment="1">
      <alignment vertical="center"/>
    </xf>
    <xf numFmtId="0" fontId="5" fillId="0" borderId="0" xfId="0" applyFont="1" applyFill="1" applyAlignment="1">
      <alignment vertical="center"/>
    </xf>
    <xf numFmtId="0" fontId="5" fillId="3" borderId="0" xfId="0" applyFont="1" applyFill="1" applyAlignment="1">
      <alignment vertical="center" wrapText="1"/>
    </xf>
    <xf numFmtId="0" fontId="5" fillId="4" borderId="0" xfId="0" applyFont="1" applyFill="1" applyAlignment="1">
      <alignment vertical="center" wrapText="1"/>
    </xf>
    <xf numFmtId="0" fontId="5" fillId="5" borderId="0" xfId="0" applyFont="1" applyFill="1" applyAlignment="1">
      <alignment vertical="center"/>
    </xf>
    <xf numFmtId="37" fontId="5" fillId="0" borderId="0" xfId="0" applyNumberFormat="1" applyFont="1" applyFill="1" applyAlignment="1" applyProtection="1">
      <alignment horizontal="left" vertical="center" wrapText="1"/>
    </xf>
    <xf numFmtId="37" fontId="11" fillId="3" borderId="0" xfId="0" applyNumberFormat="1" applyFont="1" applyFill="1" applyAlignment="1" applyProtection="1">
      <alignment horizontal="center" vertical="center"/>
    </xf>
    <xf numFmtId="0" fontId="5" fillId="0" borderId="0" xfId="0" applyFont="1" applyAlignment="1" applyProtection="1">
      <alignment vertical="center"/>
      <protection locked="0"/>
    </xf>
    <xf numFmtId="0" fontId="5" fillId="3" borderId="0" xfId="0" applyFont="1" applyFill="1" applyAlignment="1" applyProtection="1">
      <alignment vertical="center"/>
      <protection locked="0"/>
    </xf>
    <xf numFmtId="0" fontId="0" fillId="3" borderId="0" xfId="0" applyFill="1" applyAlignment="1">
      <alignment horizontal="center" vertical="center"/>
    </xf>
    <xf numFmtId="37" fontId="4" fillId="3" borderId="0" xfId="0" applyNumberFormat="1" applyFont="1" applyFill="1" applyAlignment="1" applyProtection="1">
      <alignment horizontal="left" vertical="center"/>
    </xf>
    <xf numFmtId="0" fontId="5" fillId="3" borderId="0" xfId="0" applyFont="1" applyFill="1" applyAlignment="1" applyProtection="1">
      <alignment vertical="center"/>
    </xf>
    <xf numFmtId="37" fontId="5" fillId="3" borderId="0" xfId="0" applyNumberFormat="1" applyFont="1" applyFill="1" applyAlignment="1" applyProtection="1">
      <alignment horizontal="left" vertical="center"/>
      <protection locked="0"/>
    </xf>
    <xf numFmtId="37" fontId="5" fillId="3" borderId="0" xfId="0" applyNumberFormat="1" applyFont="1" applyFill="1" applyAlignment="1" applyProtection="1">
      <alignment horizontal="left" vertical="center"/>
    </xf>
    <xf numFmtId="0" fontId="4" fillId="2" borderId="1" xfId="0" applyFont="1" applyFill="1" applyBorder="1" applyAlignment="1" applyProtection="1">
      <alignment horizontal="center" vertical="center"/>
      <protection locked="0"/>
    </xf>
    <xf numFmtId="0" fontId="5" fillId="3" borderId="0" xfId="0" applyFont="1" applyFill="1" applyBorder="1" applyAlignment="1" applyProtection="1">
      <alignment vertical="center"/>
    </xf>
    <xf numFmtId="37" fontId="4"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Continuous" vertical="center"/>
    </xf>
    <xf numFmtId="37" fontId="12" fillId="3" borderId="0" xfId="0" applyNumberFormat="1" applyFont="1" applyFill="1" applyAlignment="1" applyProtection="1">
      <alignment horizontal="center" vertical="center"/>
    </xf>
    <xf numFmtId="0" fontId="4" fillId="6" borderId="0" xfId="0" applyFont="1" applyFill="1" applyAlignment="1" applyProtection="1">
      <alignment vertical="center"/>
    </xf>
    <xf numFmtId="0" fontId="5" fillId="6" borderId="0" xfId="0" applyFont="1" applyFill="1" applyAlignment="1" applyProtection="1">
      <alignment vertical="center"/>
    </xf>
    <xf numFmtId="37" fontId="4" fillId="7"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6" fillId="3" borderId="0" xfId="0" applyFont="1" applyFill="1" applyAlignment="1" applyProtection="1">
      <alignment horizontal="center" vertical="center"/>
    </xf>
    <xf numFmtId="0" fontId="4" fillId="3" borderId="0" xfId="0" applyFont="1" applyFill="1" applyAlignment="1" applyProtection="1">
      <alignment vertical="center"/>
    </xf>
    <xf numFmtId="0" fontId="6" fillId="6" borderId="2" xfId="0" applyFont="1" applyFill="1" applyBorder="1" applyAlignment="1" applyProtection="1">
      <alignment horizontal="center" vertical="center"/>
    </xf>
    <xf numFmtId="37" fontId="5" fillId="3" borderId="0" xfId="0" applyNumberFormat="1" applyFont="1" applyFill="1" applyAlignment="1" applyProtection="1">
      <alignment horizontal="center" vertical="center"/>
    </xf>
    <xf numFmtId="37" fontId="5" fillId="6" borderId="3" xfId="0" applyNumberFormat="1" applyFont="1" applyFill="1" applyBorder="1" applyAlignment="1" applyProtection="1">
      <alignment horizontal="center" vertical="center" wrapText="1"/>
    </xf>
    <xf numFmtId="37" fontId="5" fillId="3" borderId="1" xfId="0" applyNumberFormat="1" applyFont="1" applyFill="1" applyBorder="1" applyAlignment="1" applyProtection="1">
      <alignment horizontal="left" vertical="center"/>
    </xf>
    <xf numFmtId="0" fontId="5" fillId="3" borderId="1" xfId="0" applyFont="1" applyFill="1" applyBorder="1" applyAlignment="1" applyProtection="1">
      <alignment vertical="center"/>
    </xf>
    <xf numFmtId="3" fontId="5" fillId="8" borderId="1" xfId="0" applyNumberFormat="1" applyFont="1" applyFill="1" applyBorder="1" applyAlignment="1" applyProtection="1">
      <alignment vertical="center"/>
      <protection locked="0"/>
    </xf>
    <xf numFmtId="3" fontId="5" fillId="3" borderId="0" xfId="0" applyNumberFormat="1" applyFont="1" applyFill="1" applyAlignment="1" applyProtection="1">
      <alignment vertical="center"/>
    </xf>
    <xf numFmtId="0" fontId="5" fillId="2" borderId="1" xfId="0" applyFont="1" applyFill="1" applyBorder="1" applyAlignment="1" applyProtection="1">
      <alignment vertical="center"/>
      <protection locked="0"/>
    </xf>
    <xf numFmtId="0" fontId="5" fillId="8" borderId="1" xfId="0" applyFont="1" applyFill="1" applyBorder="1" applyAlignment="1" applyProtection="1">
      <alignment vertical="center"/>
      <protection locked="0"/>
    </xf>
    <xf numFmtId="37" fontId="5" fillId="3" borderId="4" xfId="0" applyNumberFormat="1" applyFont="1" applyFill="1" applyBorder="1" applyAlignment="1" applyProtection="1">
      <alignment horizontal="left" vertical="center"/>
    </xf>
    <xf numFmtId="0" fontId="5" fillId="3" borderId="4" xfId="0" applyFont="1" applyFill="1" applyBorder="1" applyAlignment="1" applyProtection="1">
      <alignment vertical="center"/>
    </xf>
    <xf numFmtId="3" fontId="5" fillId="3" borderId="5" xfId="0" applyNumberFormat="1" applyFont="1" applyFill="1" applyBorder="1" applyAlignment="1" applyProtection="1">
      <alignment vertical="center"/>
    </xf>
    <xf numFmtId="3" fontId="5" fillId="9" borderId="1" xfId="0" applyNumberFormat="1" applyFont="1" applyFill="1" applyBorder="1" applyAlignment="1" applyProtection="1">
      <alignment vertical="center"/>
    </xf>
    <xf numFmtId="164" fontId="5" fillId="3"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protection locked="0"/>
    </xf>
    <xf numFmtId="164" fontId="5" fillId="8" borderId="1" xfId="0" applyNumberFormat="1" applyFont="1" applyFill="1" applyBorder="1" applyAlignment="1" applyProtection="1">
      <alignment vertical="center"/>
      <protection locked="0"/>
    </xf>
    <xf numFmtId="164" fontId="5"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0" fontId="5" fillId="3" borderId="6" xfId="0" applyFont="1" applyFill="1" applyBorder="1" applyAlignment="1" applyProtection="1">
      <alignment vertical="center"/>
    </xf>
    <xf numFmtId="3" fontId="5" fillId="3" borderId="0" xfId="0" applyNumberFormat="1"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37" fontId="5" fillId="3" borderId="0" xfId="0" applyNumberFormat="1" applyFont="1" applyFill="1" applyBorder="1" applyAlignment="1" applyProtection="1">
      <alignment horizontal="right" vertical="center"/>
    </xf>
    <xf numFmtId="37" fontId="5" fillId="6" borderId="0" xfId="0" applyNumberFormat="1" applyFont="1" applyFill="1" applyAlignment="1" applyProtection="1">
      <alignment horizontal="center" vertical="center"/>
    </xf>
    <xf numFmtId="0" fontId="5" fillId="6" borderId="4" xfId="0" applyFont="1" applyFill="1" applyBorder="1" applyAlignment="1">
      <alignment horizontal="center" vertical="center"/>
    </xf>
    <xf numFmtId="37" fontId="5" fillId="3" borderId="1" xfId="0" applyNumberFormat="1" applyFont="1" applyFill="1" applyBorder="1" applyAlignment="1" applyProtection="1">
      <alignment vertical="center"/>
    </xf>
    <xf numFmtId="166" fontId="5" fillId="8" borderId="1" xfId="0" applyNumberFormat="1" applyFont="1" applyFill="1" applyBorder="1" applyAlignment="1" applyProtection="1">
      <alignment vertical="center"/>
      <protection locked="0"/>
    </xf>
    <xf numFmtId="0" fontId="5" fillId="3" borderId="7" xfId="0" applyFont="1" applyFill="1" applyBorder="1" applyAlignment="1" applyProtection="1">
      <alignment vertical="center"/>
    </xf>
    <xf numFmtId="166" fontId="5" fillId="9" borderId="1" xfId="0" applyNumberFormat="1" applyFont="1" applyFill="1" applyBorder="1" applyAlignment="1" applyProtection="1">
      <alignment vertical="center"/>
    </xf>
    <xf numFmtId="37" fontId="5" fillId="6" borderId="4" xfId="0" applyNumberFormat="1" applyFont="1" applyFill="1" applyBorder="1" applyAlignment="1" applyProtection="1">
      <alignment horizontal="left" vertical="center"/>
    </xf>
    <xf numFmtId="0" fontId="5" fillId="6" borderId="4" xfId="0" applyFont="1" applyFill="1" applyBorder="1" applyAlignment="1" applyProtection="1">
      <alignment vertical="center"/>
    </xf>
    <xf numFmtId="0" fontId="5" fillId="6" borderId="5" xfId="0" applyFont="1" applyFill="1" applyBorder="1" applyAlignment="1" applyProtection="1">
      <alignment vertical="center"/>
    </xf>
    <xf numFmtId="0" fontId="5" fillId="3" borderId="5" xfId="0" applyFont="1" applyFill="1" applyBorder="1" applyAlignment="1" applyProtection="1">
      <alignment vertical="center"/>
    </xf>
    <xf numFmtId="0" fontId="5" fillId="3" borderId="8" xfId="0" applyFont="1" applyFill="1" applyBorder="1" applyAlignment="1" applyProtection="1">
      <alignment vertical="center"/>
    </xf>
    <xf numFmtId="0" fontId="5" fillId="6" borderId="0" xfId="0" applyFont="1" applyFill="1" applyAlignment="1" applyProtection="1">
      <alignment vertical="center"/>
      <protection locked="0"/>
    </xf>
    <xf numFmtId="0" fontId="5" fillId="3" borderId="4" xfId="0" applyFont="1" applyFill="1" applyBorder="1" applyAlignment="1" applyProtection="1">
      <alignment horizontal="center" vertical="center"/>
    </xf>
    <xf numFmtId="0" fontId="5" fillId="3" borderId="4" xfId="0" applyFont="1" applyFill="1" applyBorder="1" applyAlignment="1" applyProtection="1">
      <alignment horizontal="center" vertical="center"/>
      <protection locked="0"/>
    </xf>
    <xf numFmtId="0" fontId="5" fillId="6" borderId="4"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6" borderId="5"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0" fillId="0" borderId="0" xfId="0" applyAlignment="1">
      <alignment vertical="center"/>
    </xf>
    <xf numFmtId="37" fontId="5" fillId="3" borderId="0" xfId="0" applyNumberFormat="1" applyFont="1" applyFill="1" applyAlignment="1">
      <alignment vertical="center"/>
    </xf>
    <xf numFmtId="0" fontId="0" fillId="3" borderId="0" xfId="0" applyFill="1" applyAlignment="1">
      <alignment vertical="center"/>
    </xf>
    <xf numFmtId="37" fontId="5" fillId="3" borderId="7" xfId="0" applyNumberFormat="1" applyFont="1" applyFill="1" applyBorder="1" applyAlignment="1" applyProtection="1">
      <alignment horizontal="left" vertical="center"/>
    </xf>
    <xf numFmtId="37" fontId="5" fillId="3" borderId="5" xfId="0" applyNumberFormat="1" applyFont="1" applyFill="1" applyBorder="1" applyAlignment="1" applyProtection="1">
      <alignment horizontal="left" vertical="center"/>
    </xf>
    <xf numFmtId="3" fontId="5" fillId="2" borderId="5"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vertical="center"/>
      <protection locked="0"/>
    </xf>
    <xf numFmtId="37" fontId="5" fillId="3" borderId="1" xfId="0" applyNumberFormat="1" applyFont="1" applyFill="1" applyBorder="1" applyAlignment="1" applyProtection="1">
      <alignment horizontal="center" vertical="center" wrapText="1"/>
    </xf>
    <xf numFmtId="37" fontId="5" fillId="2" borderId="1" xfId="0" applyNumberFormat="1" applyFont="1" applyFill="1" applyBorder="1" applyAlignment="1" applyProtection="1">
      <alignment horizontal="right" vertical="center" wrapText="1"/>
      <protection locked="0"/>
    </xf>
    <xf numFmtId="37" fontId="5" fillId="9" borderId="1" xfId="0" applyNumberFormat="1" applyFont="1" applyFill="1" applyBorder="1" applyAlignment="1" applyProtection="1">
      <alignment horizontal="right" vertical="center" wrapText="1"/>
    </xf>
    <xf numFmtId="0" fontId="4" fillId="3" borderId="9" xfId="0" applyFont="1" applyFill="1" applyBorder="1" applyAlignment="1" applyProtection="1">
      <alignment horizontal="center" vertical="center"/>
    </xf>
    <xf numFmtId="166" fontId="5" fillId="2" borderId="4" xfId="0" applyNumberFormat="1" applyFont="1" applyFill="1" applyBorder="1" applyAlignment="1" applyProtection="1">
      <alignment vertical="center"/>
      <protection locked="0"/>
    </xf>
    <xf numFmtId="166" fontId="5" fillId="2" borderId="5" xfId="0" applyNumberFormat="1" applyFont="1" applyFill="1" applyBorder="1" applyAlignment="1" applyProtection="1">
      <alignment vertical="center"/>
      <protection locked="0"/>
    </xf>
    <xf numFmtId="0" fontId="5" fillId="3" borderId="10" xfId="0" applyFont="1" applyFill="1" applyBorder="1" applyAlignment="1" applyProtection="1">
      <alignment vertical="center"/>
    </xf>
    <xf numFmtId="166" fontId="5" fillId="2"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0" xfId="0" applyFill="1" applyBorder="1" applyAlignment="1" applyProtection="1">
      <alignment vertical="center"/>
    </xf>
    <xf numFmtId="3" fontId="0" fillId="3" borderId="0" xfId="0" applyNumberFormat="1" applyFill="1" applyBorder="1" applyAlignment="1" applyProtection="1">
      <alignment vertical="center"/>
      <protection locked="0"/>
    </xf>
    <xf numFmtId="0" fontId="11" fillId="3" borderId="0" xfId="0" applyFont="1" applyFill="1" applyBorder="1" applyAlignment="1" applyProtection="1">
      <alignment horizontal="center" vertical="center"/>
    </xf>
    <xf numFmtId="37" fontId="11" fillId="6" borderId="0" xfId="0" applyNumberFormat="1" applyFont="1" applyFill="1" applyAlignment="1" applyProtection="1">
      <alignment horizontal="left" vertical="center"/>
    </xf>
    <xf numFmtId="3" fontId="5" fillId="6" borderId="0" xfId="0" applyNumberFormat="1" applyFont="1" applyFill="1" applyAlignment="1" applyProtection="1">
      <alignment vertical="center"/>
    </xf>
    <xf numFmtId="3" fontId="5" fillId="4" borderId="0" xfId="0" applyNumberFormat="1" applyFont="1" applyFill="1" applyAlignment="1" applyProtection="1">
      <alignment vertical="center"/>
    </xf>
    <xf numFmtId="37" fontId="4" fillId="3" borderId="11" xfId="0" applyNumberFormat="1" applyFont="1" applyFill="1" applyBorder="1" applyAlignment="1" applyProtection="1">
      <alignment horizontal="left" vertical="center"/>
    </xf>
    <xf numFmtId="0" fontId="5" fillId="3" borderId="12" xfId="0" applyFont="1" applyFill="1" applyBorder="1" applyAlignment="1" applyProtection="1">
      <alignment vertical="center"/>
    </xf>
    <xf numFmtId="37" fontId="5" fillId="3" borderId="13" xfId="0" applyNumberFormat="1" applyFont="1" applyFill="1" applyBorder="1" applyAlignment="1">
      <alignment horizontal="left" vertical="center"/>
    </xf>
    <xf numFmtId="37" fontId="5" fillId="3" borderId="13" xfId="0" applyNumberFormat="1" applyFont="1" applyFill="1" applyBorder="1" applyAlignment="1" applyProtection="1">
      <alignment horizontal="left" vertical="center"/>
    </xf>
    <xf numFmtId="3" fontId="5" fillId="2" borderId="8" xfId="0" applyNumberFormat="1" applyFont="1" applyFill="1" applyBorder="1" applyAlignment="1" applyProtection="1">
      <alignment vertical="center"/>
      <protection locked="0"/>
    </xf>
    <xf numFmtId="3" fontId="5" fillId="9" borderId="8" xfId="0" applyNumberFormat="1" applyFont="1" applyFill="1" applyBorder="1" applyAlignment="1" applyProtection="1">
      <alignment vertical="center"/>
    </xf>
    <xf numFmtId="3" fontId="5" fillId="3" borderId="8" xfId="0" applyNumberFormat="1" applyFont="1" applyFill="1" applyBorder="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lignment horizontal="center" vertical="center"/>
    </xf>
    <xf numFmtId="37" fontId="5" fillId="5" borderId="0" xfId="0" applyNumberFormat="1" applyFont="1" applyFill="1" applyBorder="1" applyAlignment="1" applyProtection="1">
      <alignment horizontal="left" vertical="center"/>
    </xf>
    <xf numFmtId="0" fontId="5" fillId="5" borderId="0" xfId="0" applyFont="1" applyFill="1" applyBorder="1" applyAlignment="1" applyProtection="1">
      <alignment vertical="center"/>
    </xf>
    <xf numFmtId="171" fontId="5" fillId="5" borderId="0" xfId="0" applyNumberFormat="1" applyFont="1" applyFill="1" applyBorder="1" applyAlignment="1" applyProtection="1">
      <alignment vertical="center"/>
      <protection locked="0"/>
    </xf>
    <xf numFmtId="0" fontId="0" fillId="5" borderId="0" xfId="0" applyFill="1" applyAlignment="1">
      <alignment vertical="center"/>
    </xf>
    <xf numFmtId="0" fontId="4" fillId="6" borderId="0" xfId="0" applyFont="1" applyFill="1" applyAlignment="1">
      <alignment vertical="center"/>
    </xf>
    <xf numFmtId="0" fontId="1" fillId="6" borderId="0" xfId="0" applyFont="1" applyFill="1" applyAlignment="1">
      <alignment vertical="center"/>
    </xf>
    <xf numFmtId="0" fontId="0" fillId="6" borderId="0" xfId="0" applyFill="1" applyAlignment="1" applyProtection="1">
      <alignment vertical="center"/>
      <protection locked="0"/>
    </xf>
    <xf numFmtId="0" fontId="0" fillId="7" borderId="0" xfId="0" applyFill="1" applyAlignment="1">
      <alignment vertical="center"/>
    </xf>
    <xf numFmtId="0" fontId="5" fillId="3" borderId="4" xfId="0" applyFont="1" applyFill="1" applyBorder="1" applyAlignment="1">
      <alignment vertical="center"/>
    </xf>
    <xf numFmtId="0" fontId="0" fillId="3" borderId="4" xfId="0" applyFill="1" applyBorder="1" applyAlignment="1">
      <alignment vertical="center"/>
    </xf>
    <xf numFmtId="0" fontId="0" fillId="3" borderId="7" xfId="0" applyFill="1" applyBorder="1" applyAlignment="1">
      <alignment vertical="center"/>
    </xf>
    <xf numFmtId="0" fontId="5" fillId="3" borderId="5" xfId="0" applyFont="1" applyFill="1" applyBorder="1" applyAlignment="1">
      <alignment vertical="center"/>
    </xf>
    <xf numFmtId="0" fontId="0" fillId="3" borderId="5" xfId="0" applyFill="1" applyBorder="1" applyAlignment="1">
      <alignment vertical="center"/>
    </xf>
    <xf numFmtId="0" fontId="0" fillId="3" borderId="8" xfId="0" applyFill="1" applyBorder="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5" fillId="3" borderId="1" xfId="0" applyNumberFormat="1" applyFont="1" applyFill="1" applyBorder="1" applyAlignment="1">
      <alignment vertical="center"/>
    </xf>
    <xf numFmtId="1" fontId="5" fillId="3" borderId="0" xfId="0" applyNumberFormat="1" applyFont="1" applyFill="1" applyBorder="1" applyAlignment="1" applyProtection="1">
      <alignment horizontal="right" vertical="center"/>
    </xf>
    <xf numFmtId="0" fontId="3" fillId="0" borderId="0" xfId="0" applyFont="1" applyAlignment="1" applyProtection="1">
      <alignment vertical="center"/>
      <protection locked="0"/>
    </xf>
    <xf numFmtId="37" fontId="5" fillId="3" borderId="0" xfId="0" quotePrefix="1" applyNumberFormat="1" applyFont="1" applyFill="1" applyAlignment="1" applyProtection="1">
      <alignment horizontal="right" vertical="center"/>
    </xf>
    <xf numFmtId="0" fontId="5" fillId="0" borderId="0" xfId="0" applyFont="1" applyBorder="1" applyAlignment="1" applyProtection="1">
      <alignment vertical="center"/>
      <protection locked="0"/>
    </xf>
    <xf numFmtId="0" fontId="3" fillId="3" borderId="0" xfId="0" applyFont="1" applyFill="1" applyAlignment="1" applyProtection="1">
      <alignment vertical="center"/>
    </xf>
    <xf numFmtId="0" fontId="5" fillId="3" borderId="14" xfId="0" applyFont="1" applyFill="1" applyBorder="1" applyAlignment="1" applyProtection="1">
      <alignment vertical="center"/>
    </xf>
    <xf numFmtId="0" fontId="5" fillId="3" borderId="5" xfId="0" applyFont="1" applyFill="1" applyBorder="1" applyAlignment="1" applyProtection="1">
      <alignment horizontal="left" vertical="center"/>
    </xf>
    <xf numFmtId="0" fontId="5" fillId="3" borderId="8" xfId="0" applyFont="1" applyFill="1" applyBorder="1" applyAlignment="1" applyProtection="1">
      <alignment horizontal="centerContinuous" vertical="center"/>
    </xf>
    <xf numFmtId="37" fontId="5" fillId="3" borderId="4" xfId="0" applyNumberFormat="1" applyFont="1" applyFill="1" applyBorder="1" applyAlignment="1" applyProtection="1">
      <alignment horizontal="fill" vertical="center"/>
    </xf>
    <xf numFmtId="37" fontId="5" fillId="3" borderId="2" xfId="0" applyNumberFormat="1" applyFont="1" applyFill="1" applyBorder="1" applyAlignment="1" applyProtection="1">
      <alignment horizontal="left" vertical="center"/>
    </xf>
    <xf numFmtId="37" fontId="5" fillId="3" borderId="2" xfId="0" applyNumberFormat="1" applyFont="1" applyFill="1" applyBorder="1" applyAlignment="1" applyProtection="1">
      <alignment horizontal="center" vertical="center"/>
    </xf>
    <xf numFmtId="37" fontId="5" fillId="3" borderId="15"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center" vertical="center"/>
    </xf>
    <xf numFmtId="1" fontId="5" fillId="3" borderId="8" xfId="0" applyNumberFormat="1" applyFont="1" applyFill="1" applyBorder="1" applyAlignment="1" applyProtection="1">
      <alignment horizontal="left" vertical="center"/>
    </xf>
    <xf numFmtId="37" fontId="5" fillId="3" borderId="1" xfId="0" applyNumberFormat="1" applyFont="1" applyFill="1" applyBorder="1" applyAlignment="1" applyProtection="1">
      <alignment horizontal="center" vertical="center"/>
    </xf>
    <xf numFmtId="0" fontId="5" fillId="3" borderId="15" xfId="0" applyFont="1" applyFill="1" applyBorder="1" applyAlignment="1" applyProtection="1">
      <alignment vertical="center"/>
    </xf>
    <xf numFmtId="37" fontId="5" fillId="3" borderId="8"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37" fontId="11" fillId="3" borderId="3"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37" fontId="5" fillId="9" borderId="1"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vertical="center"/>
    </xf>
    <xf numFmtId="37" fontId="5" fillId="3" borderId="13" xfId="0" applyNumberFormat="1" applyFont="1" applyFill="1" applyBorder="1" applyAlignment="1" applyProtection="1">
      <alignment vertical="center"/>
    </xf>
    <xf numFmtId="0" fontId="5" fillId="3" borderId="13" xfId="0" applyFont="1" applyFill="1" applyBorder="1" applyAlignment="1" applyProtection="1">
      <alignment vertical="center"/>
    </xf>
    <xf numFmtId="0" fontId="5" fillId="3" borderId="2" xfId="0" applyFont="1" applyFill="1" applyBorder="1" applyAlignment="1" applyProtection="1">
      <alignment vertical="center"/>
    </xf>
    <xf numFmtId="37" fontId="4" fillId="3" borderId="16" xfId="0" applyNumberFormat="1" applyFont="1" applyFill="1" applyBorder="1" applyAlignment="1" applyProtection="1">
      <alignment horizontal="left" vertical="center"/>
    </xf>
    <xf numFmtId="37" fontId="5" fillId="3" borderId="8" xfId="0" applyNumberFormat="1" applyFont="1" applyFill="1" applyBorder="1" applyAlignment="1" applyProtection="1">
      <alignment horizontal="fill" vertical="center"/>
    </xf>
    <xf numFmtId="0" fontId="5" fillId="3" borderId="6" xfId="0" applyFont="1" applyFill="1" applyBorder="1" applyAlignment="1">
      <alignment horizontal="center" vertical="center"/>
    </xf>
    <xf numFmtId="0" fontId="5" fillId="10" borderId="3" xfId="0" applyFont="1" applyFill="1" applyBorder="1" applyAlignment="1" applyProtection="1">
      <alignment vertical="center"/>
    </xf>
    <xf numFmtId="37" fontId="6" fillId="3" borderId="15" xfId="0" applyNumberFormat="1" applyFont="1" applyFill="1" applyBorder="1" applyAlignment="1" applyProtection="1">
      <alignment horizontal="left" vertical="center"/>
    </xf>
    <xf numFmtId="37" fontId="5" fillId="3" borderId="3" xfId="0" applyNumberFormat="1" applyFont="1" applyFill="1" applyBorder="1" applyAlignment="1" applyProtection="1">
      <alignment horizontal="left" vertical="center"/>
    </xf>
    <xf numFmtId="0" fontId="3" fillId="3" borderId="0" xfId="0" applyFont="1" applyFill="1" applyBorder="1" applyAlignment="1" applyProtection="1">
      <alignment vertical="center"/>
    </xf>
    <xf numFmtId="0" fontId="5" fillId="3" borderId="0" xfId="0" applyNumberFormat="1" applyFont="1" applyFill="1" applyBorder="1" applyAlignment="1" applyProtection="1">
      <alignment horizontal="left" vertical="center"/>
    </xf>
    <xf numFmtId="37" fontId="5" fillId="3" borderId="0" xfId="0" applyNumberFormat="1" applyFont="1" applyFill="1" applyAlignment="1" applyProtection="1">
      <alignment horizontal="centerContinuous" vertical="center"/>
      <protection locked="0"/>
    </xf>
    <xf numFmtId="0" fontId="5" fillId="3" borderId="0" xfId="0" applyFont="1" applyFill="1" applyAlignment="1" applyProtection="1">
      <alignment horizontal="center" vertical="center"/>
      <protection locked="0"/>
    </xf>
    <xf numFmtId="37" fontId="3" fillId="0" borderId="0" xfId="0" applyNumberFormat="1" applyFont="1" applyBorder="1" applyAlignment="1" applyProtection="1">
      <alignment horizontal="fill" vertical="center"/>
      <protection locked="0"/>
    </xf>
    <xf numFmtId="37" fontId="3" fillId="0" borderId="0" xfId="0" applyNumberFormat="1" applyFont="1" applyAlignment="1" applyProtection="1">
      <alignment horizontal="left" vertical="center"/>
      <protection locked="0"/>
    </xf>
    <xf numFmtId="37" fontId="5"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5" fillId="3" borderId="0" xfId="0" quotePrefix="1" applyFont="1" applyFill="1" applyAlignment="1" applyProtection="1">
      <alignment horizontal="right" vertical="center"/>
    </xf>
    <xf numFmtId="3" fontId="5" fillId="3" borderId="0" xfId="0" quotePrefix="1" applyNumberFormat="1" applyFont="1" applyFill="1" applyAlignment="1" applyProtection="1">
      <alignment vertical="center"/>
    </xf>
    <xf numFmtId="3" fontId="5" fillId="3" borderId="4" xfId="0" applyNumberFormat="1" applyFont="1" applyFill="1" applyBorder="1" applyAlignment="1" applyProtection="1">
      <alignment vertical="center"/>
    </xf>
    <xf numFmtId="3" fontId="5" fillId="3" borderId="5" xfId="0" applyNumberFormat="1" applyFont="1" applyFill="1" applyBorder="1" applyAlignment="1" applyProtection="1">
      <alignment vertical="center"/>
      <protection locked="0"/>
    </xf>
    <xf numFmtId="3" fontId="5" fillId="3" borderId="0" xfId="0" applyNumberFormat="1" applyFont="1" applyFill="1" applyBorder="1" applyAlignment="1" applyProtection="1">
      <alignment vertical="center"/>
    </xf>
    <xf numFmtId="0" fontId="5" fillId="3" borderId="0" xfId="0" quotePrefix="1" applyFont="1" applyFill="1" applyAlignment="1" applyProtection="1">
      <alignment vertical="center"/>
    </xf>
    <xf numFmtId="0" fontId="5" fillId="3" borderId="0" xfId="0" applyFont="1" applyFill="1" applyAlignment="1" applyProtection="1">
      <alignment horizontal="right" vertical="center"/>
    </xf>
    <xf numFmtId="3" fontId="5" fillId="3" borderId="10" xfId="0" applyNumberFormat="1" applyFont="1" applyFill="1" applyBorder="1" applyAlignment="1" applyProtection="1">
      <alignment vertical="center"/>
    </xf>
    <xf numFmtId="167" fontId="5" fillId="3" borderId="4" xfId="0" applyNumberFormat="1" applyFont="1" applyFill="1" applyBorder="1" applyAlignment="1" applyProtection="1">
      <alignment vertical="center"/>
    </xf>
    <xf numFmtId="0" fontId="5" fillId="3" borderId="0" xfId="0" quotePrefix="1" applyFont="1" applyFill="1" applyBorder="1" applyAlignment="1" applyProtection="1">
      <alignment vertical="center"/>
    </xf>
    <xf numFmtId="3" fontId="5" fillId="3" borderId="17" xfId="0" applyNumberFormat="1" applyFont="1" applyFill="1" applyBorder="1" applyAlignment="1" applyProtection="1">
      <alignment vertical="center"/>
    </xf>
    <xf numFmtId="3" fontId="5" fillId="3" borderId="4" xfId="0" applyNumberFormat="1" applyFont="1" applyFill="1" applyBorder="1" applyAlignment="1" applyProtection="1">
      <alignment vertical="center"/>
      <protection locked="0"/>
    </xf>
    <xf numFmtId="37" fontId="5" fillId="3" borderId="0" xfId="0" applyNumberFormat="1" applyFont="1" applyFill="1" applyAlignment="1" applyProtection="1">
      <alignment horizontal="right" vertical="center"/>
    </xf>
    <xf numFmtId="0" fontId="5" fillId="3" borderId="2" xfId="0" applyFont="1" applyFill="1" applyBorder="1" applyAlignment="1" applyProtection="1">
      <alignment horizontal="center" vertical="center"/>
    </xf>
    <xf numFmtId="0" fontId="5" fillId="3" borderId="15" xfId="0" applyNumberFormat="1" applyFont="1" applyFill="1" applyBorder="1" applyAlignment="1" applyProtection="1">
      <alignment horizontal="center" vertical="center"/>
    </xf>
    <xf numFmtId="1" fontId="5" fillId="3" borderId="15"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xf>
    <xf numFmtId="3" fontId="5" fillId="9" borderId="18" xfId="0" applyNumberFormat="1" applyFont="1" applyFill="1" applyBorder="1" applyAlignment="1" applyProtection="1">
      <alignment horizontal="center" vertical="center"/>
    </xf>
    <xf numFmtId="3" fontId="5" fillId="9" borderId="19" xfId="0" applyNumberFormat="1" applyFont="1" applyFill="1" applyBorder="1" applyAlignment="1" applyProtection="1">
      <alignment horizontal="center" vertical="center"/>
    </xf>
    <xf numFmtId="165" fontId="5" fillId="3" borderId="0" xfId="0" applyNumberFormat="1" applyFont="1" applyFill="1" applyAlignment="1" applyProtection="1">
      <alignment vertical="center"/>
    </xf>
    <xf numFmtId="167" fontId="5" fillId="9" borderId="4" xfId="0" applyNumberFormat="1" applyFont="1" applyFill="1" applyBorder="1" applyAlignment="1" applyProtection="1">
      <alignment vertical="center"/>
    </xf>
    <xf numFmtId="0" fontId="5" fillId="3" borderId="0" xfId="0" applyFont="1" applyFill="1" applyBorder="1" applyAlignment="1" applyProtection="1">
      <alignment vertical="center"/>
      <protection locked="0"/>
    </xf>
    <xf numFmtId="0" fontId="5" fillId="0" borderId="0" xfId="0" applyFont="1" applyAlignment="1" applyProtection="1">
      <alignment horizontal="center" vertical="center"/>
      <protection locked="0"/>
    </xf>
    <xf numFmtId="0" fontId="4" fillId="3" borderId="2"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 fontId="5" fillId="3" borderId="3" xfId="0" applyNumberFormat="1" applyFont="1" applyFill="1" applyBorder="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xf>
    <xf numFmtId="3" fontId="5" fillId="9" borderId="1"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3" borderId="0" xfId="508" applyFont="1" applyFill="1" applyAlignment="1" applyProtection="1">
      <alignment horizontal="centerContinuous" vertical="center"/>
    </xf>
    <xf numFmtId="0" fontId="5" fillId="3" borderId="4" xfId="0" applyFont="1" applyFill="1" applyBorder="1" applyAlignment="1" applyProtection="1">
      <alignment horizontal="fill" vertical="center"/>
    </xf>
    <xf numFmtId="0" fontId="5" fillId="3" borderId="11" xfId="0" applyFont="1" applyFill="1" applyBorder="1" applyAlignment="1" applyProtection="1">
      <alignment horizontal="centerContinuous" vertical="center"/>
    </xf>
    <xf numFmtId="0" fontId="5" fillId="3" borderId="12" xfId="0" applyFont="1" applyFill="1" applyBorder="1" applyAlignment="1" applyProtection="1">
      <alignment horizontal="centerContinuous" vertical="center"/>
    </xf>
    <xf numFmtId="0" fontId="5" fillId="3" borderId="15"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center" vertical="center"/>
    </xf>
    <xf numFmtId="2" fontId="5" fillId="3" borderId="1" xfId="0" applyNumberFormat="1" applyFont="1" applyFill="1" applyBorder="1" applyAlignment="1" applyProtection="1">
      <alignment vertical="center"/>
    </xf>
    <xf numFmtId="0" fontId="5" fillId="8" borderId="1" xfId="0" applyFont="1" applyFill="1" applyBorder="1" applyAlignment="1" applyProtection="1">
      <alignment horizontal="center" vertical="center"/>
      <protection locked="0"/>
    </xf>
    <xf numFmtId="2" fontId="5" fillId="8" borderId="1" xfId="0" applyNumberFormat="1" applyFont="1" applyFill="1" applyBorder="1" applyAlignment="1" applyProtection="1">
      <alignment horizontal="center" vertical="center"/>
      <protection locked="0"/>
    </xf>
    <xf numFmtId="3" fontId="5" fillId="8" borderId="1" xfId="0" applyNumberFormat="1" applyFont="1" applyFill="1" applyBorder="1" applyAlignment="1" applyProtection="1">
      <alignment horizontal="center" vertical="center"/>
      <protection locked="0"/>
    </xf>
    <xf numFmtId="37" fontId="5" fillId="8" borderId="1" xfId="0" applyNumberFormat="1" applyFont="1" applyFill="1" applyBorder="1" applyAlignment="1" applyProtection="1">
      <alignment horizontal="center" vertical="center"/>
      <protection locked="0"/>
    </xf>
    <xf numFmtId="169" fontId="5" fillId="8" borderId="1" xfId="0" applyNumberFormat="1" applyFont="1" applyFill="1" applyBorder="1" applyAlignment="1" applyProtection="1">
      <alignment horizontal="center" vertical="center"/>
      <protection locked="0"/>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7" fontId="4" fillId="9"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68" fontId="5" fillId="3" borderId="1" xfId="0" applyNumberFormat="1" applyFont="1" applyFill="1" applyBorder="1" applyAlignment="1" applyProtection="1">
      <alignment horizontal="center" vertical="center"/>
    </xf>
    <xf numFmtId="2" fontId="5" fillId="3" borderId="1" xfId="0" applyNumberFormat="1" applyFont="1" applyFill="1" applyBorder="1" applyAlignment="1" applyProtection="1">
      <alignment horizontal="center" vertical="center"/>
    </xf>
    <xf numFmtId="169" fontId="5" fillId="3"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horizontal="center" vertical="center"/>
    </xf>
    <xf numFmtId="1" fontId="5" fillId="3" borderId="1" xfId="0" applyNumberFormat="1" applyFont="1" applyFill="1" applyBorder="1" applyAlignment="1" applyProtection="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Border="1" applyAlignment="1" applyProtection="1">
      <alignment horizontal="fill" vertical="center"/>
      <protection locked="0"/>
    </xf>
    <xf numFmtId="0" fontId="5" fillId="0" borderId="6" xfId="0" applyFont="1" applyBorder="1" applyAlignment="1" applyProtection="1">
      <alignment vertical="center"/>
      <protection locked="0"/>
    </xf>
    <xf numFmtId="0" fontId="8" fillId="3" borderId="3" xfId="0" applyFont="1" applyFill="1" applyBorder="1" applyAlignment="1" applyProtection="1">
      <alignment horizontal="center" vertical="center"/>
    </xf>
    <xf numFmtId="14" fontId="5" fillId="8" borderId="1" xfId="0" applyNumberFormat="1" applyFont="1" applyFill="1" applyBorder="1" applyAlignment="1" applyProtection="1">
      <alignment horizontal="center" vertical="center"/>
      <protection locked="0"/>
    </xf>
    <xf numFmtId="1" fontId="5" fillId="8" borderId="1" xfId="0" applyNumberFormat="1" applyFont="1" applyFill="1" applyBorder="1" applyAlignment="1" applyProtection="1">
      <alignment horizontal="center" vertical="center"/>
      <protection locked="0"/>
    </xf>
    <xf numFmtId="3" fontId="4" fillId="9" borderId="18" xfId="0" applyNumberFormat="1" applyFont="1" applyFill="1" applyBorder="1" applyAlignment="1" applyProtection="1">
      <alignment horizontal="center" vertical="center"/>
    </xf>
    <xf numFmtId="3" fontId="4" fillId="9" borderId="20" xfId="0" applyNumberFormat="1" applyFont="1" applyFill="1" applyBorder="1" applyAlignment="1" applyProtection="1">
      <alignment horizontal="center" vertical="center"/>
    </xf>
    <xf numFmtId="0" fontId="5" fillId="5" borderId="0" xfId="507" applyFont="1" applyFill="1" applyAlignment="1" applyProtection="1">
      <alignment vertical="center"/>
    </xf>
    <xf numFmtId="0" fontId="5" fillId="5" borderId="0" xfId="0" applyFont="1" applyFill="1" applyAlignment="1" applyProtection="1">
      <alignment vertical="center"/>
    </xf>
    <xf numFmtId="37" fontId="5" fillId="3" borderId="0" xfId="0" applyNumberFormat="1" applyFont="1" applyFill="1" applyAlignment="1" applyProtection="1">
      <alignment horizontal="fill" vertical="center"/>
    </xf>
    <xf numFmtId="3" fontId="5" fillId="3" borderId="1" xfId="1" applyNumberFormat="1" applyFont="1" applyFill="1" applyBorder="1" applyAlignment="1" applyProtection="1">
      <alignment horizontal="right" vertical="center"/>
    </xf>
    <xf numFmtId="37" fontId="5" fillId="3" borderId="16" xfId="0" applyNumberFormat="1" applyFont="1" applyFill="1" applyBorder="1" applyAlignment="1" applyProtection="1">
      <alignment horizontal="left" vertical="center"/>
    </xf>
    <xf numFmtId="3" fontId="5" fillId="3" borderId="1" xfId="0" applyNumberFormat="1" applyFont="1" applyFill="1" applyBorder="1" applyAlignment="1" applyProtection="1">
      <alignment horizontal="fill" vertical="center"/>
    </xf>
    <xf numFmtId="3" fontId="5" fillId="8" borderId="1" xfId="0" applyNumberFormat="1" applyFont="1" applyFill="1" applyBorder="1" applyAlignment="1" applyProtection="1">
      <alignment horizontal="right" vertical="center"/>
      <protection locked="0"/>
    </xf>
    <xf numFmtId="3" fontId="5" fillId="3" borderId="1" xfId="0" applyNumberFormat="1" applyFont="1" applyFill="1" applyBorder="1" applyAlignment="1" applyProtection="1">
      <alignment horizontal="right" vertical="center"/>
    </xf>
    <xf numFmtId="0" fontId="5" fillId="3" borderId="13" xfId="0" applyNumberFormat="1" applyFont="1" applyFill="1" applyBorder="1" applyAlignment="1" applyProtection="1">
      <alignment horizontal="left" vertical="center"/>
    </xf>
    <xf numFmtId="0" fontId="5" fillId="8" borderId="13" xfId="0" applyNumberFormat="1" applyFont="1" applyFill="1" applyBorder="1" applyAlignment="1" applyProtection="1">
      <alignment horizontal="left" vertical="center"/>
      <protection locked="0"/>
    </xf>
    <xf numFmtId="3" fontId="5" fillId="2" borderId="1" xfId="0" applyNumberFormat="1" applyFont="1" applyFill="1" applyBorder="1" applyAlignment="1" applyProtection="1">
      <alignment horizontal="right" vertical="center"/>
      <protection locked="0"/>
    </xf>
    <xf numFmtId="0" fontId="5" fillId="8" borderId="11" xfId="0" applyNumberFormat="1" applyFont="1" applyFill="1" applyBorder="1" applyAlignment="1" applyProtection="1">
      <alignment horizontal="left" vertical="center"/>
      <protection locked="0"/>
    </xf>
    <xf numFmtId="3" fontId="5" fillId="8" borderId="3" xfId="0" applyNumberFormat="1" applyFont="1" applyFill="1" applyBorder="1" applyAlignment="1" applyProtection="1">
      <alignment horizontal="right" vertical="center"/>
      <protection locked="0"/>
    </xf>
    <xf numFmtId="3" fontId="15" fillId="11" borderId="1" xfId="0" applyNumberFormat="1" applyFont="1" applyFill="1" applyBorder="1" applyAlignment="1" applyProtection="1">
      <alignment horizontal="center" vertical="center"/>
    </xf>
    <xf numFmtId="37" fontId="4" fillId="3" borderId="13" xfId="0" applyNumberFormat="1" applyFont="1" applyFill="1" applyBorder="1" applyAlignment="1" applyProtection="1">
      <alignment horizontal="left" vertical="center"/>
    </xf>
    <xf numFmtId="3" fontId="4" fillId="9" borderId="3" xfId="0" applyNumberFormat="1" applyFont="1" applyFill="1" applyBorder="1" applyAlignment="1" applyProtection="1">
      <alignment horizontal="right" vertical="center"/>
    </xf>
    <xf numFmtId="3" fontId="4" fillId="9" borderId="1" xfId="0" applyNumberFormat="1" applyFont="1" applyFill="1" applyBorder="1" applyAlignment="1" applyProtection="1">
      <alignment horizontal="right" vertical="center"/>
    </xf>
    <xf numFmtId="0" fontId="5" fillId="8" borderId="13" xfId="0" applyFont="1" applyFill="1" applyBorder="1" applyAlignment="1" applyProtection="1">
      <alignment vertical="center"/>
      <protection locked="0"/>
    </xf>
    <xf numFmtId="3" fontId="5" fillId="9" borderId="1" xfId="0" applyNumberFormat="1" applyFont="1" applyFill="1" applyBorder="1" applyAlignment="1" applyProtection="1">
      <alignment horizontal="right" vertical="center"/>
    </xf>
    <xf numFmtId="0" fontId="15" fillId="0" borderId="0" xfId="0" applyFont="1" applyAlignment="1" applyProtection="1">
      <alignment vertical="center"/>
    </xf>
    <xf numFmtId="0" fontId="12" fillId="3" borderId="0" xfId="0" applyFont="1" applyFill="1" applyAlignment="1" applyProtection="1">
      <alignment horizontal="center" vertical="center"/>
    </xf>
    <xf numFmtId="2" fontId="5" fillId="3" borderId="0" xfId="0" applyNumberFormat="1" applyFont="1" applyFill="1" applyAlignment="1" applyProtection="1">
      <alignment horizontal="right" vertical="center"/>
      <protection locked="0"/>
    </xf>
    <xf numFmtId="0" fontId="5" fillId="3" borderId="0" xfId="0" applyFont="1" applyFill="1" applyAlignment="1">
      <alignment horizontal="right" vertical="center"/>
    </xf>
    <xf numFmtId="0" fontId="5" fillId="3" borderId="0" xfId="0" applyFont="1" applyFill="1" applyAlignment="1">
      <alignment vertical="center"/>
    </xf>
    <xf numFmtId="0" fontId="5" fillId="2" borderId="0" xfId="0" applyFont="1" applyFill="1" applyAlignment="1" applyProtection="1">
      <alignment horizontal="left" vertical="center"/>
      <protection locked="0"/>
    </xf>
    <xf numFmtId="0" fontId="5" fillId="3" borderId="0" xfId="0" applyFont="1" applyFill="1" applyAlignment="1" applyProtection="1">
      <alignment horizontal="left" vertical="center"/>
      <protection locked="0"/>
    </xf>
    <xf numFmtId="0" fontId="5" fillId="3" borderId="0" xfId="0" applyFont="1" applyFill="1" applyAlignment="1" applyProtection="1">
      <alignment horizontal="left" vertical="center"/>
    </xf>
    <xf numFmtId="0" fontId="5" fillId="3" borderId="0" xfId="0" applyFont="1" applyFill="1" applyAlignment="1" applyProtection="1">
      <alignment horizontal="fill" vertical="center"/>
    </xf>
    <xf numFmtId="0" fontId="5" fillId="3" borderId="3" xfId="0" applyNumberFormat="1" applyFont="1" applyFill="1" applyBorder="1" applyAlignment="1" applyProtection="1">
      <alignment horizontal="center" vertical="center"/>
    </xf>
    <xf numFmtId="0" fontId="5" fillId="2" borderId="1" xfId="0" applyFont="1" applyFill="1" applyBorder="1" applyAlignment="1" applyProtection="1">
      <alignment horizontal="left" vertical="center"/>
      <protection locked="0"/>
    </xf>
    <xf numFmtId="0" fontId="5" fillId="8" borderId="1" xfId="0" applyFont="1" applyFill="1" applyBorder="1" applyAlignment="1" applyProtection="1">
      <alignment horizontal="left" vertical="center"/>
      <protection locked="0"/>
    </xf>
    <xf numFmtId="37" fontId="5" fillId="8" borderId="1" xfId="0" applyNumberFormat="1" applyFont="1" applyFill="1" applyBorder="1" applyAlignment="1" applyProtection="1">
      <alignment vertical="center"/>
      <protection locked="0"/>
    </xf>
    <xf numFmtId="37" fontId="4" fillId="9" borderId="1" xfId="0" applyNumberFormat="1" applyFont="1" applyFill="1" applyBorder="1" applyAlignment="1" applyProtection="1">
      <alignment vertical="center"/>
    </xf>
    <xf numFmtId="37" fontId="4" fillId="9" borderId="18" xfId="0" applyNumberFormat="1" applyFont="1" applyFill="1" applyBorder="1" applyAlignment="1" applyProtection="1">
      <alignment vertical="center"/>
    </xf>
    <xf numFmtId="3" fontId="5" fillId="8" borderId="8" xfId="0" applyNumberFormat="1" applyFont="1" applyFill="1" applyBorder="1" applyAlignment="1" applyProtection="1">
      <alignment vertical="center"/>
      <protection locked="0"/>
    </xf>
    <xf numFmtId="37" fontId="5" fillId="8" borderId="13" xfId="0" applyNumberFormat="1" applyFont="1" applyFill="1" applyBorder="1" applyAlignment="1" applyProtection="1">
      <alignment horizontal="left" vertical="center"/>
      <protection locked="0"/>
    </xf>
    <xf numFmtId="3" fontId="15" fillId="11" borderId="12" xfId="0" applyNumberFormat="1" applyFont="1" applyFill="1" applyBorder="1" applyAlignment="1" applyProtection="1">
      <alignment horizontal="center" vertical="center"/>
    </xf>
    <xf numFmtId="3" fontId="4" fillId="9" borderId="1" xfId="0" applyNumberFormat="1" applyFont="1" applyFill="1" applyBorder="1" applyAlignment="1" applyProtection="1">
      <alignment vertical="center"/>
    </xf>
    <xf numFmtId="37" fontId="5" fillId="3" borderId="0" xfId="0" applyNumberFormat="1" applyFont="1" applyFill="1" applyBorder="1" applyAlignment="1" applyProtection="1">
      <alignment horizontal="fill" vertical="center"/>
    </xf>
    <xf numFmtId="3" fontId="5" fillId="3" borderId="0" xfId="0" applyNumberFormat="1" applyFont="1" applyFill="1" applyBorder="1" applyAlignment="1" applyProtection="1">
      <alignment horizontal="fill" vertical="center"/>
    </xf>
    <xf numFmtId="0" fontId="4" fillId="3" borderId="0" xfId="0" applyFont="1" applyFill="1" applyAlignment="1">
      <alignment horizontal="center" vertical="center"/>
    </xf>
    <xf numFmtId="0" fontId="5" fillId="3" borderId="8" xfId="0" applyFont="1" applyFill="1" applyBorder="1" applyAlignment="1">
      <alignment vertical="center"/>
    </xf>
    <xf numFmtId="0" fontId="14" fillId="3" borderId="2" xfId="0" applyFont="1" applyFill="1" applyBorder="1" applyAlignment="1">
      <alignment vertical="center"/>
    </xf>
    <xf numFmtId="0" fontId="14" fillId="3" borderId="8" xfId="0" applyFont="1" applyFill="1" applyBorder="1" applyAlignment="1">
      <alignment horizontal="center" vertical="center"/>
    </xf>
    <xf numFmtId="0" fontId="14" fillId="3" borderId="12" xfId="0" applyFont="1" applyFill="1" applyBorder="1" applyAlignment="1">
      <alignment vertical="center"/>
    </xf>
    <xf numFmtId="0" fontId="14"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14" fillId="3" borderId="16" xfId="0" applyFont="1" applyFill="1" applyBorder="1" applyAlignment="1">
      <alignment vertical="center"/>
    </xf>
    <xf numFmtId="3" fontId="14" fillId="2" borderId="1" xfId="0" applyNumberFormat="1" applyFont="1" applyFill="1" applyBorder="1" applyAlignment="1" applyProtection="1">
      <alignment horizontal="center" vertical="center"/>
      <protection locked="0"/>
    </xf>
    <xf numFmtId="0" fontId="14" fillId="3" borderId="4" xfId="0" applyFont="1" applyFill="1" applyBorder="1" applyAlignment="1">
      <alignment vertical="center"/>
    </xf>
    <xf numFmtId="3" fontId="14" fillId="9" borderId="1"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1"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3" fontId="14" fillId="2" borderId="7" xfId="0" applyNumberFormat="1" applyFont="1" applyFill="1" applyBorder="1" applyAlignment="1" applyProtection="1">
      <alignment horizontal="center" vertical="center"/>
      <protection locked="0"/>
    </xf>
    <xf numFmtId="0" fontId="14" fillId="2" borderId="8" xfId="0" applyFont="1" applyFill="1" applyBorder="1" applyAlignment="1" applyProtection="1">
      <alignment vertical="center"/>
      <protection locked="0"/>
    </xf>
    <xf numFmtId="0" fontId="14" fillId="2" borderId="3" xfId="0" applyFont="1" applyFill="1" applyBorder="1" applyAlignment="1" applyProtection="1">
      <alignment vertical="center"/>
      <protection locked="0"/>
    </xf>
    <xf numFmtId="3" fontId="14" fillId="2" borderId="14"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vertical="center"/>
      <protection locked="0"/>
    </xf>
    <xf numFmtId="3" fontId="14" fillId="10" borderId="1" xfId="0" applyNumberFormat="1" applyFont="1" applyFill="1" applyBorder="1" applyAlignment="1">
      <alignment horizontal="center" vertical="center"/>
    </xf>
    <xf numFmtId="3" fontId="5" fillId="3" borderId="0" xfId="0" applyNumberFormat="1" applyFont="1" applyFill="1" applyAlignment="1">
      <alignment vertical="center"/>
    </xf>
    <xf numFmtId="3" fontId="5" fillId="0" borderId="0" xfId="0" applyNumberFormat="1" applyFont="1" applyAlignment="1">
      <alignment vertical="center"/>
    </xf>
    <xf numFmtId="37" fontId="5" fillId="3" borderId="0" xfId="0" applyNumberFormat="1" applyFont="1" applyFill="1" applyAlignment="1" applyProtection="1">
      <alignment horizontal="centerContinuous" vertical="center" wrapText="1"/>
    </xf>
    <xf numFmtId="0" fontId="5" fillId="3" borderId="0" xfId="0" applyFont="1" applyFill="1" applyAlignment="1" applyProtection="1">
      <alignment horizontal="centerContinuous" vertical="center" wrapText="1"/>
    </xf>
    <xf numFmtId="1" fontId="5" fillId="3" borderId="13" xfId="0" applyNumberFormat="1" applyFont="1" applyFill="1" applyBorder="1" applyAlignment="1" applyProtection="1">
      <alignment horizontal="centerContinuous" vertical="center"/>
    </xf>
    <xf numFmtId="37" fontId="5" fillId="3" borderId="13" xfId="0" applyNumberFormat="1" applyFont="1" applyFill="1" applyBorder="1" applyAlignment="1" applyProtection="1">
      <alignment horizontal="centerContinuous" vertical="center"/>
    </xf>
    <xf numFmtId="0" fontId="5" fillId="3" borderId="5" xfId="0" applyFont="1" applyFill="1" applyBorder="1" applyAlignment="1" applyProtection="1">
      <alignment horizontal="centerContinuous" vertical="center"/>
    </xf>
    <xf numFmtId="37" fontId="8" fillId="3" borderId="2" xfId="0" applyNumberFormat="1" applyFont="1" applyFill="1" applyBorder="1" applyAlignment="1" applyProtection="1">
      <alignment horizontal="center" vertical="center"/>
    </xf>
    <xf numFmtId="166" fontId="5" fillId="3" borderId="1" xfId="0" applyNumberFormat="1" applyFont="1" applyFill="1" applyBorder="1" applyAlignment="1" applyProtection="1">
      <alignment horizontal="center" vertical="center"/>
    </xf>
    <xf numFmtId="3" fontId="5" fillId="3" borderId="4" xfId="0" applyNumberFormat="1" applyFont="1" applyFill="1" applyBorder="1" applyAlignment="1" applyProtection="1">
      <alignment horizontal="center" vertical="center"/>
    </xf>
    <xf numFmtId="1" fontId="5" fillId="3" borderId="0" xfId="0" applyNumberFormat="1" applyFont="1" applyFill="1" applyAlignment="1" applyProtection="1">
      <alignment horizontal="center" vertical="center"/>
    </xf>
    <xf numFmtId="165" fontId="5" fillId="3" borderId="0" xfId="0" applyNumberFormat="1" applyFont="1" applyFill="1" applyAlignment="1" applyProtection="1">
      <alignment horizontal="center" vertical="center"/>
    </xf>
    <xf numFmtId="1" fontId="5" fillId="3" borderId="4" xfId="0" applyNumberFormat="1" applyFont="1" applyFill="1" applyBorder="1" applyAlignment="1" applyProtection="1">
      <alignment horizontal="center" vertical="center"/>
    </xf>
    <xf numFmtId="3" fontId="5" fillId="3" borderId="1" xfId="0" applyNumberFormat="1" applyFont="1" applyFill="1" applyBorder="1" applyAlignment="1" applyProtection="1">
      <alignment horizontal="center" vertical="center"/>
      <protection locked="0"/>
    </xf>
    <xf numFmtId="37" fontId="5" fillId="3" borderId="0" xfId="0" applyNumberFormat="1" applyFont="1" applyFill="1" applyAlignment="1" applyProtection="1">
      <alignment vertical="center"/>
      <protection locked="0"/>
    </xf>
    <xf numFmtId="0" fontId="5" fillId="3" borderId="2"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3" fontId="5" fillId="2" borderId="1" xfId="0" applyNumberFormat="1" applyFont="1" applyFill="1" applyBorder="1" applyAlignment="1" applyProtection="1">
      <alignment horizontal="center" vertical="center"/>
      <protection locked="0"/>
    </xf>
    <xf numFmtId="170" fontId="5" fillId="3" borderId="1" xfId="0" applyNumberFormat="1" applyFont="1" applyFill="1" applyBorder="1" applyAlignment="1" applyProtection="1">
      <alignment horizontal="center" vertical="center"/>
    </xf>
    <xf numFmtId="3" fontId="5" fillId="3" borderId="18" xfId="0" applyNumberFormat="1" applyFont="1" applyFill="1" applyBorder="1" applyAlignment="1" applyProtection="1">
      <alignment horizontal="center" vertical="center"/>
    </xf>
    <xf numFmtId="170" fontId="5" fillId="3" borderId="18" xfId="0" applyNumberFormat="1" applyFont="1" applyFill="1" applyBorder="1" applyAlignment="1" applyProtection="1">
      <alignment horizontal="center" vertical="center"/>
    </xf>
    <xf numFmtId="170" fontId="5" fillId="3" borderId="4" xfId="0" applyNumberFormat="1" applyFont="1" applyFill="1" applyBorder="1" applyAlignment="1" applyProtection="1">
      <alignment horizontal="center" vertical="center"/>
    </xf>
    <xf numFmtId="170" fontId="5" fillId="3" borderId="0" xfId="0" applyNumberFormat="1" applyFont="1" applyFill="1" applyBorder="1" applyAlignment="1" applyProtection="1">
      <alignment horizontal="center" vertical="center"/>
    </xf>
    <xf numFmtId="3" fontId="5"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xf>
    <xf numFmtId="3" fontId="26" fillId="10" borderId="0" xfId="0" applyNumberFormat="1" applyFont="1" applyFill="1" applyAlignment="1">
      <alignment horizontal="center" vertical="center"/>
    </xf>
    <xf numFmtId="0" fontId="5" fillId="0" borderId="0" xfId="29" applyFont="1" applyAlignment="1">
      <alignment vertical="center"/>
    </xf>
    <xf numFmtId="0" fontId="5" fillId="0" borderId="0" xfId="469" applyFont="1" applyAlignment="1">
      <alignment vertical="center"/>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27" fillId="0" borderId="0" xfId="474"/>
    <xf numFmtId="0" fontId="5" fillId="0" borderId="0" xfId="474" applyFont="1" applyAlignment="1">
      <alignment horizontal="left" vertical="center"/>
    </xf>
    <xf numFmtId="172" fontId="14" fillId="0" borderId="0" xfId="474" applyNumberFormat="1" applyFont="1" applyAlignment="1">
      <alignment horizontal="left" vertical="center"/>
    </xf>
    <xf numFmtId="49" fontId="5" fillId="0" borderId="0" xfId="474" applyNumberFormat="1" applyFont="1" applyAlignment="1">
      <alignment horizontal="left" vertical="center"/>
    </xf>
    <xf numFmtId="0" fontId="14" fillId="0" borderId="0" xfId="474" applyFont="1" applyAlignment="1">
      <alignment horizontal="left" vertical="center"/>
    </xf>
    <xf numFmtId="173" fontId="14" fillId="0" borderId="0" xfId="474" applyNumberFormat="1" applyFont="1" applyAlignment="1">
      <alignment horizontal="left" vertical="center"/>
    </xf>
    <xf numFmtId="0" fontId="13" fillId="0" borderId="0" xfId="0" applyFont="1" applyAlignment="1">
      <alignment horizontal="center"/>
    </xf>
    <xf numFmtId="0" fontId="2" fillId="0" borderId="0" xfId="0" applyFont="1"/>
    <xf numFmtId="0" fontId="28" fillId="0" borderId="0" xfId="0" applyFont="1"/>
    <xf numFmtId="0" fontId="28" fillId="0" borderId="0" xfId="0" applyFont="1" applyAlignment="1"/>
    <xf numFmtId="0" fontId="2" fillId="0" borderId="0" xfId="0" quotePrefix="1" applyFont="1"/>
    <xf numFmtId="0" fontId="2" fillId="0" borderId="0" xfId="177" applyFont="1"/>
    <xf numFmtId="0" fontId="2" fillId="0" borderId="0" xfId="177" applyFont="1" applyFill="1"/>
    <xf numFmtId="0" fontId="2" fillId="0" borderId="0" xfId="0" applyFont="1" applyAlignment="1"/>
    <xf numFmtId="0" fontId="0" fillId="0" borderId="0" xfId="0" applyAlignment="1"/>
    <xf numFmtId="0" fontId="28" fillId="0" borderId="0" xfId="0" applyFont="1" applyAlignment="1">
      <alignment horizontal="center"/>
    </xf>
    <xf numFmtId="0" fontId="5" fillId="0" borderId="0" xfId="90" applyFont="1" applyAlignment="1">
      <alignment vertical="center"/>
    </xf>
    <xf numFmtId="0" fontId="6" fillId="0" borderId="0" xfId="95" applyFont="1" applyAlignment="1">
      <alignment vertical="center"/>
    </xf>
    <xf numFmtId="0" fontId="5" fillId="0" borderId="0" xfId="176" applyFont="1" applyAlignment="1">
      <alignment vertical="center" wrapText="1"/>
    </xf>
    <xf numFmtId="0" fontId="5" fillId="3" borderId="0" xfId="0" applyFont="1" applyFill="1"/>
    <xf numFmtId="0" fontId="6" fillId="0" borderId="0" xfId="94" applyFont="1" applyAlignment="1">
      <alignment vertical="center"/>
    </xf>
    <xf numFmtId="0" fontId="46" fillId="3" borderId="0" xfId="0" applyFont="1" applyFill="1" applyAlignment="1" applyProtection="1">
      <alignment horizontal="right" vertical="center"/>
      <protection locked="0"/>
    </xf>
    <xf numFmtId="0" fontId="8" fillId="3" borderId="0" xfId="0" applyFont="1" applyFill="1" applyAlignment="1" applyProtection="1">
      <alignment horizontal="left" vertical="center"/>
      <protection locked="0"/>
    </xf>
    <xf numFmtId="3" fontId="5" fillId="8" borderId="13" xfId="0" applyNumberFormat="1" applyFont="1" applyFill="1" applyBorder="1" applyAlignment="1" applyProtection="1">
      <alignment horizontal="right" vertical="center"/>
      <protection locked="0"/>
    </xf>
    <xf numFmtId="3" fontId="5" fillId="3" borderId="13" xfId="1" applyNumberFormat="1" applyFont="1" applyFill="1" applyBorder="1" applyAlignment="1" applyProtection="1">
      <alignment horizontal="right" vertical="center"/>
    </xf>
    <xf numFmtId="3" fontId="5" fillId="3" borderId="13" xfId="0" applyNumberFormat="1" applyFont="1" applyFill="1" applyBorder="1" applyAlignment="1" applyProtection="1">
      <alignment horizontal="right" vertical="center"/>
    </xf>
    <xf numFmtId="3" fontId="15" fillId="11" borderId="13" xfId="0" applyNumberFormat="1" applyFont="1" applyFill="1" applyBorder="1" applyAlignment="1" applyProtection="1">
      <alignment horizontal="center" vertical="center"/>
    </xf>
    <xf numFmtId="3" fontId="4" fillId="9" borderId="16" xfId="0" applyNumberFormat="1" applyFont="1" applyFill="1" applyBorder="1" applyAlignment="1" applyProtection="1">
      <alignment horizontal="right" vertical="center"/>
    </xf>
    <xf numFmtId="3" fontId="4" fillId="9" borderId="13" xfId="0" applyNumberFormat="1" applyFont="1" applyFill="1" applyBorder="1" applyAlignment="1" applyProtection="1">
      <alignment horizontal="right" vertical="center"/>
    </xf>
    <xf numFmtId="3" fontId="5" fillId="9" borderId="13" xfId="0" applyNumberFormat="1" applyFont="1" applyFill="1" applyBorder="1" applyAlignment="1" applyProtection="1">
      <alignment horizontal="right" vertical="center"/>
    </xf>
    <xf numFmtId="3" fontId="5" fillId="8" borderId="13" xfId="0" applyNumberFormat="1" applyFont="1" applyFill="1" applyBorder="1" applyAlignment="1" applyProtection="1">
      <alignment vertical="center"/>
      <protection locked="0"/>
    </xf>
    <xf numFmtId="3" fontId="5" fillId="3" borderId="13" xfId="0" applyNumberFormat="1" applyFont="1" applyFill="1" applyBorder="1" applyAlignment="1" applyProtection="1">
      <alignment vertical="center"/>
    </xf>
    <xf numFmtId="3" fontId="4" fillId="9" borderId="13" xfId="0" applyNumberFormat="1" applyFont="1" applyFill="1" applyBorder="1" applyAlignment="1" applyProtection="1">
      <alignment vertical="center"/>
    </xf>
    <xf numFmtId="3" fontId="5" fillId="9" borderId="13" xfId="0" applyNumberFormat="1" applyFont="1" applyFill="1" applyBorder="1" applyAlignment="1" applyProtection="1">
      <alignment vertical="center"/>
    </xf>
    <xf numFmtId="3" fontId="14" fillId="9" borderId="3" xfId="0" applyNumberFormat="1" applyFont="1" applyFill="1" applyBorder="1" applyAlignment="1">
      <alignment horizontal="center" vertical="center"/>
    </xf>
    <xf numFmtId="3" fontId="5" fillId="2" borderId="2" xfId="0" applyNumberFormat="1" applyFont="1" applyFill="1" applyBorder="1" applyAlignment="1" applyProtection="1">
      <alignment horizontal="center" vertical="center"/>
      <protection locked="0"/>
    </xf>
    <xf numFmtId="37" fontId="5" fillId="10" borderId="13" xfId="0" applyNumberFormat="1" applyFont="1" applyFill="1" applyBorder="1" applyAlignment="1" applyProtection="1">
      <alignment vertical="center"/>
    </xf>
    <xf numFmtId="0" fontId="32" fillId="12" borderId="0" xfId="0" applyFont="1" applyFill="1"/>
    <xf numFmtId="0" fontId="32" fillId="0" borderId="0" xfId="0" applyFont="1"/>
    <xf numFmtId="0" fontId="32" fillId="13" borderId="0" xfId="0" applyFont="1" applyFill="1"/>
    <xf numFmtId="0" fontId="47" fillId="12" borderId="0" xfId="0" applyFont="1" applyFill="1" applyAlignment="1">
      <alignment horizontal="center" wrapText="1"/>
    </xf>
    <xf numFmtId="0" fontId="47" fillId="13" borderId="0" xfId="0" applyFont="1" applyFill="1"/>
    <xf numFmtId="0" fontId="32" fillId="13" borderId="0" xfId="0" applyFont="1" applyFill="1" applyAlignment="1">
      <alignment horizontal="center"/>
    </xf>
    <xf numFmtId="0" fontId="47" fillId="13" borderId="21" xfId="0" applyFont="1" applyFill="1" applyBorder="1"/>
    <xf numFmtId="0" fontId="32" fillId="13" borderId="22" xfId="0" applyFont="1" applyFill="1" applyBorder="1"/>
    <xf numFmtId="0" fontId="32" fillId="13" borderId="23" xfId="0" applyFont="1" applyFill="1" applyBorder="1"/>
    <xf numFmtId="174" fontId="32" fillId="13" borderId="24" xfId="0" applyNumberFormat="1" applyFont="1" applyFill="1" applyBorder="1"/>
    <xf numFmtId="0" fontId="32" fillId="13" borderId="0" xfId="0" applyFont="1" applyFill="1" applyBorder="1"/>
    <xf numFmtId="174" fontId="32" fillId="13" borderId="4" xfId="0" applyNumberFormat="1" applyFont="1" applyFill="1" applyBorder="1" applyAlignment="1">
      <alignment horizontal="center"/>
    </xf>
    <xf numFmtId="0" fontId="32" fillId="13" borderId="25" xfId="0" applyFont="1" applyFill="1" applyBorder="1"/>
    <xf numFmtId="0" fontId="32" fillId="13" borderId="26" xfId="0" applyFont="1" applyFill="1" applyBorder="1"/>
    <xf numFmtId="0" fontId="32" fillId="13" borderId="27" xfId="0" applyFont="1" applyFill="1" applyBorder="1"/>
    <xf numFmtId="0" fontId="32" fillId="13" borderId="28" xfId="0" applyFont="1" applyFill="1" applyBorder="1"/>
    <xf numFmtId="174" fontId="32" fillId="13" borderId="0" xfId="0" applyNumberFormat="1" applyFont="1" applyFill="1"/>
    <xf numFmtId="0" fontId="32" fillId="13" borderId="21" xfId="0" applyFont="1" applyFill="1" applyBorder="1"/>
    <xf numFmtId="0" fontId="32" fillId="13" borderId="29" xfId="0" applyFont="1" applyFill="1" applyBorder="1"/>
    <xf numFmtId="174" fontId="32" fillId="14" borderId="24" xfId="0" applyNumberFormat="1" applyFont="1" applyFill="1" applyBorder="1" applyAlignment="1" applyProtection="1">
      <alignment horizontal="center"/>
      <protection locked="0"/>
    </xf>
    <xf numFmtId="170" fontId="32" fillId="13" borderId="0" xfId="0" applyNumberFormat="1" applyFont="1" applyFill="1" applyBorder="1" applyAlignment="1">
      <alignment horizontal="center"/>
    </xf>
    <xf numFmtId="0" fontId="48" fillId="0" borderId="0" xfId="0" applyFont="1" applyBorder="1"/>
    <xf numFmtId="0" fontId="32" fillId="0" borderId="0" xfId="0" applyFont="1" applyBorder="1"/>
    <xf numFmtId="0" fontId="47" fillId="0" borderId="0" xfId="0" applyFont="1" applyBorder="1" applyAlignment="1">
      <alignment horizontal="centerContinuous"/>
    </xf>
    <xf numFmtId="0" fontId="32" fillId="0" borderId="0" xfId="0" applyFont="1" applyBorder="1" applyAlignment="1">
      <alignment horizontal="centerContinuous"/>
    </xf>
    <xf numFmtId="0" fontId="32" fillId="12" borderId="0" xfId="0" applyFont="1" applyFill="1" applyBorder="1"/>
    <xf numFmtId="0" fontId="32" fillId="13" borderId="30" xfId="0" applyFont="1" applyFill="1" applyBorder="1"/>
    <xf numFmtId="0" fontId="32" fillId="13" borderId="10" xfId="0" applyFont="1" applyFill="1" applyBorder="1"/>
    <xf numFmtId="0" fontId="32" fillId="13" borderId="31" xfId="0" applyFont="1" applyFill="1" applyBorder="1"/>
    <xf numFmtId="5" fontId="32" fillId="13" borderId="27" xfId="0" applyNumberFormat="1" applyFont="1" applyFill="1" applyBorder="1" applyAlignment="1">
      <alignment horizontal="center"/>
    </xf>
    <xf numFmtId="0" fontId="32" fillId="13" borderId="27" xfId="0" applyFont="1" applyFill="1" applyBorder="1" applyAlignment="1">
      <alignment horizontal="center"/>
    </xf>
    <xf numFmtId="170" fontId="32" fillId="13" borderId="27" xfId="0" applyNumberFormat="1" applyFont="1" applyFill="1" applyBorder="1" applyAlignment="1">
      <alignment horizontal="center"/>
    </xf>
    <xf numFmtId="175" fontId="32" fillId="13" borderId="27" xfId="0" applyNumberFormat="1" applyFont="1" applyFill="1" applyBorder="1" applyAlignment="1">
      <alignment horizontal="center"/>
    </xf>
    <xf numFmtId="0" fontId="32" fillId="13" borderId="0" xfId="0" applyFont="1" applyFill="1" applyAlignment="1">
      <alignment horizontal="center" wrapText="1"/>
    </xf>
    <xf numFmtId="0" fontId="47" fillId="13" borderId="21" xfId="0" applyFont="1" applyFill="1" applyBorder="1" applyAlignment="1"/>
    <xf numFmtId="0" fontId="32" fillId="13" borderId="22" xfId="0" applyFont="1" applyFill="1" applyBorder="1" applyAlignment="1"/>
    <xf numFmtId="0" fontId="32" fillId="13" borderId="23" xfId="0" applyFont="1" applyFill="1" applyBorder="1" applyAlignment="1"/>
    <xf numFmtId="0" fontId="32" fillId="13" borderId="29" xfId="0" applyFont="1" applyFill="1" applyBorder="1" applyAlignment="1"/>
    <xf numFmtId="0" fontId="32" fillId="13" borderId="25" xfId="0" applyFont="1" applyFill="1" applyBorder="1" applyAlignment="1"/>
    <xf numFmtId="0" fontId="32" fillId="13" borderId="30" xfId="0" applyFont="1" applyFill="1" applyBorder="1" applyAlignment="1"/>
    <xf numFmtId="0" fontId="32" fillId="13" borderId="10" xfId="0" applyFont="1" applyFill="1" applyBorder="1" applyAlignment="1"/>
    <xf numFmtId="0" fontId="32" fillId="13" borderId="31" xfId="0" applyFont="1" applyFill="1" applyBorder="1" applyAlignment="1"/>
    <xf numFmtId="166" fontId="32" fillId="13" borderId="0" xfId="0" applyNumberFormat="1" applyFont="1" applyFill="1" applyBorder="1" applyAlignment="1">
      <alignment horizontal="center"/>
    </xf>
    <xf numFmtId="0" fontId="32" fillId="13" borderId="26" xfId="0" applyFont="1" applyFill="1" applyBorder="1" applyAlignment="1"/>
    <xf numFmtId="5" fontId="32" fillId="13" borderId="0" xfId="0" applyNumberFormat="1" applyFont="1" applyFill="1" applyBorder="1" applyAlignment="1">
      <alignment horizontal="center"/>
    </xf>
    <xf numFmtId="0" fontId="32" fillId="12" borderId="0" xfId="0" applyFont="1" applyFill="1" applyAlignment="1"/>
    <xf numFmtId="170" fontId="32" fillId="14" borderId="4" xfId="0" applyNumberFormat="1" applyFont="1" applyFill="1" applyBorder="1" applyAlignment="1" applyProtection="1">
      <alignment horizontal="center"/>
      <protection locked="0"/>
    </xf>
    <xf numFmtId="175" fontId="32" fillId="13" borderId="0" xfId="0" applyNumberFormat="1" applyFont="1" applyFill="1" applyBorder="1"/>
    <xf numFmtId="0" fontId="32" fillId="15" borderId="0" xfId="0" applyFont="1" applyFill="1"/>
    <xf numFmtId="0" fontId="34" fillId="0" borderId="0" xfId="0" applyFont="1" applyAlignment="1">
      <alignment horizontal="center"/>
    </xf>
    <xf numFmtId="0" fontId="5" fillId="0" borderId="0" xfId="0" applyFont="1" applyAlignment="1">
      <alignment wrapText="1"/>
    </xf>
    <xf numFmtId="0" fontId="35" fillId="0" borderId="0" xfId="15" applyFont="1" applyAlignment="1" applyProtection="1"/>
    <xf numFmtId="0" fontId="5" fillId="3" borderId="0" xfId="59" applyFont="1" applyFill="1" applyAlignment="1" applyProtection="1">
      <alignment horizontal="right" vertical="center"/>
    </xf>
    <xf numFmtId="170" fontId="5" fillId="14" borderId="14" xfId="55" applyNumberFormat="1" applyFont="1" applyFill="1" applyBorder="1" applyAlignment="1" applyProtection="1">
      <alignment horizontal="center"/>
      <protection locked="0"/>
    </xf>
    <xf numFmtId="174" fontId="5" fillId="13" borderId="7" xfId="55" applyNumberFormat="1" applyFont="1" applyFill="1" applyBorder="1" applyAlignment="1" applyProtection="1">
      <alignment horizontal="center"/>
    </xf>
    <xf numFmtId="0" fontId="5" fillId="0" borderId="0" xfId="55" applyFont="1" applyProtection="1"/>
    <xf numFmtId="0" fontId="5" fillId="16" borderId="4" xfId="55" applyFont="1" applyFill="1" applyBorder="1" applyProtection="1"/>
    <xf numFmtId="0" fontId="5" fillId="16" borderId="16" xfId="55" applyFont="1" applyFill="1" applyBorder="1" applyProtection="1"/>
    <xf numFmtId="0" fontId="5" fillId="16" borderId="0" xfId="55" applyFont="1" applyFill="1" applyBorder="1" applyProtection="1"/>
    <xf numFmtId="0" fontId="5" fillId="16" borderId="6" xfId="55" applyFont="1" applyFill="1" applyBorder="1" applyProtection="1"/>
    <xf numFmtId="166" fontId="5" fillId="13" borderId="14" xfId="55" applyNumberFormat="1" applyFont="1" applyFill="1" applyBorder="1" applyAlignment="1" applyProtection="1">
      <alignment horizontal="center"/>
    </xf>
    <xf numFmtId="0" fontId="5" fillId="13" borderId="14" xfId="55" applyFont="1" applyFill="1" applyBorder="1" applyProtection="1"/>
    <xf numFmtId="0" fontId="5" fillId="13" borderId="6" xfId="55" applyFont="1" applyFill="1" applyBorder="1" applyProtection="1"/>
    <xf numFmtId="0" fontId="5" fillId="0" borderId="0" xfId="55" applyFont="1" applyFill="1" applyBorder="1" applyProtection="1"/>
    <xf numFmtId="174" fontId="5" fillId="16" borderId="7" xfId="55" applyNumberFormat="1" applyFont="1" applyFill="1" applyBorder="1" applyAlignment="1" applyProtection="1">
      <alignment horizontal="center"/>
    </xf>
    <xf numFmtId="174" fontId="5" fillId="13" borderId="14" xfId="55" applyNumberFormat="1" applyFont="1" applyFill="1" applyBorder="1" applyAlignment="1" applyProtection="1">
      <alignment horizontal="center"/>
    </xf>
    <xf numFmtId="0" fontId="5" fillId="13" borderId="0" xfId="55" applyFont="1" applyFill="1" applyBorder="1" applyProtection="1"/>
    <xf numFmtId="0" fontId="49" fillId="3" borderId="0" xfId="0" applyFont="1" applyFill="1" applyAlignment="1" applyProtection="1">
      <alignment horizontal="center" vertical="center"/>
    </xf>
    <xf numFmtId="0" fontId="5" fillId="0" borderId="0" xfId="59" applyFont="1" applyAlignment="1">
      <alignment vertical="center"/>
    </xf>
    <xf numFmtId="0" fontId="5" fillId="0" borderId="0" xfId="59" applyFont="1" applyAlignment="1">
      <alignment vertical="center" wrapText="1"/>
    </xf>
    <xf numFmtId="0" fontId="5" fillId="0" borderId="0" xfId="401" applyFont="1" applyAlignment="1">
      <alignment vertical="center" wrapText="1"/>
    </xf>
    <xf numFmtId="0" fontId="5" fillId="0" borderId="0" xfId="434" applyNumberFormat="1" applyFont="1" applyAlignment="1">
      <alignment vertical="center" wrapText="1"/>
    </xf>
    <xf numFmtId="0" fontId="5" fillId="0" borderId="0" xfId="292" applyFont="1" applyAlignment="1">
      <alignment vertical="center" wrapText="1"/>
    </xf>
    <xf numFmtId="0" fontId="5" fillId="13" borderId="0" xfId="0" applyFont="1" applyFill="1" applyBorder="1" applyAlignment="1" applyProtection="1">
      <alignment vertical="center"/>
    </xf>
    <xf numFmtId="174" fontId="3" fillId="14" borderId="1" xfId="0" applyNumberFormat="1" applyFont="1" applyFill="1" applyBorder="1" applyAlignment="1" applyProtection="1">
      <alignment horizontal="center" vertical="center"/>
      <protection locked="0"/>
    </xf>
    <xf numFmtId="0" fontId="5" fillId="13" borderId="6" xfId="0" applyFont="1" applyFill="1" applyBorder="1" applyAlignment="1" applyProtection="1">
      <alignment vertical="center"/>
    </xf>
    <xf numFmtId="0" fontId="5" fillId="13" borderId="14" xfId="0" applyFont="1" applyFill="1" applyBorder="1" applyAlignment="1" applyProtection="1">
      <alignment vertical="center"/>
    </xf>
    <xf numFmtId="174" fontId="3" fillId="13" borderId="6" xfId="0" applyNumberFormat="1" applyFont="1" applyFill="1" applyBorder="1" applyAlignment="1" applyProtection="1">
      <alignment horizontal="center" vertical="center"/>
    </xf>
    <xf numFmtId="0" fontId="3" fillId="13" borderId="0" xfId="0" applyFont="1" applyFill="1" applyBorder="1" applyAlignment="1" applyProtection="1">
      <alignment horizontal="left" vertical="center"/>
    </xf>
    <xf numFmtId="0" fontId="3" fillId="13" borderId="14" xfId="0" applyFont="1" applyFill="1" applyBorder="1" applyAlignment="1" applyProtection="1">
      <alignment vertical="center"/>
    </xf>
    <xf numFmtId="0" fontId="3" fillId="13" borderId="0" xfId="0" applyFont="1" applyFill="1" applyBorder="1" applyAlignment="1" applyProtection="1">
      <alignment vertical="center"/>
    </xf>
    <xf numFmtId="174" fontId="3" fillId="13" borderId="16" xfId="0" applyNumberFormat="1" applyFont="1" applyFill="1" applyBorder="1" applyAlignment="1" applyProtection="1">
      <alignment horizontal="center" vertical="center"/>
    </xf>
    <xf numFmtId="174" fontId="3" fillId="13" borderId="6" xfId="0" applyNumberFormat="1" applyFont="1" applyFill="1" applyBorder="1" applyAlignment="1" applyProtection="1">
      <alignment vertical="center"/>
    </xf>
    <xf numFmtId="0" fontId="37" fillId="16" borderId="4" xfId="0" applyFont="1" applyFill="1" applyBorder="1" applyAlignment="1" applyProtection="1">
      <alignment vertical="center"/>
    </xf>
    <xf numFmtId="0" fontId="3" fillId="16" borderId="7" xfId="0" applyFont="1" applyFill="1" applyBorder="1" applyAlignment="1" applyProtection="1">
      <alignment vertical="center"/>
    </xf>
    <xf numFmtId="0" fontId="5" fillId="16" borderId="7" xfId="0" applyFont="1" applyFill="1" applyBorder="1" applyAlignment="1" applyProtection="1">
      <alignment vertical="center"/>
    </xf>
    <xf numFmtId="0" fontId="3" fillId="13" borderId="6" xfId="0" applyFont="1" applyFill="1" applyBorder="1" applyAlignment="1" applyProtection="1">
      <alignment horizontal="left" vertical="center"/>
    </xf>
    <xf numFmtId="174" fontId="37" fillId="16" borderId="16"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3" fillId="13" borderId="6" xfId="0" applyFont="1" applyFill="1" applyBorder="1" applyAlignment="1" applyProtection="1">
      <alignment vertical="center"/>
    </xf>
    <xf numFmtId="174" fontId="3" fillId="13" borderId="14" xfId="0" applyNumberFormat="1" applyFont="1" applyFill="1" applyBorder="1" applyAlignment="1" applyProtection="1">
      <alignment horizontal="center" vertical="center"/>
    </xf>
    <xf numFmtId="0" fontId="5" fillId="16" borderId="4" xfId="0" applyFont="1" applyFill="1" applyBorder="1" applyAlignment="1" applyProtection="1">
      <alignment vertical="center"/>
    </xf>
    <xf numFmtId="0" fontId="3" fillId="16" borderId="4" xfId="0" applyFont="1" applyFill="1" applyBorder="1" applyAlignment="1" applyProtection="1">
      <alignment vertical="center"/>
    </xf>
    <xf numFmtId="174" fontId="14" fillId="13" borderId="6" xfId="0" applyNumberFormat="1" applyFont="1" applyFill="1" applyBorder="1" applyAlignment="1" applyProtection="1">
      <alignment horizontal="center" vertical="center"/>
    </xf>
    <xf numFmtId="0" fontId="14" fillId="13" borderId="0" xfId="0" applyFont="1" applyFill="1" applyBorder="1" applyAlignment="1" applyProtection="1">
      <alignment vertical="center"/>
    </xf>
    <xf numFmtId="174" fontId="14" fillId="13" borderId="16" xfId="0" applyNumberFormat="1" applyFont="1" applyFill="1" applyBorder="1" applyAlignment="1" applyProtection="1">
      <alignment horizontal="center" vertical="center"/>
    </xf>
    <xf numFmtId="174" fontId="14" fillId="13" borderId="6" xfId="0" applyNumberFormat="1" applyFont="1" applyFill="1" applyBorder="1" applyAlignment="1" applyProtection="1">
      <alignment vertical="center"/>
    </xf>
    <xf numFmtId="174" fontId="14" fillId="16" borderId="16" xfId="0" applyNumberFormat="1" applyFont="1" applyFill="1" applyBorder="1" applyAlignment="1" applyProtection="1">
      <alignment horizontal="center" vertical="center"/>
    </xf>
    <xf numFmtId="0" fontId="14" fillId="16" borderId="4" xfId="0" applyFont="1" applyFill="1" applyBorder="1" applyAlignment="1" applyProtection="1">
      <alignment vertical="center"/>
    </xf>
    <xf numFmtId="3" fontId="15" fillId="11" borderId="2" xfId="0" applyNumberFormat="1" applyFont="1" applyFill="1" applyBorder="1" applyAlignment="1" applyProtection="1">
      <alignment horizontal="center" vertical="center"/>
    </xf>
    <xf numFmtId="3" fontId="5" fillId="3" borderId="32" xfId="0" applyNumberFormat="1" applyFont="1" applyFill="1" applyBorder="1" applyAlignment="1" applyProtection="1">
      <alignment horizontal="center" vertical="center"/>
    </xf>
    <xf numFmtId="3" fontId="5" fillId="9" borderId="33" xfId="0" applyNumberFormat="1" applyFont="1" applyFill="1" applyBorder="1" applyAlignment="1" applyProtection="1">
      <alignment horizontal="center" vertical="center"/>
    </xf>
    <xf numFmtId="3" fontId="5" fillId="3" borderId="15" xfId="0" applyNumberFormat="1" applyFont="1" applyFill="1" applyBorder="1" applyAlignment="1" applyProtection="1">
      <alignment horizontal="center" vertical="center"/>
    </xf>
    <xf numFmtId="3" fontId="5" fillId="3" borderId="3" xfId="0" applyNumberFormat="1" applyFont="1" applyFill="1" applyBorder="1" applyAlignment="1" applyProtection="1">
      <alignment horizontal="center" vertical="center"/>
    </xf>
    <xf numFmtId="37" fontId="5" fillId="3" borderId="4" xfId="0" applyNumberFormat="1" applyFont="1" applyFill="1" applyBorder="1" applyAlignment="1" applyProtection="1">
      <alignment horizontal="center" vertical="center"/>
      <protection locked="0"/>
    </xf>
    <xf numFmtId="37" fontId="11" fillId="3" borderId="0" xfId="0" applyNumberFormat="1" applyFont="1" applyFill="1" applyAlignment="1" applyProtection="1">
      <alignment vertical="center"/>
    </xf>
    <xf numFmtId="0" fontId="0" fillId="10" borderId="4" xfId="0" applyFill="1" applyBorder="1" applyAlignment="1">
      <alignment vertical="center"/>
    </xf>
    <xf numFmtId="0" fontId="15" fillId="10" borderId="3" xfId="0"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2" xfId="0" applyNumberFormat="1" applyFont="1" applyFill="1" applyBorder="1" applyAlignment="1" applyProtection="1">
      <alignment horizontal="left" vertical="center"/>
    </xf>
    <xf numFmtId="3" fontId="5" fillId="3" borderId="0" xfId="0" applyNumberFormat="1" applyFont="1" applyFill="1" applyBorder="1" applyAlignment="1" applyProtection="1">
      <alignment horizontal="center" vertical="center"/>
    </xf>
    <xf numFmtId="166" fontId="5" fillId="3" borderId="0" xfId="0" applyNumberFormat="1" applyFont="1" applyFill="1" applyBorder="1" applyAlignment="1" applyProtection="1">
      <alignment horizontal="center" vertical="center"/>
    </xf>
    <xf numFmtId="0" fontId="50" fillId="0" borderId="0" xfId="0" applyFont="1" applyBorder="1" applyAlignment="1" applyProtection="1">
      <alignment vertical="center"/>
      <protection locked="0"/>
    </xf>
    <xf numFmtId="3" fontId="5" fillId="9" borderId="34" xfId="0" applyNumberFormat="1" applyFont="1" applyFill="1" applyBorder="1" applyAlignment="1" applyProtection="1">
      <alignment horizontal="center" vertical="center"/>
    </xf>
    <xf numFmtId="166" fontId="5" fillId="9" borderId="34" xfId="0" applyNumberFormat="1" applyFont="1" applyFill="1" applyBorder="1" applyAlignment="1" applyProtection="1">
      <alignment horizontal="center" vertical="center"/>
    </xf>
    <xf numFmtId="1" fontId="8" fillId="3" borderId="11" xfId="0" applyNumberFormat="1" applyFont="1" applyFill="1" applyBorder="1" applyAlignment="1" applyProtection="1">
      <alignment horizontal="center" vertical="center"/>
    </xf>
    <xf numFmtId="37" fontId="8" fillId="3" borderId="11" xfId="0" applyNumberFormat="1" applyFont="1" applyFill="1" applyBorder="1" applyAlignment="1" applyProtection="1">
      <alignment horizontal="center" vertical="center"/>
    </xf>
    <xf numFmtId="0" fontId="47" fillId="13" borderId="29" xfId="0" applyFont="1" applyFill="1" applyBorder="1" applyAlignment="1">
      <alignment horizontal="centerContinuous" vertical="center"/>
    </xf>
    <xf numFmtId="174" fontId="47" fillId="13" borderId="0" xfId="0" applyNumberFormat="1" applyFont="1" applyFill="1" applyBorder="1" applyAlignment="1">
      <alignment horizontal="centerContinuous" vertical="center"/>
    </xf>
    <xf numFmtId="0" fontId="47" fillId="13" borderId="0" xfId="0" applyFont="1" applyFill="1" applyBorder="1" applyAlignment="1">
      <alignment horizontal="centerContinuous" vertical="center"/>
    </xf>
    <xf numFmtId="170" fontId="47" fillId="13" borderId="0" xfId="0" applyNumberFormat="1" applyFont="1" applyFill="1" applyBorder="1" applyAlignment="1" applyProtection="1">
      <alignment horizontal="centerContinuous" vertical="center"/>
      <protection locked="0"/>
    </xf>
    <xf numFmtId="175" fontId="47" fillId="13" borderId="0" xfId="0" applyNumberFormat="1" applyFont="1" applyFill="1" applyBorder="1" applyAlignment="1">
      <alignment horizontal="centerContinuous" vertical="center"/>
    </xf>
    <xf numFmtId="0" fontId="47" fillId="13" borderId="25" xfId="0" applyFont="1" applyFill="1" applyBorder="1" applyAlignment="1">
      <alignment horizontal="centerContinuous" vertical="center"/>
    </xf>
    <xf numFmtId="0" fontId="47" fillId="13" borderId="29" xfId="0" applyFont="1" applyFill="1" applyBorder="1" applyAlignment="1">
      <alignment horizontal="centerContinuous"/>
    </xf>
    <xf numFmtId="174" fontId="47" fillId="13" borderId="0" xfId="0" applyNumberFormat="1" applyFont="1" applyFill="1" applyBorder="1" applyAlignment="1">
      <alignment horizontal="centerContinuous"/>
    </xf>
    <xf numFmtId="0" fontId="47" fillId="13" borderId="0" xfId="0" applyFont="1" applyFill="1" applyBorder="1" applyAlignment="1">
      <alignment horizontal="centerContinuous"/>
    </xf>
    <xf numFmtId="170" fontId="47" fillId="13" borderId="0" xfId="0" applyNumberFormat="1" applyFont="1" applyFill="1" applyBorder="1" applyAlignment="1" applyProtection="1">
      <alignment horizontal="centerContinuous"/>
      <protection locked="0"/>
    </xf>
    <xf numFmtId="175" fontId="47" fillId="13" borderId="0" xfId="0" applyNumberFormat="1" applyFont="1" applyFill="1" applyBorder="1" applyAlignment="1">
      <alignment horizontal="centerContinuous"/>
    </xf>
    <xf numFmtId="0" fontId="47" fillId="13" borderId="25" xfId="0" applyFont="1" applyFill="1" applyBorder="1" applyAlignment="1">
      <alignment horizontal="centerContinuous"/>
    </xf>
    <xf numFmtId="174" fontId="32" fillId="0" borderId="0" xfId="0" applyNumberFormat="1" applyFont="1"/>
    <xf numFmtId="174" fontId="32" fillId="13" borderId="27" xfId="0" applyNumberFormat="1" applyFont="1" applyFill="1" applyBorder="1" applyAlignment="1">
      <alignment horizontal="center"/>
    </xf>
    <xf numFmtId="170" fontId="32" fillId="13" borderId="27" xfId="0" applyNumberFormat="1" applyFont="1" applyFill="1" applyBorder="1" applyAlignment="1" applyProtection="1">
      <alignment horizontal="center"/>
      <protection locked="0"/>
    </xf>
    <xf numFmtId="175" fontId="32" fillId="13" borderId="27" xfId="0" applyNumberFormat="1" applyFont="1" applyFill="1" applyBorder="1"/>
    <xf numFmtId="170" fontId="32" fillId="13" borderId="0" xfId="0" applyNumberFormat="1" applyFont="1" applyFill="1" applyBorder="1" applyAlignment="1" applyProtection="1">
      <alignment horizontal="center"/>
      <protection locked="0"/>
    </xf>
    <xf numFmtId="174" fontId="32" fillId="13" borderId="22" xfId="0" applyNumberFormat="1" applyFont="1" applyFill="1" applyBorder="1" applyAlignment="1">
      <alignment horizontal="center"/>
    </xf>
    <xf numFmtId="0" fontId="32" fillId="13" borderId="22" xfId="0" applyFont="1" applyFill="1" applyBorder="1" applyAlignment="1">
      <alignment horizontal="center"/>
    </xf>
    <xf numFmtId="170" fontId="32" fillId="13" borderId="22" xfId="0" applyNumberFormat="1" applyFont="1" applyFill="1" applyBorder="1" applyAlignment="1" applyProtection="1">
      <alignment horizontal="center"/>
      <protection locked="0"/>
    </xf>
    <xf numFmtId="175" fontId="32" fillId="13" borderId="22" xfId="0" applyNumberFormat="1" applyFont="1" applyFill="1" applyBorder="1"/>
    <xf numFmtId="174" fontId="32" fillId="13" borderId="0" xfId="0" applyNumberFormat="1" applyFont="1" applyFill="1" applyBorder="1" applyAlignment="1" applyProtection="1">
      <alignment horizontal="center"/>
      <protection locked="0"/>
    </xf>
    <xf numFmtId="174" fontId="5" fillId="16" borderId="14" xfId="55" applyNumberFormat="1" applyFont="1" applyFill="1" applyBorder="1" applyAlignment="1" applyProtection="1">
      <alignment horizontal="center"/>
    </xf>
    <xf numFmtId="0" fontId="5" fillId="16" borderId="16" xfId="0" applyFont="1" applyFill="1" applyBorder="1" applyAlignment="1" applyProtection="1">
      <alignment vertical="center"/>
    </xf>
    <xf numFmtId="174" fontId="5" fillId="16" borderId="7" xfId="0" applyNumberFormat="1" applyFont="1" applyFill="1" applyBorder="1" applyAlignment="1" applyProtection="1">
      <alignment horizontal="center" vertical="center"/>
    </xf>
    <xf numFmtId="37" fontId="5" fillId="3" borderId="13" xfId="0" applyNumberFormat="1" applyFont="1" applyFill="1" applyBorder="1" applyAlignment="1" applyProtection="1">
      <alignment horizontal="center" vertical="center"/>
    </xf>
    <xf numFmtId="1" fontId="5" fillId="3" borderId="16" xfId="0" applyNumberFormat="1" applyFont="1" applyFill="1" applyBorder="1" applyAlignment="1" applyProtection="1">
      <alignment horizontal="center" vertical="center"/>
    </xf>
    <xf numFmtId="3" fontId="5" fillId="10" borderId="18" xfId="0" applyNumberFormat="1" applyFont="1" applyFill="1" applyBorder="1" applyAlignment="1" applyProtection="1">
      <alignment vertical="center"/>
    </xf>
    <xf numFmtId="0" fontId="5" fillId="16" borderId="0" xfId="0" applyFont="1" applyFill="1" applyBorder="1" applyAlignment="1" applyProtection="1">
      <alignment vertical="center"/>
    </xf>
    <xf numFmtId="0" fontId="5" fillId="13" borderId="0" xfId="39" applyFont="1" applyFill="1"/>
    <xf numFmtId="0" fontId="2" fillId="0" borderId="0" xfId="39"/>
    <xf numFmtId="0" fontId="5" fillId="13" borderId="0" xfId="39" applyFont="1" applyFill="1" applyAlignment="1">
      <alignment vertical="center"/>
    </xf>
    <xf numFmtId="37" fontId="5" fillId="13" borderId="0" xfId="39" applyNumberFormat="1" applyFont="1" applyFill="1" applyAlignment="1">
      <alignment vertical="center"/>
    </xf>
    <xf numFmtId="0" fontId="5" fillId="13" borderId="4" xfId="39" applyFont="1" applyFill="1" applyBorder="1" applyAlignment="1">
      <alignment vertical="center"/>
    </xf>
    <xf numFmtId="0" fontId="5" fillId="13" borderId="0" xfId="39" applyFont="1" applyFill="1" applyAlignment="1">
      <alignment horizontal="center" vertical="center"/>
    </xf>
    <xf numFmtId="0" fontId="6" fillId="13" borderId="0" xfId="39" applyFont="1" applyFill="1" applyAlignment="1">
      <alignment horizontal="center" vertical="center"/>
    </xf>
    <xf numFmtId="174" fontId="5" fillId="13" borderId="0" xfId="39" applyNumberFormat="1" applyFont="1" applyFill="1" applyAlignment="1">
      <alignment vertical="center"/>
    </xf>
    <xf numFmtId="174" fontId="5" fillId="13" borderId="10" xfId="39" applyNumberFormat="1" applyFont="1" applyFill="1" applyBorder="1" applyAlignment="1">
      <alignment vertical="center"/>
    </xf>
    <xf numFmtId="6" fontId="5" fillId="13" borderId="0" xfId="39" applyNumberFormat="1" applyFont="1" applyFill="1" applyBorder="1" applyAlignment="1">
      <alignment vertical="center"/>
    </xf>
    <xf numFmtId="174" fontId="5" fillId="13" borderId="0" xfId="39" applyNumberFormat="1" applyFont="1" applyFill="1" applyBorder="1" applyAlignment="1">
      <alignment vertical="center"/>
    </xf>
    <xf numFmtId="0" fontId="51" fillId="16" borderId="0" xfId="39" applyFont="1" applyFill="1" applyAlignment="1">
      <alignment vertical="center"/>
    </xf>
    <xf numFmtId="0" fontId="51" fillId="13" borderId="0" xfId="39" applyFont="1" applyFill="1" applyAlignment="1">
      <alignment horizontal="center" vertical="center"/>
    </xf>
    <xf numFmtId="170" fontId="5" fillId="13" borderId="0" xfId="39" applyNumberFormat="1" applyFont="1" applyFill="1" applyAlignment="1">
      <alignment horizontal="center" vertical="center"/>
    </xf>
    <xf numFmtId="177" fontId="51" fillId="13" borderId="0" xfId="39" applyNumberFormat="1" applyFont="1" applyFill="1" applyAlignment="1">
      <alignment horizontal="center" vertical="center"/>
    </xf>
    <xf numFmtId="0" fontId="51" fillId="16" borderId="0" xfId="39" applyFont="1" applyFill="1" applyAlignment="1">
      <alignment horizontal="center" vertical="center"/>
    </xf>
    <xf numFmtId="0" fontId="52" fillId="16" borderId="0" xfId="39" applyFont="1" applyFill="1" applyAlignment="1">
      <alignment horizontal="center" vertical="center"/>
    </xf>
    <xf numFmtId="0" fontId="5" fillId="13" borderId="0" xfId="39" applyFont="1" applyFill="1" applyAlignment="1">
      <alignment horizontal="right" vertical="center"/>
    </xf>
    <xf numFmtId="0" fontId="5" fillId="13" borderId="0" xfId="39" applyFont="1" applyFill="1" applyAlignment="1">
      <alignment horizontal="left" vertical="center"/>
    </xf>
    <xf numFmtId="0" fontId="5" fillId="13" borderId="0" xfId="32" applyFont="1" applyFill="1"/>
    <xf numFmtId="0" fontId="2" fillId="13" borderId="0" xfId="39" applyFill="1"/>
    <xf numFmtId="0" fontId="4" fillId="13" borderId="0" xfId="32" applyFont="1" applyFill="1"/>
    <xf numFmtId="0" fontId="2" fillId="13" borderId="0" xfId="32" applyFill="1"/>
    <xf numFmtId="0" fontId="9" fillId="0" borderId="0" xfId="15" applyAlignment="1" applyProtection="1"/>
    <xf numFmtId="176" fontId="5" fillId="3" borderId="1" xfId="0" applyNumberFormat="1" applyFont="1" applyFill="1" applyBorder="1" applyAlignment="1" applyProtection="1">
      <alignment horizontal="right" vertical="center"/>
    </xf>
    <xf numFmtId="166" fontId="5" fillId="3" borderId="1" xfId="0" applyNumberFormat="1" applyFont="1" applyFill="1" applyBorder="1" applyAlignment="1" applyProtection="1">
      <alignment horizontal="right" vertical="center"/>
    </xf>
    <xf numFmtId="0" fontId="5" fillId="3" borderId="1" xfId="0" applyFont="1" applyFill="1" applyBorder="1" applyAlignment="1" applyProtection="1">
      <alignment horizontal="right" vertical="center"/>
    </xf>
    <xf numFmtId="3" fontId="5" fillId="9" borderId="35" xfId="0" applyNumberFormat="1" applyFont="1" applyFill="1" applyBorder="1" applyAlignment="1" applyProtection="1">
      <alignment horizontal="right" vertical="center"/>
    </xf>
    <xf numFmtId="170" fontId="5" fillId="9" borderId="35" xfId="0" applyNumberFormat="1" applyFont="1" applyFill="1" applyBorder="1" applyAlignment="1" applyProtection="1">
      <alignment horizontal="right" vertical="center"/>
    </xf>
    <xf numFmtId="49" fontId="5" fillId="8" borderId="1" xfId="0" applyNumberFormat="1" applyFont="1" applyFill="1" applyBorder="1" applyAlignment="1" applyProtection="1">
      <alignment horizontal="center" vertical="center"/>
      <protection locked="0"/>
    </xf>
    <xf numFmtId="1" fontId="5" fillId="3" borderId="2" xfId="0" applyNumberFormat="1" applyFont="1" applyFill="1" applyBorder="1" applyAlignment="1" applyProtection="1">
      <alignment horizontal="center" vertical="center"/>
    </xf>
    <xf numFmtId="1" fontId="5" fillId="3" borderId="11" xfId="0" applyNumberFormat="1" applyFont="1" applyFill="1" applyBorder="1" applyAlignment="1" applyProtection="1">
      <alignment horizontal="center" vertical="center"/>
    </xf>
    <xf numFmtId="37" fontId="5" fillId="3" borderId="11" xfId="0" applyNumberFormat="1" applyFont="1" applyFill="1" applyBorder="1" applyAlignment="1" applyProtection="1">
      <alignment horizontal="center" vertical="center"/>
    </xf>
    <xf numFmtId="0" fontId="5" fillId="13" borderId="0" xfId="0" applyFont="1" applyFill="1" applyAlignment="1" applyProtection="1">
      <alignment vertical="center"/>
      <protection locked="0"/>
    </xf>
    <xf numFmtId="178" fontId="5" fillId="2" borderId="1" xfId="0" applyNumberFormat="1" applyFont="1" applyFill="1" applyBorder="1" applyAlignment="1" applyProtection="1">
      <alignment vertical="center"/>
      <protection locked="0"/>
    </xf>
    <xf numFmtId="178" fontId="5" fillId="8" borderId="1" xfId="0" applyNumberFormat="1" applyFont="1" applyFill="1" applyBorder="1" applyAlignment="1" applyProtection="1">
      <alignment vertical="center"/>
      <protection locked="0"/>
    </xf>
    <xf numFmtId="3" fontId="5" fillId="3" borderId="13"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32" fillId="13" borderId="10" xfId="0" applyFont="1" applyFill="1" applyBorder="1" applyAlignment="1">
      <alignment horizontal="center"/>
    </xf>
    <xf numFmtId="174" fontId="32" fillId="13" borderId="0" xfId="0" applyNumberFormat="1" applyFont="1" applyFill="1" applyBorder="1" applyAlignment="1">
      <alignment horizontal="center"/>
    </xf>
    <xf numFmtId="175" fontId="32" fillId="13" borderId="0" xfId="0" applyNumberFormat="1" applyFont="1" applyFill="1" applyBorder="1" applyAlignment="1">
      <alignment horizontal="center"/>
    </xf>
    <xf numFmtId="0" fontId="47" fillId="13" borderId="0" xfId="0" applyFont="1" applyFill="1" applyAlignment="1">
      <alignment horizontal="center" wrapText="1"/>
    </xf>
    <xf numFmtId="0" fontId="32" fillId="13" borderId="0" xfId="0" applyFont="1" applyFill="1" applyBorder="1" applyAlignment="1">
      <alignment horizontal="center"/>
    </xf>
    <xf numFmtId="174" fontId="32" fillId="14" borderId="4" xfId="0" applyNumberFormat="1" applyFont="1" applyFill="1" applyBorder="1" applyAlignment="1" applyProtection="1">
      <alignment horizontal="center"/>
      <protection locked="0"/>
    </xf>
    <xf numFmtId="174" fontId="32" fillId="13" borderId="0" xfId="0" applyNumberFormat="1" applyFont="1" applyFill="1" applyAlignment="1">
      <alignment horizontal="center"/>
    </xf>
    <xf numFmtId="0" fontId="47" fillId="13" borderId="0" xfId="0" applyFont="1" applyFill="1" applyAlignment="1">
      <alignment horizontal="center"/>
    </xf>
    <xf numFmtId="0" fontId="32" fillId="13" borderId="0" xfId="0" applyFont="1" applyFill="1" applyBorder="1" applyAlignment="1"/>
    <xf numFmtId="0" fontId="32" fillId="13" borderId="28" xfId="0" applyFont="1" applyFill="1" applyBorder="1" applyAlignment="1"/>
    <xf numFmtId="0" fontId="53" fillId="0" borderId="0" xfId="0" applyFont="1"/>
    <xf numFmtId="49" fontId="5" fillId="0" borderId="0" xfId="474" applyNumberFormat="1" applyFont="1" applyFill="1" applyAlignment="1" applyProtection="1">
      <alignment horizontal="left" vertical="center"/>
      <protection locked="0"/>
    </xf>
    <xf numFmtId="0" fontId="54" fillId="0" borderId="0" xfId="474" applyFont="1"/>
    <xf numFmtId="172" fontId="55" fillId="0" borderId="0" xfId="474" applyNumberFormat="1" applyFont="1" applyAlignment="1">
      <alignment horizontal="left" vertical="center"/>
    </xf>
    <xf numFmtId="0" fontId="55" fillId="0" borderId="0" xfId="474" applyNumberFormat="1" applyFont="1" applyAlignment="1">
      <alignment horizontal="left" vertical="center"/>
    </xf>
    <xf numFmtId="1" fontId="55" fillId="0" borderId="0" xfId="474" applyNumberFormat="1" applyFont="1" applyAlignment="1">
      <alignment horizontal="left" vertical="center"/>
    </xf>
    <xf numFmtId="0" fontId="56" fillId="0" borderId="0" xfId="474" applyFont="1" applyAlignment="1">
      <alignment horizontal="left" vertical="center"/>
    </xf>
    <xf numFmtId="170" fontId="37" fillId="13" borderId="8" xfId="0" applyNumberFormat="1" applyFont="1" applyFill="1" applyBorder="1" applyAlignment="1" applyProtection="1">
      <alignment horizontal="center" vertical="center"/>
    </xf>
    <xf numFmtId="0" fontId="37" fillId="16" borderId="6" xfId="0" applyFont="1" applyFill="1" applyBorder="1" applyAlignment="1" applyProtection="1">
      <alignment vertical="center"/>
    </xf>
    <xf numFmtId="0" fontId="3" fillId="16" borderId="0" xfId="0" applyFont="1" applyFill="1" applyBorder="1" applyAlignment="1" applyProtection="1">
      <alignment vertical="center"/>
    </xf>
    <xf numFmtId="174" fontId="37" fillId="16" borderId="8" xfId="0" applyNumberFormat="1" applyFont="1" applyFill="1" applyBorder="1" applyAlignment="1" applyProtection="1">
      <alignment horizontal="center" vertical="center"/>
    </xf>
    <xf numFmtId="37" fontId="3" fillId="3" borderId="16" xfId="0" applyNumberFormat="1" applyFont="1" applyFill="1" applyBorder="1" applyAlignment="1" applyProtection="1">
      <alignment horizontal="left" vertical="center"/>
    </xf>
    <xf numFmtId="0" fontId="38" fillId="13" borderId="4" xfId="0" applyFont="1" applyFill="1" applyBorder="1" applyAlignment="1">
      <alignment horizontal="left" vertical="center"/>
    </xf>
    <xf numFmtId="174" fontId="37" fillId="16" borderId="7" xfId="0" applyNumberFormat="1" applyFont="1" applyFill="1" applyBorder="1" applyAlignment="1" applyProtection="1">
      <alignment horizontal="center" vertical="center"/>
      <protection locked="0"/>
    </xf>
    <xf numFmtId="0" fontId="5" fillId="0" borderId="0" xfId="0" applyFont="1" applyProtection="1">
      <protection locked="0"/>
    </xf>
    <xf numFmtId="0" fontId="3" fillId="3" borderId="14" xfId="15" applyNumberFormat="1" applyFont="1" applyFill="1" applyBorder="1" applyAlignment="1" applyProtection="1">
      <alignment horizontal="center" vertical="center"/>
    </xf>
    <xf numFmtId="0" fontId="50" fillId="0" borderId="0" xfId="0" applyFont="1" applyProtection="1">
      <protection locked="0"/>
    </xf>
    <xf numFmtId="174" fontId="3" fillId="16" borderId="16" xfId="0" applyNumberFormat="1" applyFont="1" applyFill="1" applyBorder="1" applyAlignment="1" applyProtection="1">
      <alignment horizontal="center" vertical="center"/>
    </xf>
    <xf numFmtId="0" fontId="5" fillId="16" borderId="7" xfId="0" applyFont="1" applyFill="1" applyBorder="1" applyProtection="1">
      <protection locked="0"/>
    </xf>
    <xf numFmtId="170" fontId="3" fillId="13" borderId="6" xfId="0" applyNumberFormat="1" applyFont="1" applyFill="1" applyBorder="1" applyAlignment="1" applyProtection="1">
      <alignment horizontal="center" vertical="center"/>
    </xf>
    <xf numFmtId="0" fontId="36" fillId="13" borderId="0" xfId="0" applyFont="1" applyFill="1" applyBorder="1" applyAlignment="1" applyProtection="1">
      <alignment horizontal="center" vertical="center"/>
    </xf>
    <xf numFmtId="0" fontId="0" fillId="13" borderId="14" xfId="0" applyFill="1" applyBorder="1" applyAlignment="1" applyProtection="1">
      <alignment vertical="center"/>
    </xf>
    <xf numFmtId="170" fontId="3" fillId="16" borderId="16" xfId="0" applyNumberFormat="1" applyFont="1" applyFill="1" applyBorder="1" applyAlignment="1" applyProtection="1">
      <alignment horizontal="center" vertical="center"/>
    </xf>
    <xf numFmtId="170" fontId="3" fillId="13" borderId="13" xfId="0" applyNumberFormat="1" applyFont="1" applyFill="1" applyBorder="1" applyAlignment="1" applyProtection="1">
      <alignment horizontal="center" vertical="center"/>
    </xf>
    <xf numFmtId="170" fontId="3" fillId="16" borderId="13" xfId="0" applyNumberFormat="1" applyFont="1" applyFill="1" applyBorder="1" applyAlignment="1" applyProtection="1">
      <alignment horizontal="center" vertical="center"/>
    </xf>
    <xf numFmtId="0" fontId="3" fillId="13" borderId="4" xfId="0" applyFont="1" applyFill="1" applyBorder="1" applyAlignment="1" applyProtection="1">
      <alignment horizontal="left" vertical="center"/>
    </xf>
    <xf numFmtId="0" fontId="36" fillId="13" borderId="4" xfId="0" applyFont="1" applyFill="1" applyBorder="1" applyAlignment="1" applyProtection="1">
      <alignment horizontal="center" vertical="center"/>
    </xf>
    <xf numFmtId="0" fontId="0" fillId="13" borderId="7" xfId="0" applyFill="1" applyBorder="1" applyAlignment="1" applyProtection="1">
      <alignment vertical="center"/>
    </xf>
    <xf numFmtId="0" fontId="39" fillId="0" borderId="0" xfId="0" applyFont="1" applyAlignment="1" applyProtection="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174" fontId="37" fillId="0" borderId="0" xfId="0" applyNumberFormat="1" applyFont="1" applyFill="1" applyBorder="1" applyAlignment="1" applyProtection="1">
      <alignment horizontal="center" vertical="center"/>
    </xf>
    <xf numFmtId="178" fontId="5" fillId="3" borderId="0" xfId="0" applyNumberFormat="1" applyFont="1" applyFill="1" applyAlignment="1">
      <alignment horizontal="center" vertical="center"/>
    </xf>
    <xf numFmtId="0" fontId="5" fillId="0" borderId="0" xfId="95" applyFont="1" applyAlignment="1">
      <alignment vertical="center"/>
    </xf>
    <xf numFmtId="0" fontId="5" fillId="0" borderId="0" xfId="496" applyFont="1" applyAlignment="1">
      <alignment vertical="center" wrapText="1"/>
    </xf>
    <xf numFmtId="0" fontId="5" fillId="0" borderId="0" xfId="31" applyFont="1" applyAlignment="1">
      <alignment vertical="center" wrapText="1"/>
    </xf>
    <xf numFmtId="0" fontId="5" fillId="0" borderId="0" xfId="45" applyFont="1" applyAlignment="1">
      <alignment vertical="center" wrapText="1"/>
    </xf>
    <xf numFmtId="0" fontId="5" fillId="0" borderId="0" xfId="83" applyFont="1" applyAlignment="1">
      <alignment vertical="center" wrapText="1"/>
    </xf>
    <xf numFmtId="0" fontId="5" fillId="0" borderId="0" xfId="90" applyFont="1" applyAlignment="1">
      <alignment vertical="center" wrapText="1"/>
    </xf>
    <xf numFmtId="0" fontId="22" fillId="0" borderId="0" xfId="0" applyFont="1" applyAlignment="1">
      <alignment wrapText="1"/>
    </xf>
    <xf numFmtId="0" fontId="57" fillId="0" borderId="0" xfId="0" applyFont="1" applyAlignment="1">
      <alignment wrapText="1"/>
    </xf>
    <xf numFmtId="0" fontId="4" fillId="0" borderId="0" xfId="0" applyFont="1" applyAlignment="1">
      <alignment wrapText="1"/>
    </xf>
    <xf numFmtId="0" fontId="41" fillId="0" borderId="0" xfId="0" applyFont="1" applyAlignment="1" applyProtection="1">
      <alignment vertical="center"/>
    </xf>
    <xf numFmtId="0" fontId="5" fillId="0" borderId="0" xfId="30" applyFont="1" applyAlignment="1">
      <alignment vertical="center" wrapText="1"/>
    </xf>
    <xf numFmtId="0" fontId="9" fillId="17" borderId="0" xfId="15" applyFill="1" applyAlignment="1" applyProtection="1"/>
    <xf numFmtId="0" fontId="44" fillId="17" borderId="0" xfId="380" applyFill="1"/>
    <xf numFmtId="0" fontId="5" fillId="0" borderId="0" xfId="135" applyFont="1" applyAlignment="1">
      <alignment vertical="center"/>
    </xf>
    <xf numFmtId="0" fontId="58" fillId="13" borderId="8" xfId="0" applyFont="1" applyFill="1" applyBorder="1" applyAlignment="1">
      <alignment horizontal="center" vertical="center"/>
    </xf>
    <xf numFmtId="0" fontId="4" fillId="13" borderId="5" xfId="0" applyFont="1" applyFill="1" applyBorder="1" applyAlignment="1">
      <alignment horizontal="centerContinuous" vertical="center"/>
    </xf>
    <xf numFmtId="0" fontId="58" fillId="13" borderId="8" xfId="0" applyFont="1" applyFill="1" applyBorder="1" applyAlignment="1">
      <alignment horizontal="center" vertical="center"/>
    </xf>
    <xf numFmtId="0" fontId="4" fillId="13" borderId="5" xfId="0" applyFont="1" applyFill="1" applyBorder="1" applyAlignment="1">
      <alignment horizontal="centerContinuous" vertical="center"/>
    </xf>
    <xf numFmtId="0" fontId="58" fillId="13" borderId="8" xfId="0" applyFont="1" applyFill="1" applyBorder="1" applyAlignment="1">
      <alignment horizontal="center" vertical="center"/>
    </xf>
    <xf numFmtId="0" fontId="4" fillId="13" borderId="5" xfId="0" applyFont="1" applyFill="1" applyBorder="1" applyAlignment="1">
      <alignment horizontal="centerContinuous" vertical="center"/>
    </xf>
    <xf numFmtId="0" fontId="5" fillId="3" borderId="10" xfId="0" applyFont="1" applyFill="1" applyBorder="1" applyAlignment="1" applyProtection="1">
      <alignment horizontal="left" vertical="center"/>
    </xf>
    <xf numFmtId="3" fontId="5" fillId="3" borderId="2" xfId="0" applyNumberFormat="1" applyFont="1" applyFill="1" applyBorder="1" applyAlignment="1" applyProtection="1">
      <alignment vertical="center"/>
    </xf>
    <xf numFmtId="0" fontId="12" fillId="3" borderId="10" xfId="0" applyFont="1" applyFill="1" applyBorder="1" applyAlignment="1">
      <alignment horizontal="center" vertical="center"/>
    </xf>
    <xf numFmtId="0" fontId="5" fillId="0" borderId="0" xfId="30" applyFont="1" applyAlignment="1">
      <alignment horizontal="left" vertical="center"/>
    </xf>
    <xf numFmtId="37" fontId="5" fillId="2" borderId="13" xfId="0" applyNumberFormat="1" applyFont="1" applyFill="1" applyBorder="1" applyAlignment="1" applyProtection="1">
      <alignment horizontal="left" vertical="center"/>
      <protection locked="0"/>
    </xf>
    <xf numFmtId="0" fontId="5" fillId="2" borderId="8" xfId="0" applyFont="1" applyFill="1" applyBorder="1" applyAlignment="1" applyProtection="1">
      <alignment vertical="center"/>
    </xf>
    <xf numFmtId="49" fontId="5" fillId="2" borderId="13" xfId="474" applyNumberFormat="1" applyFont="1" applyFill="1" applyBorder="1" applyAlignment="1" applyProtection="1">
      <alignment horizontal="left" vertical="center"/>
      <protection locked="0"/>
    </xf>
    <xf numFmtId="49" fontId="5" fillId="2" borderId="8" xfId="474" applyNumberFormat="1" applyFont="1" applyFill="1" applyBorder="1" applyAlignment="1" applyProtection="1">
      <alignment horizontal="left" vertical="center"/>
      <protection locked="0"/>
    </xf>
    <xf numFmtId="49" fontId="5" fillId="2" borderId="1" xfId="474" applyNumberFormat="1" applyFont="1" applyFill="1" applyBorder="1" applyAlignment="1" applyProtection="1">
      <alignment horizontal="left" vertical="center"/>
      <protection locked="0"/>
    </xf>
    <xf numFmtId="0" fontId="5" fillId="2" borderId="13" xfId="474" applyFont="1" applyFill="1" applyBorder="1" applyAlignment="1" applyProtection="1">
      <alignment horizontal="left" vertical="center"/>
      <protection locked="0"/>
    </xf>
    <xf numFmtId="0" fontId="5" fillId="2" borderId="5" xfId="474" applyFont="1" applyFill="1" applyBorder="1" applyAlignment="1" applyProtection="1">
      <alignment horizontal="left" vertical="center"/>
      <protection locked="0"/>
    </xf>
    <xf numFmtId="0" fontId="27" fillId="2" borderId="8" xfId="474" applyFill="1" applyBorder="1" applyAlignment="1" applyProtection="1">
      <alignment horizontal="left" vertical="center"/>
      <protection locked="0"/>
    </xf>
    <xf numFmtId="0" fontId="7" fillId="3" borderId="0" xfId="32" applyFont="1" applyFill="1" applyAlignment="1" applyProtection="1">
      <alignment horizontal="center" vertical="center"/>
    </xf>
    <xf numFmtId="3" fontId="5" fillId="3" borderId="0" xfId="32" applyNumberFormat="1" applyFont="1" applyFill="1" applyAlignment="1" applyProtection="1">
      <alignment vertical="center"/>
    </xf>
    <xf numFmtId="3" fontId="5" fillId="3" borderId="4" xfId="32" applyNumberFormat="1" applyFont="1" applyFill="1" applyBorder="1" applyAlignment="1" applyProtection="1">
      <alignment vertical="center"/>
    </xf>
    <xf numFmtId="3" fontId="5" fillId="3" borderId="0" xfId="32" applyNumberFormat="1" applyFont="1" applyFill="1" applyBorder="1" applyAlignment="1" applyProtection="1">
      <alignment vertical="center"/>
    </xf>
    <xf numFmtId="0" fontId="5" fillId="3" borderId="0" xfId="32" applyFont="1" applyFill="1" applyAlignment="1" applyProtection="1">
      <alignment horizontal="left" vertical="center"/>
    </xf>
    <xf numFmtId="0" fontId="5" fillId="13" borderId="0" xfId="32" applyFont="1" applyFill="1" applyAlignment="1" applyProtection="1">
      <alignment vertical="center"/>
    </xf>
    <xf numFmtId="0" fontId="5" fillId="3" borderId="0" xfId="32" quotePrefix="1" applyFont="1" applyFill="1" applyAlignment="1" applyProtection="1">
      <alignment vertical="center"/>
    </xf>
    <xf numFmtId="3" fontId="5" fillId="3" borderId="17" xfId="32" applyNumberFormat="1" applyFont="1" applyFill="1" applyBorder="1" applyAlignment="1" applyProtection="1">
      <alignment vertical="center"/>
    </xf>
    <xf numFmtId="0" fontId="5" fillId="3" borderId="0" xfId="32" quotePrefix="1" applyFont="1" applyFill="1" applyAlignment="1" applyProtection="1">
      <alignment horizontal="left" vertical="center"/>
    </xf>
    <xf numFmtId="10" fontId="5" fillId="3" borderId="4" xfId="32" applyNumberFormat="1" applyFont="1" applyFill="1" applyBorder="1" applyAlignment="1" applyProtection="1">
      <alignment vertical="center"/>
    </xf>
    <xf numFmtId="10" fontId="5" fillId="3" borderId="0" xfId="32" applyNumberFormat="1" applyFont="1" applyFill="1" applyBorder="1" applyAlignment="1" applyProtection="1">
      <alignment vertical="center"/>
    </xf>
    <xf numFmtId="0" fontId="7" fillId="3" borderId="0" xfId="32" applyFont="1" applyFill="1" applyAlignment="1" applyProtection="1">
      <alignment horizontal="left" vertical="center"/>
    </xf>
    <xf numFmtId="37" fontId="5" fillId="16" borderId="1" xfId="0" applyNumberFormat="1" applyFont="1" applyFill="1" applyBorder="1" applyAlignment="1" applyProtection="1">
      <alignment horizontal="left" vertical="center"/>
    </xf>
    <xf numFmtId="0" fontId="37" fillId="13" borderId="1" xfId="173" applyFont="1" applyFill="1" applyBorder="1" applyAlignment="1">
      <alignment horizontal="left" vertical="center"/>
    </xf>
    <xf numFmtId="0" fontId="37" fillId="13" borderId="1" xfId="173" applyFont="1" applyFill="1" applyBorder="1" applyAlignment="1">
      <alignment horizontal="left" vertical="center"/>
    </xf>
    <xf numFmtId="0" fontId="37" fillId="13" borderId="1" xfId="173" applyFont="1" applyFill="1" applyBorder="1" applyAlignment="1">
      <alignment horizontal="left" vertical="center"/>
    </xf>
    <xf numFmtId="0" fontId="44" fillId="15" borderId="0" xfId="381" applyFill="1" applyBorder="1"/>
    <xf numFmtId="0" fontId="44" fillId="15" borderId="0" xfId="381" applyFill="1" applyBorder="1" applyAlignment="1">
      <alignment horizontal="left" vertical="center"/>
    </xf>
    <xf numFmtId="0" fontId="44" fillId="15" borderId="0" xfId="381" applyFill="1" applyBorder="1" applyAlignment="1">
      <alignment horizontal="center" vertical="center"/>
    </xf>
    <xf numFmtId="0" fontId="43" fillId="0" borderId="0" xfId="0" applyFont="1"/>
    <xf numFmtId="0" fontId="44" fillId="15" borderId="0" xfId="381" applyFill="1"/>
    <xf numFmtId="0" fontId="45" fillId="15" borderId="0" xfId="381" applyFont="1" applyFill="1" applyBorder="1"/>
    <xf numFmtId="0" fontId="45" fillId="15" borderId="25" xfId="381" applyFont="1" applyFill="1" applyBorder="1"/>
    <xf numFmtId="0" fontId="45" fillId="15" borderId="29" xfId="381" applyFont="1" applyFill="1" applyBorder="1"/>
    <xf numFmtId="0" fontId="45" fillId="15" borderId="26" xfId="381" applyFont="1" applyFill="1" applyBorder="1"/>
    <xf numFmtId="0" fontId="45" fillId="15" borderId="27" xfId="381" applyFont="1" applyFill="1" applyBorder="1"/>
    <xf numFmtId="0" fontId="45" fillId="15" borderId="0" xfId="381" applyFont="1" applyFill="1" applyBorder="1" applyAlignment="1">
      <alignment horizontal="right"/>
    </xf>
    <xf numFmtId="0" fontId="45" fillId="15" borderId="28" xfId="381" applyFont="1" applyFill="1" applyBorder="1"/>
    <xf numFmtId="3" fontId="45" fillId="15" borderId="4" xfId="381" applyNumberFormat="1" applyFont="1" applyFill="1" applyBorder="1"/>
    <xf numFmtId="3" fontId="45" fillId="15" borderId="5" xfId="381" applyNumberFormat="1" applyFont="1" applyFill="1" applyBorder="1"/>
    <xf numFmtId="0" fontId="5" fillId="0" borderId="0" xfId="29" applyFont="1" applyAlignment="1">
      <alignment vertical="top" wrapText="1"/>
    </xf>
    <xf numFmtId="0" fontId="0" fillId="0" borderId="0" xfId="0" applyAlignment="1">
      <alignment vertical="center"/>
    </xf>
    <xf numFmtId="3" fontId="5" fillId="0" borderId="0" xfId="0" applyNumberFormat="1" applyFont="1" applyAlignment="1" applyProtection="1">
      <alignment vertical="center"/>
      <protection locked="0"/>
    </xf>
    <xf numFmtId="1" fontId="5" fillId="3" borderId="16" xfId="0" applyNumberFormat="1" applyFont="1" applyFill="1" applyBorder="1" applyAlignment="1" applyProtection="1">
      <alignment horizontal="center" vertical="center"/>
    </xf>
    <xf numFmtId="0" fontId="0" fillId="0" borderId="0" xfId="0" applyAlignment="1">
      <alignment vertical="center"/>
    </xf>
    <xf numFmtId="0" fontId="5" fillId="3" borderId="0" xfId="0" applyFont="1" applyFill="1" applyAlignment="1" applyProtection="1">
      <alignment horizontal="right" vertical="center"/>
    </xf>
    <xf numFmtId="1" fontId="5" fillId="3" borderId="16" xfId="0" applyNumberFormat="1" applyFont="1" applyFill="1" applyBorder="1" applyAlignment="1" applyProtection="1">
      <alignment horizontal="center" vertical="center"/>
    </xf>
    <xf numFmtId="0" fontId="0" fillId="0" borderId="0" xfId="0" applyAlignment="1">
      <alignment vertical="center"/>
    </xf>
    <xf numFmtId="0" fontId="5" fillId="3" borderId="0" xfId="0" applyFont="1" applyFill="1" applyAlignment="1" applyProtection="1">
      <alignment horizontal="right" vertical="center"/>
    </xf>
    <xf numFmtId="3" fontId="5" fillId="3" borderId="2" xfId="0" applyNumberFormat="1" applyFont="1" applyFill="1" applyBorder="1" applyAlignment="1" applyProtection="1">
      <alignment horizontal="right" vertical="center"/>
    </xf>
    <xf numFmtId="0" fontId="5" fillId="3" borderId="2" xfId="0" applyFont="1" applyFill="1" applyBorder="1" applyAlignment="1" applyProtection="1">
      <alignment horizontal="right" vertical="center"/>
    </xf>
    <xf numFmtId="37" fontId="4" fillId="3" borderId="16" xfId="0" applyNumberFormat="1" applyFont="1" applyFill="1" applyBorder="1" applyAlignment="1" applyProtection="1">
      <alignment horizontal="right" vertical="center"/>
    </xf>
    <xf numFmtId="0" fontId="5" fillId="2" borderId="3" xfId="0" applyFont="1" applyFill="1" applyBorder="1" applyAlignment="1" applyProtection="1">
      <alignment horizontal="left" vertical="center"/>
      <protection locked="0"/>
    </xf>
    <xf numFmtId="3" fontId="5" fillId="2" borderId="3" xfId="1" applyNumberFormat="1" applyFont="1" applyFill="1" applyBorder="1" applyAlignment="1" applyProtection="1">
      <alignment horizontal="right" vertical="center"/>
      <protection locked="0"/>
    </xf>
    <xf numFmtId="3" fontId="5" fillId="2" borderId="1" xfId="1" applyNumberFormat="1" applyFont="1" applyFill="1" applyBorder="1" applyAlignment="1" applyProtection="1">
      <alignment horizontal="right" vertical="center"/>
      <protection locked="0"/>
    </xf>
    <xf numFmtId="0" fontId="4" fillId="2" borderId="1" xfId="0" applyFont="1" applyFill="1" applyBorder="1" applyAlignment="1" applyProtection="1">
      <alignment horizontal="left" vertical="center"/>
      <protection locked="0"/>
    </xf>
    <xf numFmtId="3" fontId="5" fillId="8" borderId="13" xfId="0" applyNumberFormat="1" applyFont="1" applyFill="1" applyBorder="1" applyAlignment="1" applyProtection="1">
      <alignment horizontal="left" vertical="center"/>
      <protection locked="0"/>
    </xf>
    <xf numFmtId="3" fontId="5" fillId="3" borderId="2" xfId="0" applyNumberFormat="1" applyFont="1" applyFill="1" applyBorder="1" applyAlignment="1" applyProtection="1">
      <alignment horizontal="center" vertical="center"/>
    </xf>
    <xf numFmtId="174" fontId="5" fillId="16" borderId="0" xfId="0" applyNumberFormat="1" applyFont="1" applyFill="1" applyBorder="1" applyAlignment="1" applyProtection="1">
      <alignment horizontal="center" vertical="center"/>
    </xf>
    <xf numFmtId="0" fontId="0" fillId="0" borderId="0" xfId="0" applyAlignment="1">
      <alignment vertical="center"/>
    </xf>
    <xf numFmtId="3" fontId="4" fillId="2" borderId="1" xfId="1" applyNumberFormat="1" applyFont="1" applyFill="1" applyBorder="1" applyAlignment="1" applyProtection="1">
      <alignment horizontal="right" vertical="center"/>
      <protection locked="0"/>
    </xf>
    <xf numFmtId="0" fontId="4" fillId="2" borderId="3" xfId="0" applyFont="1" applyFill="1" applyBorder="1" applyAlignment="1" applyProtection="1">
      <alignment horizontal="center" vertical="center"/>
      <protection locked="0"/>
    </xf>
    <xf numFmtId="0" fontId="28" fillId="0" borderId="0" xfId="0" applyFont="1" applyAlignment="1">
      <alignment vertical="center"/>
    </xf>
    <xf numFmtId="37" fontId="5" fillId="3" borderId="0" xfId="0" applyNumberFormat="1" applyFont="1" applyFill="1" applyBorder="1" applyAlignment="1" applyProtection="1">
      <alignment horizontal="center" vertical="center"/>
    </xf>
    <xf numFmtId="37" fontId="5" fillId="3" borderId="12" xfId="0" applyNumberFormat="1" applyFont="1" applyFill="1" applyBorder="1" applyAlignment="1" applyProtection="1">
      <alignment horizontal="center" vertical="center"/>
    </xf>
    <xf numFmtId="37" fontId="5" fillId="3" borderId="14" xfId="0" applyNumberFormat="1" applyFont="1" applyFill="1" applyBorder="1" applyAlignment="1" applyProtection="1">
      <alignment horizontal="fill" vertical="center"/>
    </xf>
    <xf numFmtId="37" fontId="5" fillId="10" borderId="4" xfId="0" applyNumberFormat="1" applyFont="1" applyFill="1" applyBorder="1" applyAlignment="1" applyProtection="1">
      <alignment vertical="center"/>
    </xf>
    <xf numFmtId="37" fontId="5" fillId="3" borderId="6" xfId="0" applyNumberFormat="1" applyFont="1" applyFill="1" applyBorder="1" applyAlignment="1" applyProtection="1">
      <alignment horizontal="center" vertical="center"/>
    </xf>
    <xf numFmtId="0" fontId="8" fillId="12" borderId="0" xfId="0" applyFont="1" applyFill="1" applyBorder="1" applyAlignment="1" applyProtection="1">
      <alignment vertical="center"/>
    </xf>
    <xf numFmtId="3" fontId="0" fillId="0" borderId="0" xfId="0" applyNumberFormat="1" applyBorder="1" applyAlignment="1" applyProtection="1">
      <alignment horizontal="center" vertical="center"/>
      <protection locked="0"/>
    </xf>
    <xf numFmtId="3" fontId="5" fillId="18" borderId="0" xfId="0" applyNumberFormat="1" applyFont="1" applyFill="1" applyBorder="1" applyAlignment="1" applyProtection="1">
      <alignment horizontal="center" vertical="center"/>
    </xf>
    <xf numFmtId="0" fontId="5" fillId="12" borderId="0" xfId="0" applyFont="1" applyFill="1" applyBorder="1" applyAlignment="1" applyProtection="1">
      <alignment horizontal="center" vertical="center" wrapText="1"/>
    </xf>
    <xf numFmtId="0" fontId="0" fillId="12" borderId="0" xfId="0" applyFill="1" applyBorder="1" applyAlignment="1">
      <alignment horizontal="center" vertical="center" wrapText="1"/>
    </xf>
    <xf numFmtId="37" fontId="5" fillId="3" borderId="16"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center" vertical="center"/>
    </xf>
    <xf numFmtId="37" fontId="5" fillId="13" borderId="0" xfId="0" applyNumberFormat="1" applyFont="1" applyFill="1" applyAlignment="1" applyProtection="1">
      <alignment horizontal="center" vertical="center"/>
    </xf>
    <xf numFmtId="37" fontId="4" fillId="3" borderId="8" xfId="0" applyNumberFormat="1" applyFont="1" applyFill="1" applyBorder="1" applyAlignment="1" applyProtection="1">
      <alignment horizontal="center" vertical="center"/>
    </xf>
    <xf numFmtId="0" fontId="2" fillId="0" borderId="0" xfId="0" applyFont="1" applyAlignment="1">
      <alignment vertical="center"/>
    </xf>
    <xf numFmtId="3" fontId="4" fillId="2" borderId="1" xfId="0" applyNumberFormat="1" applyFont="1" applyFill="1" applyBorder="1" applyAlignment="1" applyProtection="1">
      <alignment vertical="center"/>
      <protection locked="0"/>
    </xf>
    <xf numFmtId="0" fontId="12" fillId="3" borderId="0" xfId="0" applyFont="1" applyFill="1" applyBorder="1" applyAlignment="1">
      <alignment horizontal="center" vertical="center"/>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protection locked="0"/>
    </xf>
    <xf numFmtId="0" fontId="2" fillId="3" borderId="0" xfId="0" applyFont="1" applyFill="1" applyAlignment="1">
      <alignment vertical="center"/>
    </xf>
    <xf numFmtId="1" fontId="5" fillId="3" borderId="13" xfId="0" applyNumberFormat="1" applyFont="1" applyFill="1" applyBorder="1" applyAlignment="1" applyProtection="1">
      <alignment horizontal="right" vertical="center"/>
    </xf>
    <xf numFmtId="3" fontId="4" fillId="3" borderId="2" xfId="0" applyNumberFormat="1" applyFont="1" applyFill="1" applyBorder="1" applyAlignment="1" applyProtection="1">
      <alignment horizontal="center" vertical="center"/>
    </xf>
    <xf numFmtId="37" fontId="5" fillId="13" borderId="0" xfId="0" applyNumberFormat="1" applyFont="1" applyFill="1" applyAlignment="1" applyProtection="1">
      <alignment horizontal="left" vertical="center"/>
    </xf>
    <xf numFmtId="0" fontId="45" fillId="15" borderId="0" xfId="381" applyFont="1" applyFill="1" applyBorder="1" applyAlignment="1">
      <alignment horizontal="center"/>
    </xf>
    <xf numFmtId="0" fontId="45" fillId="15" borderId="25" xfId="381" applyFont="1" applyFill="1" applyBorder="1" applyAlignment="1" applyProtection="1">
      <alignment horizontal="center"/>
      <protection locked="0"/>
    </xf>
    <xf numFmtId="0" fontId="36" fillId="13" borderId="11" xfId="0" applyFont="1" applyFill="1" applyBorder="1" applyAlignment="1" applyProtection="1">
      <alignment horizontal="center" vertical="center"/>
    </xf>
    <xf numFmtId="0" fontId="0" fillId="0" borderId="10" xfId="0" applyBorder="1" applyAlignment="1">
      <alignment vertical="center"/>
    </xf>
    <xf numFmtId="0" fontId="0" fillId="0" borderId="12" xfId="0" applyBorder="1" applyAlignment="1">
      <alignment vertical="center"/>
    </xf>
    <xf numFmtId="0" fontId="36" fillId="13" borderId="10" xfId="0" applyFont="1" applyFill="1" applyBorder="1" applyAlignment="1" applyProtection="1">
      <alignment horizontal="center" vertical="center"/>
    </xf>
    <xf numFmtId="0" fontId="36" fillId="13" borderId="12" xfId="0" applyFont="1" applyFill="1" applyBorder="1" applyAlignment="1" applyProtection="1">
      <alignment horizontal="center" vertical="center"/>
    </xf>
    <xf numFmtId="37" fontId="12" fillId="3" borderId="0" xfId="0" applyNumberFormat="1" applyFont="1" applyFill="1" applyAlignment="1" applyProtection="1">
      <alignment horizontal="center" vertical="center"/>
    </xf>
    <xf numFmtId="0" fontId="13" fillId="0" borderId="0" xfId="0" applyFont="1" applyAlignment="1">
      <alignment horizontal="center" vertical="center"/>
    </xf>
    <xf numFmtId="37" fontId="11" fillId="3" borderId="0" xfId="0" applyNumberFormat="1" applyFont="1" applyFill="1" applyAlignment="1" applyProtection="1">
      <alignment horizontal="center" vertical="center"/>
    </xf>
    <xf numFmtId="0" fontId="0" fillId="0" borderId="0" xfId="0" applyAlignment="1">
      <alignment horizontal="center" vertical="center"/>
    </xf>
    <xf numFmtId="0" fontId="5"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4" fillId="3" borderId="4" xfId="0" applyNumberFormat="1" applyFont="1" applyFill="1" applyBorder="1" applyAlignment="1" applyProtection="1">
      <alignment horizontal="center" vertical="center"/>
    </xf>
    <xf numFmtId="0" fontId="1" fillId="3" borderId="4" xfId="0" applyFont="1" applyFill="1" applyBorder="1" applyAlignment="1">
      <alignment horizontal="center" vertical="center"/>
    </xf>
    <xf numFmtId="37" fontId="4" fillId="7" borderId="4" xfId="0" applyNumberFormat="1" applyFont="1" applyFill="1" applyBorder="1" applyAlignment="1" applyProtection="1">
      <alignment horizontal="center" vertical="center"/>
    </xf>
    <xf numFmtId="0" fontId="0" fillId="0" borderId="4" xfId="0" applyBorder="1" applyAlignment="1">
      <alignment horizontal="center" vertical="center"/>
    </xf>
    <xf numFmtId="37" fontId="5" fillId="3" borderId="15" xfId="0" applyNumberFormat="1"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3" fontId="5" fillId="3" borderId="15" xfId="0" applyNumberFormat="1" applyFont="1" applyFill="1" applyBorder="1" applyAlignment="1" applyProtection="1">
      <alignment vertical="center" wrapText="1"/>
      <protection locked="0"/>
    </xf>
    <xf numFmtId="3" fontId="5" fillId="3" borderId="3" xfId="0" applyNumberFormat="1" applyFont="1" applyFill="1" applyBorder="1" applyAlignment="1" applyProtection="1">
      <alignment vertical="center" wrapText="1"/>
      <protection locked="0"/>
    </xf>
    <xf numFmtId="0" fontId="14" fillId="3" borderId="1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5" fillId="3" borderId="0" xfId="0" applyFont="1" applyFill="1" applyBorder="1" applyAlignment="1">
      <alignment vertical="center"/>
    </xf>
    <xf numFmtId="0" fontId="18" fillId="0" borderId="0" xfId="0" applyFont="1" applyAlignment="1">
      <alignment vertical="center"/>
    </xf>
    <xf numFmtId="37" fontId="5" fillId="3" borderId="2" xfId="0" applyNumberFormat="1" applyFont="1" applyFill="1" applyBorder="1" applyAlignment="1" applyProtection="1">
      <alignment horizontal="center" vertical="center" wrapText="1"/>
    </xf>
    <xf numFmtId="0" fontId="0" fillId="0" borderId="3" xfId="0" applyBorder="1" applyAlignment="1">
      <alignment horizontal="center" vertical="center" wrapText="1"/>
    </xf>
    <xf numFmtId="37" fontId="4" fillId="3" borderId="6" xfId="0" applyNumberFormat="1" applyFont="1" applyFill="1" applyBorder="1" applyAlignment="1" applyProtection="1">
      <alignment horizontal="center" vertical="center"/>
    </xf>
    <xf numFmtId="0" fontId="0" fillId="0" borderId="14" xfId="0" applyBorder="1" applyAlignment="1">
      <alignment horizontal="center" vertical="center"/>
    </xf>
    <xf numFmtId="0" fontId="5" fillId="5" borderId="0" xfId="0" applyFont="1" applyFill="1" applyBorder="1" applyAlignment="1">
      <alignment vertical="center" wrapText="1"/>
    </xf>
    <xf numFmtId="37" fontId="4" fillId="3" borderId="27" xfId="0" applyNumberFormat="1" applyFont="1" applyFill="1" applyBorder="1" applyAlignment="1" applyProtection="1">
      <alignment horizontal="center" vertical="center"/>
    </xf>
    <xf numFmtId="0" fontId="1" fillId="0" borderId="27" xfId="0" applyFont="1" applyBorder="1" applyAlignment="1">
      <alignment horizontal="center" vertical="center"/>
    </xf>
    <xf numFmtId="0" fontId="4" fillId="3" borderId="27" xfId="0" applyFont="1" applyFill="1" applyBorder="1" applyAlignment="1" applyProtection="1">
      <alignment horizontal="center" vertical="center"/>
    </xf>
    <xf numFmtId="0" fontId="2" fillId="0" borderId="27" xfId="0" applyFont="1" applyBorder="1" applyAlignment="1">
      <alignment vertical="center"/>
    </xf>
    <xf numFmtId="3" fontId="5" fillId="3" borderId="2" xfId="0" applyNumberFormat="1" applyFont="1" applyFill="1" applyBorder="1" applyAlignment="1" applyProtection="1">
      <alignment horizontal="center" vertical="center" wrapText="1"/>
    </xf>
    <xf numFmtId="37" fontId="4" fillId="3" borderId="9" xfId="0" applyNumberFormat="1" applyFont="1" applyFill="1" applyBorder="1" applyAlignment="1" applyProtection="1">
      <alignment horizontal="center" vertical="center"/>
    </xf>
    <xf numFmtId="0" fontId="17" fillId="0" borderId="9" xfId="0" applyFont="1" applyBorder="1" applyAlignment="1">
      <alignment horizontal="center" vertical="center"/>
    </xf>
    <xf numFmtId="0" fontId="4"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5" fillId="0" borderId="0" xfId="474" applyFont="1" applyAlignment="1">
      <alignment horizontal="left" vertical="center" wrapText="1"/>
    </xf>
    <xf numFmtId="0" fontId="27" fillId="0" borderId="0" xfId="474" applyAlignment="1">
      <alignment horizontal="left" vertical="center" wrapText="1"/>
    </xf>
    <xf numFmtId="0" fontId="11" fillId="0" borderId="0" xfId="474" applyFont="1" applyAlignment="1">
      <alignment horizontal="left" vertical="center"/>
    </xf>
    <xf numFmtId="0" fontId="5" fillId="12" borderId="11" xfId="0" applyFont="1" applyFill="1" applyBorder="1" applyAlignment="1" applyProtection="1">
      <alignment horizontal="center" vertical="center" wrapText="1"/>
    </xf>
    <xf numFmtId="0" fontId="5" fillId="12" borderId="12" xfId="0" applyFont="1" applyFill="1" applyBorder="1" applyAlignment="1" applyProtection="1">
      <alignment horizontal="center" vertical="center" wrapText="1"/>
    </xf>
    <xf numFmtId="0" fontId="0" fillId="12" borderId="16" xfId="0" applyFill="1" applyBorder="1" applyAlignment="1">
      <alignment horizontal="center" vertical="center" wrapText="1"/>
    </xf>
    <xf numFmtId="0" fontId="0" fillId="12" borderId="7" xfId="0" applyFill="1" applyBorder="1" applyAlignment="1">
      <alignment horizontal="center" vertical="center" wrapText="1"/>
    </xf>
    <xf numFmtId="0" fontId="5" fillId="13" borderId="0" xfId="0" applyFont="1" applyFill="1" applyBorder="1" applyAlignment="1">
      <alignment horizontal="center" vertical="center"/>
    </xf>
    <xf numFmtId="37" fontId="5" fillId="3" borderId="0" xfId="0" applyNumberFormat="1" applyFont="1" applyFill="1" applyAlignment="1" applyProtection="1">
      <alignment horizontal="center" vertical="center"/>
    </xf>
    <xf numFmtId="1" fontId="5" fillId="3" borderId="2" xfId="0" applyNumberFormat="1" applyFont="1" applyFill="1" applyBorder="1" applyAlignment="1" applyProtection="1">
      <alignment horizontal="center" vertical="center" wrapText="1"/>
    </xf>
    <xf numFmtId="0" fontId="0" fillId="0" borderId="15" xfId="0" applyBorder="1" applyAlignment="1">
      <alignment horizontal="center" vertical="center" wrapText="1"/>
    </xf>
    <xf numFmtId="0" fontId="8" fillId="12" borderId="13" xfId="0" applyFont="1" applyFill="1" applyBorder="1" applyAlignment="1" applyProtection="1">
      <alignment vertical="center"/>
    </xf>
    <xf numFmtId="0" fontId="8" fillId="12" borderId="8" xfId="0" applyFont="1" applyFill="1" applyBorder="1" applyAlignment="1" applyProtection="1">
      <alignment vertical="center"/>
    </xf>
    <xf numFmtId="3" fontId="5" fillId="2" borderId="13" xfId="1" applyNumberFormat="1" applyFont="1" applyFill="1" applyBorder="1" applyAlignment="1" applyProtection="1">
      <alignment horizontal="center" vertical="center"/>
      <protection locked="0"/>
    </xf>
    <xf numFmtId="3" fontId="0" fillId="0" borderId="8" xfId="0" applyNumberFormat="1" applyBorder="1" applyAlignment="1" applyProtection="1">
      <alignment horizontal="center" vertical="center"/>
      <protection locked="0"/>
    </xf>
    <xf numFmtId="3" fontId="5" fillId="18" borderId="13" xfId="0" applyNumberFormat="1" applyFont="1" applyFill="1" applyBorder="1" applyAlignment="1" applyProtection="1">
      <alignment horizontal="center" vertical="center"/>
    </xf>
    <xf numFmtId="3" fontId="5" fillId="18" borderId="8" xfId="0" applyNumberFormat="1" applyFont="1" applyFill="1" applyBorder="1" applyAlignment="1" applyProtection="1">
      <alignment horizontal="center" vertical="center"/>
    </xf>
    <xf numFmtId="0" fontId="5" fillId="3" borderId="0" xfId="32" applyFont="1" applyFill="1" applyAlignment="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7" fillId="3" borderId="0" xfId="32" applyFont="1" applyFill="1" applyAlignment="1" applyProtection="1">
      <alignment horizontal="center" vertical="center"/>
    </xf>
    <xf numFmtId="37" fontId="5" fillId="3" borderId="13"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5" fillId="3" borderId="16" xfId="0" applyFont="1" applyFill="1" applyBorder="1" applyAlignment="1" applyProtection="1">
      <alignment horizontal="center" vertical="center"/>
    </xf>
    <xf numFmtId="0" fontId="0" fillId="0" borderId="7" xfId="0" applyBorder="1" applyAlignment="1" applyProtection="1">
      <alignment vertical="center"/>
    </xf>
    <xf numFmtId="1" fontId="5" fillId="3" borderId="16"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1" fillId="13" borderId="0" xfId="494" applyFont="1" applyFill="1" applyAlignment="1">
      <alignment horizontal="center"/>
    </xf>
    <xf numFmtId="0" fontId="2" fillId="13" borderId="0" xfId="39" applyFill="1" applyAlignment="1">
      <alignment horizontal="center"/>
    </xf>
    <xf numFmtId="0" fontId="4" fillId="13" borderId="0" xfId="39" applyFont="1" applyFill="1" applyAlignment="1">
      <alignment horizontal="center" vertical="center"/>
    </xf>
    <xf numFmtId="0" fontId="11" fillId="13" borderId="0" xfId="39" applyFont="1" applyFill="1" applyAlignment="1">
      <alignment horizontal="center" vertical="center"/>
    </xf>
    <xf numFmtId="0" fontId="5" fillId="13" borderId="0" xfId="39" applyFont="1" applyFill="1" applyAlignment="1">
      <alignment vertical="center" wrapText="1"/>
    </xf>
    <xf numFmtId="0" fontId="36" fillId="13" borderId="11" xfId="0" applyFont="1" applyFill="1" applyBorder="1" applyAlignment="1" applyProtection="1">
      <alignment horizontal="center" vertical="center"/>
    </xf>
    <xf numFmtId="0" fontId="0" fillId="0" borderId="10" xfId="0" applyBorder="1" applyAlignment="1">
      <alignment vertical="center"/>
    </xf>
    <xf numFmtId="0" fontId="0" fillId="0" borderId="12" xfId="0" applyBorder="1" applyAlignment="1">
      <alignment vertical="center"/>
    </xf>
    <xf numFmtId="170" fontId="36" fillId="13" borderId="11" xfId="0" applyNumberFormat="1" applyFont="1" applyFill="1" applyBorder="1" applyAlignment="1" applyProtection="1">
      <alignment horizontal="center"/>
    </xf>
    <xf numFmtId="0" fontId="13" fillId="0" borderId="10" xfId="0" applyFont="1" applyBorder="1" applyAlignment="1"/>
    <xf numFmtId="0" fontId="13" fillId="0" borderId="12" xfId="0" applyFont="1" applyBorder="1" applyAlignment="1"/>
    <xf numFmtId="0" fontId="5" fillId="0" borderId="0" xfId="0" applyNumberFormat="1" applyFont="1" applyFill="1" applyBorder="1" applyAlignment="1" applyProtection="1">
      <alignment horizontal="right" vertical="center"/>
    </xf>
    <xf numFmtId="0" fontId="0" fillId="0" borderId="0" xfId="0" applyFill="1" applyBorder="1" applyAlignment="1">
      <alignment horizontal="right" vertical="center"/>
    </xf>
    <xf numFmtId="0" fontId="5" fillId="3" borderId="0" xfId="0" applyNumberFormat="1" applyFont="1" applyFill="1" applyBorder="1" applyAlignment="1" applyProtection="1">
      <alignment horizontal="right" vertical="center"/>
    </xf>
    <xf numFmtId="0" fontId="0" fillId="0" borderId="0" xfId="0" applyAlignment="1">
      <alignment horizontal="right" vertical="center"/>
    </xf>
    <xf numFmtId="3" fontId="5" fillId="3" borderId="10" xfId="59" applyNumberFormat="1" applyFont="1" applyFill="1" applyBorder="1" applyAlignment="1" applyProtection="1">
      <alignment horizontal="right" vertical="center"/>
    </xf>
    <xf numFmtId="0" fontId="2" fillId="0" borderId="12" xfId="59" applyBorder="1" applyAlignment="1">
      <alignment horizontal="right" vertical="center"/>
    </xf>
    <xf numFmtId="0" fontId="5" fillId="3" borderId="0" xfId="59" applyFont="1" applyFill="1" applyAlignment="1" applyProtection="1">
      <alignment horizontal="right" vertical="center"/>
    </xf>
    <xf numFmtId="0" fontId="5" fillId="0" borderId="14" xfId="59" applyFont="1" applyBorder="1" applyAlignment="1">
      <alignment horizontal="right" vertical="center"/>
    </xf>
    <xf numFmtId="0" fontId="38" fillId="0" borderId="10" xfId="0" applyFont="1" applyBorder="1" applyAlignment="1">
      <alignment horizontal="center" vertical="center"/>
    </xf>
    <xf numFmtId="0" fontId="0" fillId="0" borderId="12" xfId="0" applyBorder="1" applyAlignment="1"/>
    <xf numFmtId="0" fontId="4" fillId="3" borderId="13" xfId="0" applyFont="1" applyFill="1" applyBorder="1" applyAlignment="1">
      <alignment vertical="center"/>
    </xf>
    <xf numFmtId="0" fontId="4" fillId="3" borderId="8" xfId="0" applyFont="1" applyFill="1" applyBorder="1" applyAlignment="1">
      <alignment vertical="center"/>
    </xf>
    <xf numFmtId="0" fontId="60" fillId="3" borderId="13" xfId="0" applyFont="1" applyFill="1" applyBorder="1" applyAlignment="1">
      <alignment vertical="center"/>
    </xf>
    <xf numFmtId="0" fontId="60" fillId="3" borderId="8" xfId="0" applyFont="1" applyFill="1" applyBorder="1" applyAlignment="1">
      <alignment vertical="center"/>
    </xf>
    <xf numFmtId="0" fontId="37" fillId="3" borderId="13" xfId="0" applyFont="1" applyFill="1" applyBorder="1" applyAlignment="1">
      <alignment vertical="center"/>
    </xf>
    <xf numFmtId="0" fontId="37" fillId="3" borderId="8" xfId="0" applyFont="1" applyFill="1" applyBorder="1" applyAlignment="1">
      <alignment vertical="center"/>
    </xf>
    <xf numFmtId="37" fontId="5" fillId="13" borderId="0" xfId="0" applyNumberFormat="1" applyFont="1" applyFill="1" applyAlignment="1" applyProtection="1">
      <alignment horizontal="center" vertical="center"/>
    </xf>
    <xf numFmtId="37" fontId="4" fillId="3" borderId="4" xfId="0" applyNumberFormat="1" applyFont="1" applyFill="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11" fillId="13" borderId="11" xfId="55" applyFont="1" applyFill="1" applyBorder="1" applyAlignment="1" applyProtection="1">
      <alignment horizontal="center"/>
    </xf>
    <xf numFmtId="0" fontId="11" fillId="13" borderId="10" xfId="55" applyFont="1" applyFill="1" applyBorder="1" applyAlignment="1" applyProtection="1">
      <alignment horizontal="center"/>
    </xf>
    <xf numFmtId="0" fontId="11" fillId="13" borderId="12" xfId="55" applyFont="1" applyFill="1" applyBorder="1" applyAlignment="1" applyProtection="1">
      <alignment horizontal="center"/>
    </xf>
    <xf numFmtId="0" fontId="2" fillId="0" borderId="10" xfId="55" applyBorder="1" applyAlignment="1" applyProtection="1">
      <alignment horizontal="center"/>
    </xf>
    <xf numFmtId="0" fontId="2" fillId="0" borderId="12" xfId="55" applyBorder="1" applyAlignment="1" applyProtection="1">
      <alignment horizontal="center"/>
    </xf>
    <xf numFmtId="37" fontId="5" fillId="3"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0" xfId="0" applyBorder="1" applyAlignment="1">
      <alignment horizontal="center"/>
    </xf>
    <xf numFmtId="0" fontId="0" fillId="0" borderId="12" xfId="0" applyBorder="1" applyAlignment="1">
      <alignment horizontal="center"/>
    </xf>
    <xf numFmtId="37" fontId="5" fillId="3" borderId="10" xfId="0" applyNumberFormat="1" applyFont="1" applyFill="1" applyBorder="1" applyAlignment="1" applyProtection="1">
      <alignment horizontal="center" vertical="center"/>
    </xf>
    <xf numFmtId="0" fontId="0" fillId="0" borderId="10" xfId="0" applyBorder="1" applyAlignment="1">
      <alignment horizontal="center" vertical="center"/>
    </xf>
    <xf numFmtId="0" fontId="5" fillId="3" borderId="0" xfId="0" applyFont="1" applyFill="1" applyAlignment="1">
      <alignment horizontal="right" vertical="center"/>
    </xf>
    <xf numFmtId="0" fontId="0" fillId="0" borderId="0" xfId="0" applyAlignment="1" applyProtection="1">
      <alignment vertical="center"/>
    </xf>
    <xf numFmtId="0" fontId="0" fillId="0" borderId="0" xfId="0" applyAlignment="1">
      <alignment vertical="center"/>
    </xf>
    <xf numFmtId="0" fontId="5" fillId="3" borderId="0" xfId="0" applyFont="1" applyFill="1" applyAlignment="1" applyProtection="1">
      <alignment horizontal="right" vertical="center"/>
    </xf>
    <xf numFmtId="0" fontId="45" fillId="15" borderId="26" xfId="381" applyFont="1" applyFill="1" applyBorder="1" applyAlignment="1">
      <alignment horizontal="left" vertical="top" wrapText="1"/>
    </xf>
    <xf numFmtId="0" fontId="45" fillId="15" borderId="27" xfId="381" applyFont="1" applyFill="1" applyBorder="1" applyAlignment="1">
      <alignment horizontal="left" vertical="top" wrapText="1"/>
    </xf>
    <xf numFmtId="0" fontId="45" fillId="15" borderId="28" xfId="381" applyFont="1" applyFill="1" applyBorder="1" applyAlignment="1">
      <alignment horizontal="left" vertical="top" wrapText="1"/>
    </xf>
    <xf numFmtId="0" fontId="59" fillId="15" borderId="36" xfId="381" applyFont="1" applyFill="1" applyBorder="1" applyAlignment="1">
      <alignment horizontal="center"/>
    </xf>
    <xf numFmtId="0" fontId="44" fillId="15" borderId="37" xfId="381" applyFill="1" applyBorder="1" applyAlignment="1">
      <alignment horizontal="center"/>
    </xf>
    <xf numFmtId="0" fontId="44" fillId="15" borderId="38" xfId="381" applyFill="1" applyBorder="1" applyAlignment="1">
      <alignment horizontal="center"/>
    </xf>
    <xf numFmtId="0" fontId="45" fillId="15" borderId="21" xfId="381" applyFont="1" applyFill="1" applyBorder="1" applyAlignment="1">
      <alignment horizontal="center"/>
    </xf>
    <xf numFmtId="0" fontId="45" fillId="15" borderId="22" xfId="381" applyFont="1" applyFill="1" applyBorder="1" applyAlignment="1">
      <alignment horizontal="center"/>
    </xf>
    <xf numFmtId="0" fontId="45" fillId="15" borderId="23" xfId="381" applyFont="1" applyFill="1" applyBorder="1" applyAlignment="1">
      <alignment horizontal="center"/>
    </xf>
    <xf numFmtId="0" fontId="59" fillId="0" borderId="36" xfId="381" applyFont="1" applyBorder="1" applyAlignment="1">
      <alignment horizontal="center"/>
    </xf>
    <xf numFmtId="0" fontId="59" fillId="0" borderId="37" xfId="381" applyFont="1" applyBorder="1" applyAlignment="1">
      <alignment horizontal="center"/>
    </xf>
    <xf numFmtId="0" fontId="59" fillId="0" borderId="38" xfId="381" applyFont="1" applyBorder="1" applyAlignment="1">
      <alignment horizontal="center"/>
    </xf>
    <xf numFmtId="0" fontId="45" fillId="15" borderId="29" xfId="381" applyFont="1" applyFill="1" applyBorder="1" applyAlignment="1">
      <alignment horizontal="center"/>
    </xf>
    <xf numFmtId="0" fontId="45" fillId="15" borderId="0" xfId="381" applyFont="1" applyFill="1" applyBorder="1" applyAlignment="1">
      <alignment horizontal="center"/>
    </xf>
    <xf numFmtId="0" fontId="45" fillId="15" borderId="25" xfId="381" applyFont="1" applyFill="1" applyBorder="1" applyAlignment="1">
      <alignment horizontal="center"/>
    </xf>
    <xf numFmtId="174" fontId="32" fillId="14" borderId="4" xfId="0" applyNumberFormat="1" applyFont="1" applyFill="1" applyBorder="1" applyAlignment="1" applyProtection="1">
      <alignment horizontal="center"/>
      <protection locked="0"/>
    </xf>
    <xf numFmtId="174" fontId="32" fillId="13" borderId="0" xfId="0" applyNumberFormat="1" applyFont="1" applyFill="1" applyBorder="1" applyAlignment="1">
      <alignment horizontal="center"/>
    </xf>
    <xf numFmtId="0" fontId="32" fillId="13" borderId="0" xfId="0" applyFont="1" applyFill="1" applyBorder="1" applyAlignment="1">
      <alignment wrapText="1"/>
    </xf>
    <xf numFmtId="0" fontId="32" fillId="0" borderId="0" xfId="0" applyFont="1" applyAlignment="1">
      <alignment wrapText="1"/>
    </xf>
    <xf numFmtId="0" fontId="32" fillId="13" borderId="0" xfId="0" applyFont="1" applyFill="1" applyAlignment="1">
      <alignment wrapText="1"/>
    </xf>
    <xf numFmtId="0" fontId="47" fillId="13" borderId="22" xfId="0" applyFont="1" applyFill="1" applyBorder="1" applyAlignment="1">
      <alignment horizontal="center" vertical="center"/>
    </xf>
    <xf numFmtId="0" fontId="32" fillId="0" borderId="22" xfId="0" applyFont="1" applyBorder="1" applyAlignment="1">
      <alignment horizontal="center" vertical="center"/>
    </xf>
    <xf numFmtId="5" fontId="32" fillId="13" borderId="4" xfId="0" applyNumberFormat="1" applyFont="1" applyFill="1" applyBorder="1" applyAlignment="1">
      <alignment horizontal="center"/>
    </xf>
    <xf numFmtId="0" fontId="47" fillId="13" borderId="0" xfId="0" applyFont="1" applyFill="1" applyBorder="1" applyAlignment="1">
      <alignment horizontal="center" wrapText="1"/>
    </xf>
    <xf numFmtId="0" fontId="32" fillId="0" borderId="0" xfId="0" applyFont="1" applyAlignment="1">
      <alignment horizontal="center" wrapText="1"/>
    </xf>
    <xf numFmtId="0" fontId="47" fillId="0" borderId="0" xfId="0" applyFont="1" applyAlignment="1">
      <alignment horizontal="center" wrapText="1"/>
    </xf>
    <xf numFmtId="0" fontId="47" fillId="13" borderId="0" xfId="0" applyFont="1" applyFill="1" applyAlignment="1">
      <alignment horizontal="center" wrapText="1"/>
    </xf>
    <xf numFmtId="0" fontId="32" fillId="13" borderId="0" xfId="0" applyFont="1" applyFill="1" applyBorder="1" applyAlignment="1"/>
    <xf numFmtId="0" fontId="32" fillId="0" borderId="0" xfId="0" applyFont="1" applyBorder="1" applyAlignment="1"/>
    <xf numFmtId="0" fontId="32" fillId="13" borderId="27" xfId="0" applyFont="1" applyFill="1" applyBorder="1" applyAlignment="1"/>
    <xf numFmtId="0" fontId="32" fillId="13" borderId="28" xfId="0" applyFont="1" applyFill="1" applyBorder="1" applyAlignment="1"/>
    <xf numFmtId="0" fontId="47" fillId="13" borderId="0" xfId="0" applyFont="1" applyFill="1" applyAlignment="1">
      <alignment horizontal="center" vertical="center"/>
    </xf>
    <xf numFmtId="0" fontId="47" fillId="0" borderId="0" xfId="0" applyFont="1" applyAlignment="1">
      <alignment horizontal="center" vertical="center"/>
    </xf>
    <xf numFmtId="0" fontId="47" fillId="13" borderId="0" xfId="0" applyFont="1" applyFill="1" applyAlignment="1">
      <alignment horizontal="center"/>
    </xf>
    <xf numFmtId="174" fontId="32" fillId="13" borderId="0" xfId="0" applyNumberFormat="1" applyFont="1" applyFill="1" applyAlignment="1">
      <alignment horizontal="center"/>
    </xf>
    <xf numFmtId="174" fontId="32" fillId="14" borderId="24" xfId="0" applyNumberFormat="1" applyFont="1" applyFill="1" applyBorder="1" applyAlignment="1" applyProtection="1">
      <alignment horizontal="center"/>
      <protection locked="0"/>
    </xf>
    <xf numFmtId="174" fontId="32" fillId="13" borderId="0" xfId="0" applyNumberFormat="1" applyFont="1" applyFill="1" applyAlignment="1"/>
    <xf numFmtId="0" fontId="32" fillId="13" borderId="0" xfId="0" applyFont="1" applyFill="1" applyBorder="1" applyAlignment="1">
      <alignment horizontal="center"/>
    </xf>
    <xf numFmtId="0" fontId="32" fillId="13" borderId="10" xfId="0" applyFont="1" applyFill="1" applyBorder="1" applyAlignment="1">
      <alignment horizontal="center"/>
    </xf>
    <xf numFmtId="0" fontId="32" fillId="13" borderId="29" xfId="0" applyFont="1" applyFill="1" applyBorder="1" applyAlignment="1">
      <alignment vertical="top" wrapText="1"/>
    </xf>
    <xf numFmtId="0" fontId="32" fillId="0" borderId="0" xfId="0" applyFont="1" applyAlignment="1">
      <alignment vertical="top" wrapText="1"/>
    </xf>
    <xf numFmtId="0" fontId="32" fillId="0" borderId="25" xfId="0" applyFont="1" applyBorder="1" applyAlignment="1">
      <alignment vertical="top" wrapText="1"/>
    </xf>
    <xf numFmtId="175" fontId="32" fillId="13" borderId="0" xfId="0" applyNumberFormat="1" applyFont="1" applyFill="1" applyBorder="1" applyAlignment="1">
      <alignment horizontal="center"/>
    </xf>
    <xf numFmtId="0" fontId="32" fillId="0" borderId="25" xfId="0" applyFont="1" applyBorder="1" applyAlignment="1">
      <alignment horizontal="center"/>
    </xf>
    <xf numFmtId="166" fontId="32" fillId="14" borderId="4" xfId="0" applyNumberFormat="1" applyFont="1" applyFill="1" applyBorder="1" applyAlignment="1" applyProtection="1">
      <alignment horizontal="center"/>
      <protection locked="0"/>
    </xf>
    <xf numFmtId="175" fontId="32" fillId="0" borderId="25" xfId="0" applyNumberFormat="1" applyFont="1" applyBorder="1" applyAlignment="1">
      <alignment horizontal="center"/>
    </xf>
  </cellXfs>
  <cellStyles count="509">
    <cellStyle name="Comma" xfId="1" builtinId="3"/>
    <cellStyle name="Comma 11 2" xfId="2"/>
    <cellStyle name="Comma 16" xfId="3"/>
    <cellStyle name="Comma 16 2" xfId="4"/>
    <cellStyle name="Comma 16 3" xfId="5"/>
    <cellStyle name="Comma 2" xfId="6"/>
    <cellStyle name="Comma 2 2" xfId="7"/>
    <cellStyle name="Comma 3 2" xfId="8"/>
    <cellStyle name="Comma 3 3" xfId="9"/>
    <cellStyle name="Comma 4 2" xfId="10"/>
    <cellStyle name="Comma 6 2" xfId="11"/>
    <cellStyle name="Comma 7" xfId="12"/>
    <cellStyle name="Comma 7 2" xfId="13"/>
    <cellStyle name="Comma 7 3" xfId="14"/>
    <cellStyle name="Hyperlink" xfId="15" builtinId="8"/>
    <cellStyle name="Hyperlink 2" xfId="16"/>
    <cellStyle name="Hyperlink 2 2" xfId="17"/>
    <cellStyle name="Hyperlink 2 3" xfId="18"/>
    <cellStyle name="Hyperlink 3 2" xfId="19"/>
    <cellStyle name="Hyperlink 3 3" xfId="20"/>
    <cellStyle name="Hyperlink 3 4" xfId="21"/>
    <cellStyle name="Hyperlink 4" xfId="22"/>
    <cellStyle name="Hyperlink 4 2" xfId="23"/>
    <cellStyle name="Hyperlink 7" xfId="24"/>
    <cellStyle name="Hyperlink 7 2" xfId="25"/>
    <cellStyle name="Hyperlink 7 3" xfId="26"/>
    <cellStyle name="Hyperlink 8" xfId="27"/>
    <cellStyle name="Hyperlink 8 2" xfId="28"/>
    <cellStyle name="Normal" xfId="0" builtinId="0"/>
    <cellStyle name="Normal 10" xfId="29"/>
    <cellStyle name="Normal 10 2" xfId="30"/>
    <cellStyle name="Normal 10 2 2" xfId="31"/>
    <cellStyle name="Normal 10 2 2 2" xfId="32"/>
    <cellStyle name="Normal 10 2 2 3" xfId="33"/>
    <cellStyle name="Normal 10 2 3" xfId="34"/>
    <cellStyle name="Normal 10 3" xfId="35"/>
    <cellStyle name="Normal 10 3 2" xfId="36"/>
    <cellStyle name="Normal 10 4" xfId="37"/>
    <cellStyle name="Normal 10 4 2" xfId="38"/>
    <cellStyle name="Normal 10 5" xfId="39"/>
    <cellStyle name="Normal 10 5 2" xfId="40"/>
    <cellStyle name="Normal 10 5 3" xfId="41"/>
    <cellStyle name="Normal 10 6" xfId="42"/>
    <cellStyle name="Normal 10 6 2" xfId="43"/>
    <cellStyle name="Normal 10 7" xfId="44"/>
    <cellStyle name="Normal 11 2" xfId="45"/>
    <cellStyle name="Normal 11 2 2" xfId="46"/>
    <cellStyle name="Normal 11 2 3" xfId="47"/>
    <cellStyle name="Normal 11 3" xfId="48"/>
    <cellStyle name="Normal 11 4" xfId="49"/>
    <cellStyle name="Normal 11 5" xfId="50"/>
    <cellStyle name="Normal 11 5 2" xfId="51"/>
    <cellStyle name="Normal 11 5 3" xfId="52"/>
    <cellStyle name="Normal 11 6" xfId="53"/>
    <cellStyle name="Normal 12" xfId="54"/>
    <cellStyle name="Normal 12 10" xfId="55"/>
    <cellStyle name="Normal 12 11" xfId="56"/>
    <cellStyle name="Normal 12 12" xfId="57"/>
    <cellStyle name="Normal 12 13" xfId="58"/>
    <cellStyle name="Normal 12 2" xfId="59"/>
    <cellStyle name="Normal 12 2 2" xfId="60"/>
    <cellStyle name="Normal 12 3" xfId="61"/>
    <cellStyle name="Normal 12 4" xfId="62"/>
    <cellStyle name="Normal 12 5" xfId="63"/>
    <cellStyle name="Normal 12 6" xfId="64"/>
    <cellStyle name="Normal 12 7" xfId="65"/>
    <cellStyle name="Normal 12 8" xfId="66"/>
    <cellStyle name="Normal 12 9" xfId="67"/>
    <cellStyle name="Normal 13" xfId="68"/>
    <cellStyle name="Normal 13 10" xfId="69"/>
    <cellStyle name="Normal 13 11" xfId="70"/>
    <cellStyle name="Normal 13 12" xfId="71"/>
    <cellStyle name="Normal 13 13" xfId="72"/>
    <cellStyle name="Normal 13 2" xfId="73"/>
    <cellStyle name="Normal 13 2 2" xfId="74"/>
    <cellStyle name="Normal 13 3" xfId="75"/>
    <cellStyle name="Normal 13 4" xfId="76"/>
    <cellStyle name="Normal 13 5" xfId="77"/>
    <cellStyle name="Normal 13 6" xfId="78"/>
    <cellStyle name="Normal 13 7" xfId="79"/>
    <cellStyle name="Normal 13 8" xfId="80"/>
    <cellStyle name="Normal 13 9" xfId="81"/>
    <cellStyle name="Normal 14" xfId="82"/>
    <cellStyle name="Normal 14 2" xfId="83"/>
    <cellStyle name="Normal 14 3" xfId="84"/>
    <cellStyle name="Normal 14 4" xfId="85"/>
    <cellStyle name="Normal 14 5" xfId="86"/>
    <cellStyle name="Normal 14 6" xfId="87"/>
    <cellStyle name="Normal 14 7" xfId="88"/>
    <cellStyle name="Normal 15" xfId="89"/>
    <cellStyle name="Normal 15 2" xfId="90"/>
    <cellStyle name="Normal 15 3" xfId="91"/>
    <cellStyle name="Normal 15 4" xfId="92"/>
    <cellStyle name="Normal 15 5" xfId="93"/>
    <cellStyle name="Normal 16" xfId="94"/>
    <cellStyle name="Normal 16 2" xfId="95"/>
    <cellStyle name="Normal 16 3" xfId="96"/>
    <cellStyle name="Normal 16 4" xfId="97"/>
    <cellStyle name="Normal 16 5" xfId="98"/>
    <cellStyle name="Normal 17" xfId="99"/>
    <cellStyle name="Normal 17 2" xfId="100"/>
    <cellStyle name="Normal 17 3" xfId="101"/>
    <cellStyle name="Normal 17 4" xfId="102"/>
    <cellStyle name="Normal 17 5" xfId="103"/>
    <cellStyle name="Normal 18" xfId="104"/>
    <cellStyle name="Normal 18 2" xfId="105"/>
    <cellStyle name="Normal 18 2 2" xfId="106"/>
    <cellStyle name="Normal 18 2 3" xfId="107"/>
    <cellStyle name="Normal 18 3" xfId="108"/>
    <cellStyle name="Normal 18 4" xfId="109"/>
    <cellStyle name="Normal 18 5" xfId="110"/>
    <cellStyle name="Normal 18 6" xfId="111"/>
    <cellStyle name="Normal 18 7" xfId="112"/>
    <cellStyle name="Normal 18 8" xfId="113"/>
    <cellStyle name="Normal 18 9" xfId="114"/>
    <cellStyle name="Normal 19" xfId="115"/>
    <cellStyle name="Normal 19 2" xfId="116"/>
    <cellStyle name="Normal 19 2 2" xfId="117"/>
    <cellStyle name="Normal 19 2 3" xfId="118"/>
    <cellStyle name="Normal 19 3" xfId="119"/>
    <cellStyle name="Normal 19 4" xfId="120"/>
    <cellStyle name="Normal 19 5" xfId="121"/>
    <cellStyle name="Normal 19 6" xfId="122"/>
    <cellStyle name="Normal 19 7" xfId="123"/>
    <cellStyle name="Normal 19 8" xfId="124"/>
    <cellStyle name="Normal 2 10" xfId="125"/>
    <cellStyle name="Normal 2 10 10" xfId="126"/>
    <cellStyle name="Normal 2 10 11" xfId="127"/>
    <cellStyle name="Normal 2 10 11 2" xfId="128"/>
    <cellStyle name="Normal 2 10 11 2 2" xfId="129"/>
    <cellStyle name="Normal 2 10 11 2 2 2" xfId="130"/>
    <cellStyle name="Normal 2 10 11 3" xfId="131"/>
    <cellStyle name="Normal 2 10 11 4" xfId="132"/>
    <cellStyle name="Normal 2 10 11 5" xfId="133"/>
    <cellStyle name="Normal 2 10 12"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11" xfId="152"/>
    <cellStyle name="Normal 2 11 2" xfId="153"/>
    <cellStyle name="Normal 2 11 2 2" xfId="154"/>
    <cellStyle name="Normal 2 11 3" xfId="155"/>
    <cellStyle name="Normal 2 11 3 2" xfId="156"/>
    <cellStyle name="Normal 2 11 4" xfId="157"/>
    <cellStyle name="Normal 2 11 4 2" xfId="158"/>
    <cellStyle name="Normal 2 11 5" xfId="159"/>
    <cellStyle name="Normal 2 11 5 2" xfId="160"/>
    <cellStyle name="Normal 2 11 6" xfId="161"/>
    <cellStyle name="Normal 2 11 6 2" xfId="162"/>
    <cellStyle name="Normal 2 11 7" xfId="163"/>
    <cellStyle name="Normal 2 11 7 2" xfId="164"/>
    <cellStyle name="Normal 2 11 8" xfId="165"/>
    <cellStyle name="Normal 2 11 8 2" xfId="166"/>
    <cellStyle name="Normal 2 11 9" xfId="167"/>
    <cellStyle name="Normal 2 12" xfId="168"/>
    <cellStyle name="Normal 2 13" xfId="169"/>
    <cellStyle name="Normal 2 14" xfId="170"/>
    <cellStyle name="Normal 2 15" xfId="171"/>
    <cellStyle name="Normal 2 16" xfId="172"/>
    <cellStyle name="Normal 2 17" xfId="173"/>
    <cellStyle name="Normal 2 17 2" xfId="174"/>
    <cellStyle name="Normal 2 17 3" xfId="175"/>
    <cellStyle name="Normal 2 2" xfId="176"/>
    <cellStyle name="Normal 2 2 10" xfId="177"/>
    <cellStyle name="Normal 2 2 10 2" xfId="178"/>
    <cellStyle name="Normal 2 2 11" xfId="179"/>
    <cellStyle name="Normal 2 2 11 2" xfId="180"/>
    <cellStyle name="Normal 2 2 12" xfId="181"/>
    <cellStyle name="Normal 2 2 12 2" xfId="182"/>
    <cellStyle name="Normal 2 2 12 2 2" xfId="183"/>
    <cellStyle name="Normal 2 2 12 2 3" xfId="184"/>
    <cellStyle name="Normal 2 2 12 2 4" xfId="185"/>
    <cellStyle name="Normal 2 2 12 3" xfId="186"/>
    <cellStyle name="Normal 2 2 12 4" xfId="187"/>
    <cellStyle name="Normal 2 2 13" xfId="188"/>
    <cellStyle name="Normal 2 2 13 2" xfId="189"/>
    <cellStyle name="Normal 2 2 13 2 2" xfId="190"/>
    <cellStyle name="Normal 2 2 13 2 3" xfId="191"/>
    <cellStyle name="Normal 2 2 13 2 4" xfId="192"/>
    <cellStyle name="Normal 2 2 13 3" xfId="193"/>
    <cellStyle name="Normal 2 2 13 4" xfId="194"/>
    <cellStyle name="Normal 2 2 14" xfId="195"/>
    <cellStyle name="Normal 2 2 14 2" xfId="196"/>
    <cellStyle name="Normal 2 2 15" xfId="197"/>
    <cellStyle name="Normal 2 2 15 2" xfId="198"/>
    <cellStyle name="Normal 2 2 16" xfId="199"/>
    <cellStyle name="Normal 2 2 16 2" xfId="200"/>
    <cellStyle name="Normal 2 2 16 3" xfId="201"/>
    <cellStyle name="Normal 2 2 17" xfId="202"/>
    <cellStyle name="Normal 2 2 18" xfId="203"/>
    <cellStyle name="Normal 2 2 19" xfId="204"/>
    <cellStyle name="Normal 2 2 2" xfId="205"/>
    <cellStyle name="Normal 2 2 2 2" xfId="206"/>
    <cellStyle name="Normal 2 2 2 2 2" xfId="207"/>
    <cellStyle name="Normal 2 2 2 2 3" xfId="208"/>
    <cellStyle name="Normal 2 2 2 2 3 2" xfId="209"/>
    <cellStyle name="Normal 2 2 2 2 3 3" xfId="210"/>
    <cellStyle name="Normal 2 2 2 3" xfId="211"/>
    <cellStyle name="Normal 2 2 2 3 2" xfId="212"/>
    <cellStyle name="Normal 2 2 2 3 3" xfId="213"/>
    <cellStyle name="Normal 2 2 2 3 4" xfId="214"/>
    <cellStyle name="Normal 2 2 2 4" xfId="215"/>
    <cellStyle name="Normal 2 2 2 4 2" xfId="216"/>
    <cellStyle name="Normal 2 2 2 5" xfId="217"/>
    <cellStyle name="Normal 2 2 2 5 2" xfId="218"/>
    <cellStyle name="Normal 2 2 2 5 3" xfId="219"/>
    <cellStyle name="Normal 2 2 2 5 4" xfId="220"/>
    <cellStyle name="Normal 2 2 2 6" xfId="221"/>
    <cellStyle name="Normal 2 2 2 6 2" xfId="222"/>
    <cellStyle name="Normal 2 2 2 7" xfId="223"/>
    <cellStyle name="Normal 2 2 2 7 2" xfId="224"/>
    <cellStyle name="Normal 2 2 2 7 3" xfId="225"/>
    <cellStyle name="Normal 2 2 2 8" xfId="226"/>
    <cellStyle name="Normal 2 2 20" xfId="227"/>
    <cellStyle name="Normal 2 2 21" xfId="228"/>
    <cellStyle name="Normal 2 2 22" xfId="229"/>
    <cellStyle name="Normal 2 2 3" xfId="230"/>
    <cellStyle name="Normal 2 2 3 2" xfId="231"/>
    <cellStyle name="Normal 2 2 4" xfId="232"/>
    <cellStyle name="Normal 2 2 4 2" xfId="233"/>
    <cellStyle name="Normal 2 2 5" xfId="234"/>
    <cellStyle name="Normal 2 2 5 2" xfId="235"/>
    <cellStyle name="Normal 2 2 6" xfId="236"/>
    <cellStyle name="Normal 2 2 6 2" xfId="237"/>
    <cellStyle name="Normal 2 2 7" xfId="238"/>
    <cellStyle name="Normal 2 2 7 2" xfId="239"/>
    <cellStyle name="Normal 2 2 8" xfId="240"/>
    <cellStyle name="Normal 2 2 8 2" xfId="241"/>
    <cellStyle name="Normal 2 2 9" xfId="242"/>
    <cellStyle name="Normal 2 2 9 2" xfId="243"/>
    <cellStyle name="Normal 2 3" xfId="244"/>
    <cellStyle name="Normal 2 3 10" xfId="245"/>
    <cellStyle name="Normal 2 3 11" xfId="246"/>
    <cellStyle name="Normal 2 3 12" xfId="247"/>
    <cellStyle name="Normal 2 3 13" xfId="248"/>
    <cellStyle name="Normal 2 3 14" xfId="249"/>
    <cellStyle name="Normal 2 3 15" xfId="250"/>
    <cellStyle name="Normal 2 3 2" xfId="251"/>
    <cellStyle name="Normal 2 3 2 2" xfId="252"/>
    <cellStyle name="Normal 2 3 2 2 2" xfId="253"/>
    <cellStyle name="Normal 2 3 2 2 3" xfId="254"/>
    <cellStyle name="Normal 2 3 2 3" xfId="255"/>
    <cellStyle name="Normal 2 3 2 4" xfId="256"/>
    <cellStyle name="Normal 2 3 2 5"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2 2" xfId="271"/>
    <cellStyle name="Normal 2 4 12 3" xfId="272"/>
    <cellStyle name="Normal 2 4 13" xfId="273"/>
    <cellStyle name="Normal 2 4 13 2" xfId="274"/>
    <cellStyle name="Normal 2 4 13 3" xfId="275"/>
    <cellStyle name="Normal 2 4 2" xfId="276"/>
    <cellStyle name="Normal 2 4 2 2" xfId="277"/>
    <cellStyle name="Normal 2 4 2 2 2" xfId="278"/>
    <cellStyle name="Normal 2 4 2 2 3" xfId="279"/>
    <cellStyle name="Normal 2 4 2 3" xfId="280"/>
    <cellStyle name="Normal 2 4 2 4" xfId="281"/>
    <cellStyle name="Normal 2 4 2 5" xfId="282"/>
    <cellStyle name="Normal 2 4 3" xfId="283"/>
    <cellStyle name="Normal 2 4 3 2" xfId="284"/>
    <cellStyle name="Normal 2 4 3 3" xfId="285"/>
    <cellStyle name="Normal 2 4 4" xfId="286"/>
    <cellStyle name="Normal 2 4 5" xfId="287"/>
    <cellStyle name="Normal 2 4 6" xfId="288"/>
    <cellStyle name="Normal 2 4 7" xfId="289"/>
    <cellStyle name="Normal 2 4 8" xfId="290"/>
    <cellStyle name="Normal 2 4 9" xfId="291"/>
    <cellStyle name="Normal 2 5" xfId="292"/>
    <cellStyle name="Normal 2 5 10" xfId="293"/>
    <cellStyle name="Normal 2 5 11" xfId="294"/>
    <cellStyle name="Normal 2 5 12" xfId="295"/>
    <cellStyle name="Normal 2 5 12 2" xfId="296"/>
    <cellStyle name="Normal 2 5 12 3" xfId="297"/>
    <cellStyle name="Normal 2 5 2" xfId="298"/>
    <cellStyle name="Normal 2 5 2 2" xfId="299"/>
    <cellStyle name="Normal 2 5 3" xfId="300"/>
    <cellStyle name="Normal 2 5 3 2" xfId="301"/>
    <cellStyle name="Normal 2 5 4" xfId="302"/>
    <cellStyle name="Normal 2 5 5" xfId="303"/>
    <cellStyle name="Normal 2 5 6" xfId="304"/>
    <cellStyle name="Normal 2 5 7" xfId="305"/>
    <cellStyle name="Normal 2 5 8" xfId="306"/>
    <cellStyle name="Normal 2 5 9" xfId="307"/>
    <cellStyle name="Normal 2 6" xfId="308"/>
    <cellStyle name="Normal 2 6 10" xfId="309"/>
    <cellStyle name="Normal 2 6 11" xfId="310"/>
    <cellStyle name="Normal 2 6 12" xfId="311"/>
    <cellStyle name="Normal 2 6 2" xfId="312"/>
    <cellStyle name="Normal 2 6 2 2" xfId="313"/>
    <cellStyle name="Normal 2 6 3" xfId="314"/>
    <cellStyle name="Normal 2 6 3 2" xfId="315"/>
    <cellStyle name="Normal 2 6 4" xfId="316"/>
    <cellStyle name="Normal 2 6 5" xfId="317"/>
    <cellStyle name="Normal 2 6 6" xfId="318"/>
    <cellStyle name="Normal 2 6 7" xfId="319"/>
    <cellStyle name="Normal 2 6 8" xfId="320"/>
    <cellStyle name="Normal 2 6 9" xfId="321"/>
    <cellStyle name="Normal 2 7" xfId="322"/>
    <cellStyle name="Normal 2 7 10" xfId="323"/>
    <cellStyle name="Normal 2 7 11" xfId="324"/>
    <cellStyle name="Normal 2 7 2" xfId="325"/>
    <cellStyle name="Normal 2 7 2 2" xfId="326"/>
    <cellStyle name="Normal 2 7 2 3" xfId="327"/>
    <cellStyle name="Normal 2 7 3" xfId="328"/>
    <cellStyle name="Normal 2 7 3 2" xfId="329"/>
    <cellStyle name="Normal 2 7 4" xfId="330"/>
    <cellStyle name="Normal 2 7 4 2" xfId="331"/>
    <cellStyle name="Normal 2 7 5" xfId="332"/>
    <cellStyle name="Normal 2 7 5 2" xfId="333"/>
    <cellStyle name="Normal 2 7 6" xfId="334"/>
    <cellStyle name="Normal 2 7 6 2" xfId="335"/>
    <cellStyle name="Normal 2 7 7" xfId="336"/>
    <cellStyle name="Normal 2 7 7 2" xfId="337"/>
    <cellStyle name="Normal 2 7 8" xfId="338"/>
    <cellStyle name="Normal 2 7 8 2" xfId="339"/>
    <cellStyle name="Normal 2 7 9" xfId="340"/>
    <cellStyle name="Normal 2 8" xfId="341"/>
    <cellStyle name="Normal 2 8 10" xfId="342"/>
    <cellStyle name="Normal 2 8 11" xfId="343"/>
    <cellStyle name="Normal 2 8 2" xfId="344"/>
    <cellStyle name="Normal 2 8 2 2" xfId="345"/>
    <cellStyle name="Normal 2 8 3" xfId="346"/>
    <cellStyle name="Normal 2 8 3 2" xfId="347"/>
    <cellStyle name="Normal 2 8 4" xfId="348"/>
    <cellStyle name="Normal 2 8 4 2" xfId="349"/>
    <cellStyle name="Normal 2 8 5" xfId="350"/>
    <cellStyle name="Normal 2 8 5 2" xfId="351"/>
    <cellStyle name="Normal 2 8 6" xfId="352"/>
    <cellStyle name="Normal 2 8 6 2" xfId="353"/>
    <cellStyle name="Normal 2 8 7" xfId="354"/>
    <cellStyle name="Normal 2 8 7 2" xfId="355"/>
    <cellStyle name="Normal 2 8 8" xfId="356"/>
    <cellStyle name="Normal 2 8 8 2" xfId="357"/>
    <cellStyle name="Normal 2 8 9" xfId="358"/>
    <cellStyle name="Normal 2 9" xfId="359"/>
    <cellStyle name="Normal 2 9 10" xfId="360"/>
    <cellStyle name="Normal 2 9 11" xfId="361"/>
    <cellStyle name="Normal 2 9 2" xfId="362"/>
    <cellStyle name="Normal 2 9 2 2" xfId="363"/>
    <cellStyle name="Normal 2 9 3" xfId="364"/>
    <cellStyle name="Normal 2 9 3 2" xfId="365"/>
    <cellStyle name="Normal 2 9 4" xfId="366"/>
    <cellStyle name="Normal 2 9 4 2" xfId="367"/>
    <cellStyle name="Normal 2 9 5" xfId="368"/>
    <cellStyle name="Normal 2 9 5 2" xfId="369"/>
    <cellStyle name="Normal 2 9 6" xfId="370"/>
    <cellStyle name="Normal 2 9 6 2" xfId="371"/>
    <cellStyle name="Normal 2 9 7" xfId="372"/>
    <cellStyle name="Normal 2 9 7 2" xfId="373"/>
    <cellStyle name="Normal 2 9 8" xfId="374"/>
    <cellStyle name="Normal 2 9 8 2" xfId="375"/>
    <cellStyle name="Normal 2 9 9" xfId="376"/>
    <cellStyle name="Normal 20" xfId="377"/>
    <cellStyle name="Normal 20 2" xfId="378"/>
    <cellStyle name="Normal 20 3" xfId="379"/>
    <cellStyle name="Normal 21" xfId="380"/>
    <cellStyle name="Normal 21 2" xfId="381"/>
    <cellStyle name="Normal 21 2 2" xfId="382"/>
    <cellStyle name="Normal 21 2 3" xfId="383"/>
    <cellStyle name="Normal 21 3" xfId="384"/>
    <cellStyle name="Normal 21 4" xfId="385"/>
    <cellStyle name="Normal 21 5" xfId="386"/>
    <cellStyle name="Normal 22" xfId="387"/>
    <cellStyle name="Normal 22 2" xfId="388"/>
    <cellStyle name="Normal 22 3" xfId="389"/>
    <cellStyle name="Normal 23" xfId="390"/>
    <cellStyle name="Normal 23 2" xfId="391"/>
    <cellStyle name="Normal 23 3" xfId="392"/>
    <cellStyle name="Normal 24" xfId="393"/>
    <cellStyle name="Normal 24 2" xfId="394"/>
    <cellStyle name="Normal 24 3" xfId="395"/>
    <cellStyle name="Normal 25" xfId="396"/>
    <cellStyle name="Normal 25 2" xfId="397"/>
    <cellStyle name="Normal 25 3" xfId="398"/>
    <cellStyle name="Normal 26" xfId="399"/>
    <cellStyle name="Normal 27" xfId="400"/>
    <cellStyle name="Normal 3" xfId="401"/>
    <cellStyle name="Normal 3 10" xfId="402"/>
    <cellStyle name="Normal 3 10 2" xfId="403"/>
    <cellStyle name="Normal 3 11" xfId="404"/>
    <cellStyle name="Normal 3 12" xfId="405"/>
    <cellStyle name="Normal 3 13" xfId="406"/>
    <cellStyle name="Normal 3 14" xfId="407"/>
    <cellStyle name="Normal 3 15" xfId="408"/>
    <cellStyle name="Normal 3 2" xfId="409"/>
    <cellStyle name="Normal 3 2 2" xfId="410"/>
    <cellStyle name="Normal 3 2 2 2" xfId="411"/>
    <cellStyle name="Normal 3 2 2 3" xfId="412"/>
    <cellStyle name="Normal 3 2 3" xfId="413"/>
    <cellStyle name="Normal 3 2 4" xfId="414"/>
    <cellStyle name="Normal 3 2 5" xfId="415"/>
    <cellStyle name="Normal 3 3" xfId="416"/>
    <cellStyle name="Normal 3 3 2" xfId="417"/>
    <cellStyle name="Normal 3 3 2 2" xfId="418"/>
    <cellStyle name="Normal 3 3 2 3" xfId="419"/>
    <cellStyle name="Normal 3 3 3" xfId="420"/>
    <cellStyle name="Normal 3 3 4" xfId="421"/>
    <cellStyle name="Normal 3 4" xfId="422"/>
    <cellStyle name="Normal 3 5" xfId="423"/>
    <cellStyle name="Normal 3 6" xfId="424"/>
    <cellStyle name="Normal 3 7" xfId="425"/>
    <cellStyle name="Normal 3 7 2" xfId="426"/>
    <cellStyle name="Normal 3 7 3" xfId="427"/>
    <cellStyle name="Normal 3 8" xfId="428"/>
    <cellStyle name="Normal 3 8 2" xfId="429"/>
    <cellStyle name="Normal 3 8 3" xfId="430"/>
    <cellStyle name="Normal 3 9" xfId="431"/>
    <cellStyle name="Normal 3 9 2" xfId="432"/>
    <cellStyle name="Normal 3 9 3" xfId="433"/>
    <cellStyle name="Normal 4" xfId="434"/>
    <cellStyle name="Normal 4 10" xfId="435"/>
    <cellStyle name="Normal 4 11" xfId="436"/>
    <cellStyle name="Normal 4 12" xfId="437"/>
    <cellStyle name="Normal 4 13" xfId="438"/>
    <cellStyle name="Normal 4 2" xfId="439"/>
    <cellStyle name="Normal 4 2 2" xfId="440"/>
    <cellStyle name="Normal 4 2 2 2" xfId="441"/>
    <cellStyle name="Normal 4 2 2 3" xfId="442"/>
    <cellStyle name="Normal 4 2 2 3 2" xfId="443"/>
    <cellStyle name="Normal 4 2 3" xfId="444"/>
    <cellStyle name="Normal 4 2 4" xfId="445"/>
    <cellStyle name="Normal 4 2 5" xfId="446"/>
    <cellStyle name="Normal 4 3" xfId="447"/>
    <cellStyle name="Normal 4 3 2" xfId="448"/>
    <cellStyle name="Normal 4 3 3" xfId="449"/>
    <cellStyle name="Normal 4 4" xfId="450"/>
    <cellStyle name="Normal 4 5" xfId="451"/>
    <cellStyle name="Normal 4 5 2" xfId="452"/>
    <cellStyle name="Normal 4 5 3" xfId="453"/>
    <cellStyle name="Normal 4 6" xfId="454"/>
    <cellStyle name="Normal 4 6 2" xfId="455"/>
    <cellStyle name="Normal 4 6 3" xfId="456"/>
    <cellStyle name="Normal 4 7" xfId="457"/>
    <cellStyle name="Normal 4 8" xfId="458"/>
    <cellStyle name="Normal 4 9" xfId="459"/>
    <cellStyle name="Normal 5 2" xfId="460"/>
    <cellStyle name="Normal 5 3" xfId="461"/>
    <cellStyle name="Normal 5 3 2" xfId="462"/>
    <cellStyle name="Normal 5 3 3" xfId="463"/>
    <cellStyle name="Normal 5 4" xfId="464"/>
    <cellStyle name="Normal 5 5" xfId="465"/>
    <cellStyle name="Normal 5 5 2" xfId="466"/>
    <cellStyle name="Normal 5 5 3" xfId="467"/>
    <cellStyle name="Normal 5 6" xfId="468"/>
    <cellStyle name="Normal 6" xfId="469"/>
    <cellStyle name="Normal 6 2" xfId="470"/>
    <cellStyle name="Normal 6 3" xfId="471"/>
    <cellStyle name="Normal 6 4" xfId="472"/>
    <cellStyle name="Normal 6 5" xfId="473"/>
    <cellStyle name="Normal 7 2" xfId="474"/>
    <cellStyle name="Normal 7 2 2" xfId="475"/>
    <cellStyle name="Normal 7 2 2 2" xfId="476"/>
    <cellStyle name="Normal 7 2 2 3" xfId="477"/>
    <cellStyle name="Normal 7 2 3" xfId="478"/>
    <cellStyle name="Normal 7 2 4" xfId="479"/>
    <cellStyle name="Normal 7 2 4 2" xfId="480"/>
    <cellStyle name="Normal 7 2 4 3" xfId="481"/>
    <cellStyle name="Normal 7 2 5" xfId="482"/>
    <cellStyle name="Normal 7 3" xfId="483"/>
    <cellStyle name="Normal 7 4" xfId="484"/>
    <cellStyle name="Normal 7 4 2" xfId="485"/>
    <cellStyle name="Normal 7 4 3" xfId="486"/>
    <cellStyle name="Normal 7 5" xfId="487"/>
    <cellStyle name="Normal 7 5 2" xfId="488"/>
    <cellStyle name="Normal 7 5 3" xfId="489"/>
    <cellStyle name="Normal 7 5 4" xfId="490"/>
    <cellStyle name="Normal 7 5 5" xfId="491"/>
    <cellStyle name="Normal 7 6" xfId="492"/>
    <cellStyle name="Normal 7 7" xfId="493"/>
    <cellStyle name="Normal 8 2" xfId="494"/>
    <cellStyle name="Normal 8 3" xfId="495"/>
    <cellStyle name="Normal 9 2" xfId="496"/>
    <cellStyle name="Normal 9 2 2" xfId="497"/>
    <cellStyle name="Normal 9 2 3" xfId="498"/>
    <cellStyle name="Normal 9 3" xfId="499"/>
    <cellStyle name="Normal 9 4" xfId="500"/>
    <cellStyle name="Normal 9 5" xfId="501"/>
    <cellStyle name="Normal 9 5 2" xfId="502"/>
    <cellStyle name="Normal 9 5 3" xfId="503"/>
    <cellStyle name="Normal 9 6" xfId="504"/>
    <cellStyle name="Normal 9 6 2" xfId="505"/>
    <cellStyle name="Normal 9 6 3" xfId="506"/>
    <cellStyle name="Normal_debt" xfId="507"/>
    <cellStyle name="Normal_lpform" xfId="508"/>
  </cellStyles>
  <dxfs count="310">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UBLIC\EXCEL\City%20Clerk\Budget\State%20Budget%20&amp;%20Worksheets\2014\cibonnersprings%202014%20-%20C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
      <sheetName val="general"/>
      <sheetName val="GenDetail "/>
      <sheetName val="DebtSvs"/>
      <sheetName val="Library"/>
      <sheetName val="Aquatic Sales Co Infra"/>
      <sheetName val="Con Tour Drug Alcohol"/>
      <sheetName val="ED EMS Capital"/>
      <sheetName val="EMS Library Sales"/>
      <sheetName val="Park Ded Rec Programs"/>
      <sheetName val="Risk Mgmt Sen Ctr"/>
      <sheetName val="Sidewalk Soccer"/>
      <sheetName val="Spec Parks Streets"/>
      <sheetName val="Ball Pool"/>
      <sheetName val="Tiblow TIF Develop"/>
      <sheetName val="TIF Increment CID Develop"/>
      <sheetName val="Center CID Ctr City Contrib"/>
      <sheetName val="Solid Waste Storm"/>
      <sheetName val="Waste Water"/>
      <sheetName val="Water"/>
      <sheetName val="NonBudA"/>
      <sheetName val="NonBudFunds"/>
      <sheetName val="summ"/>
      <sheetName val="nhood"/>
      <sheetName val="ordinance"/>
      <sheetName val="Tab A"/>
      <sheetName val="Tab B"/>
      <sheetName val="Tab C"/>
      <sheetName val="Tab D"/>
      <sheetName val="Tab E"/>
      <sheetName val="Mill Rate Computation"/>
      <sheetName val="Helpful Links"/>
      <sheetName val="legend"/>
    </sheetNames>
    <sheetDataSet>
      <sheetData sheetId="0"/>
      <sheetData sheetId="1">
        <row r="32">
          <cell r="B32" t="str">
            <v>Spec. Rev. Drug &amp; Alcohol</v>
          </cell>
        </row>
        <row r="33">
          <cell r="B33" t="str">
            <v>Spec. Rev. Economic Development</v>
          </cell>
        </row>
        <row r="34">
          <cell r="B34" t="str">
            <v>Spec. Rev. Emergency Services Capital</v>
          </cell>
        </row>
        <row r="35">
          <cell r="B35" t="str">
            <v>Spec. Rev. Emergency Medical Services</v>
          </cell>
        </row>
        <row r="36">
          <cell r="B36" t="str">
            <v>Spec. Rev. Library Sales Tax</v>
          </cell>
        </row>
        <row r="37">
          <cell r="B37" t="str">
            <v>Spec. Rev. Park Dedication</v>
          </cell>
        </row>
        <row r="38">
          <cell r="B38" t="str">
            <v>Spec. Rev. Recreation Programs</v>
          </cell>
        </row>
        <row r="39">
          <cell r="B39" t="str">
            <v>Spec. Rev. Risk Management</v>
          </cell>
        </row>
        <row r="40">
          <cell r="B40" t="str">
            <v>Spec. Rev. Senior Center</v>
          </cell>
        </row>
        <row r="41">
          <cell r="B41" t="str">
            <v>Spec. Rev. Sidewalk Escrow</v>
          </cell>
        </row>
        <row r="42">
          <cell r="B42" t="str">
            <v>Spec. Rev. Soccer</v>
          </cell>
        </row>
        <row r="43">
          <cell r="B43" t="str">
            <v>Spec. Rev. Special Parks &amp; Recreation</v>
          </cell>
        </row>
        <row r="44">
          <cell r="B44" t="str">
            <v>Spec. Rev. Street Projects</v>
          </cell>
        </row>
        <row r="45">
          <cell r="B45" t="str">
            <v>Spec. Rev. Summer Ball</v>
          </cell>
        </row>
        <row r="46">
          <cell r="B46" t="str">
            <v>Spec. Rev. Swimming Pool</v>
          </cell>
        </row>
        <row r="47">
          <cell r="B47" t="str">
            <v>Spec. Rev. Tiblow Transit</v>
          </cell>
        </row>
        <row r="48">
          <cell r="B48" t="str">
            <v>Spec. Rev. TIF Develop Funds</v>
          </cell>
        </row>
        <row r="49">
          <cell r="B49" t="str">
            <v>Bonner Pointe TIF Increment</v>
          </cell>
        </row>
        <row r="50">
          <cell r="B50" t="str">
            <v>CID Development Fees</v>
          </cell>
        </row>
        <row r="51">
          <cell r="B51" t="str">
            <v>Bonner Springs Center CID</v>
          </cell>
        </row>
        <row r="52">
          <cell r="B52" t="str">
            <v>Bonner Springs Ctr City Contribution</v>
          </cell>
        </row>
        <row r="53">
          <cell r="B53" t="str">
            <v>Enterprise Fund - Solid Waste</v>
          </cell>
        </row>
        <row r="54">
          <cell r="B54" t="str">
            <v>Enterprise Fund - Storm Water</v>
          </cell>
        </row>
        <row r="55">
          <cell r="B55" t="str">
            <v>Enterprise Fund - Waste Water</v>
          </cell>
        </row>
        <row r="56">
          <cell r="B56" t="str">
            <v>Enterprise Fund - Water</v>
          </cell>
        </row>
        <row r="57">
          <cell r="B57" t="str">
            <v>Non Budgeted Funds</v>
          </cell>
        </row>
        <row r="58">
          <cell r="B58">
            <v>0</v>
          </cell>
        </row>
        <row r="59">
          <cell r="B5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5"/>
  <sheetViews>
    <sheetView tabSelected="1" zoomScale="85" workbookViewId="0">
      <selection activeCell="A2" sqref="A2"/>
    </sheetView>
  </sheetViews>
  <sheetFormatPr defaultColWidth="8.88671875" defaultRowHeight="15.75" x14ac:dyDescent="0.2"/>
  <cols>
    <col min="1" max="1" width="75.77734375" style="3" customWidth="1"/>
    <col min="2" max="16384" width="8.88671875" style="3"/>
  </cols>
  <sheetData>
    <row r="1" spans="1:1" x14ac:dyDescent="0.2">
      <c r="A1" s="2" t="s">
        <v>229</v>
      </c>
    </row>
    <row r="3" spans="1:1" ht="34.5" customHeight="1" x14ac:dyDescent="0.25">
      <c r="A3" s="426" t="s">
        <v>910</v>
      </c>
    </row>
    <row r="4" spans="1:1" x14ac:dyDescent="0.2">
      <c r="A4" s="4"/>
    </row>
    <row r="5" spans="1:1" ht="85.5" customHeight="1" x14ac:dyDescent="0.2">
      <c r="A5" s="5" t="s">
        <v>230</v>
      </c>
    </row>
    <row r="6" spans="1:1" x14ac:dyDescent="0.2">
      <c r="A6" s="5"/>
    </row>
    <row r="7" spans="1:1" ht="68.25" customHeight="1" x14ac:dyDescent="0.2">
      <c r="A7" s="5" t="s">
        <v>860</v>
      </c>
    </row>
    <row r="9" spans="1:1" x14ac:dyDescent="0.2">
      <c r="A9" s="2" t="s">
        <v>238</v>
      </c>
    </row>
    <row r="10" spans="1:1" x14ac:dyDescent="0.2">
      <c r="A10" s="2"/>
    </row>
    <row r="11" spans="1:1" x14ac:dyDescent="0.2">
      <c r="A11" s="4" t="s">
        <v>239</v>
      </c>
    </row>
    <row r="13" spans="1:1" ht="38.25" customHeight="1" x14ac:dyDescent="0.2">
      <c r="A13" s="6" t="s">
        <v>301</v>
      </c>
    </row>
    <row r="14" spans="1:1" ht="14.25" customHeight="1" x14ac:dyDescent="0.2">
      <c r="A14" s="6"/>
    </row>
    <row r="17" spans="1:1" x14ac:dyDescent="0.2">
      <c r="A17" s="2" t="s">
        <v>10</v>
      </c>
    </row>
    <row r="19" spans="1:1" ht="34.5" customHeight="1" x14ac:dyDescent="0.2">
      <c r="A19" s="5" t="s">
        <v>181</v>
      </c>
    </row>
    <row r="20" spans="1:1" ht="18" customHeight="1" x14ac:dyDescent="0.2">
      <c r="A20" s="5"/>
    </row>
    <row r="21" spans="1:1" ht="23.25" customHeight="1" x14ac:dyDescent="0.2">
      <c r="A21" s="7" t="s">
        <v>182</v>
      </c>
    </row>
    <row r="22" spans="1:1" ht="23.25" customHeight="1" x14ac:dyDescent="0.2">
      <c r="A22" s="8"/>
    </row>
    <row r="23" spans="1:1" x14ac:dyDescent="0.2">
      <c r="A23" s="9" t="s">
        <v>184</v>
      </c>
    </row>
    <row r="24" spans="1:1" x14ac:dyDescent="0.2">
      <c r="A24" s="10"/>
    </row>
    <row r="25" spans="1:1" ht="85.5" customHeight="1" x14ac:dyDescent="0.2">
      <c r="A25" s="11" t="s">
        <v>205</v>
      </c>
    </row>
    <row r="26" spans="1:1" ht="19.5" customHeight="1" x14ac:dyDescent="0.2">
      <c r="A26" s="5"/>
    </row>
    <row r="27" spans="1:1" ht="19.5" customHeight="1" x14ac:dyDescent="0.2">
      <c r="A27" s="12" t="s">
        <v>185</v>
      </c>
    </row>
    <row r="29" spans="1:1" x14ac:dyDescent="0.2">
      <c r="A29" s="13" t="s">
        <v>240</v>
      </c>
    </row>
    <row r="31" spans="1:1" x14ac:dyDescent="0.2">
      <c r="A31" s="5" t="s">
        <v>241</v>
      </c>
    </row>
    <row r="33" spans="1:1" x14ac:dyDescent="0.2">
      <c r="A33" s="2" t="s">
        <v>11</v>
      </c>
    </row>
    <row r="35" spans="1:1" ht="72.75" customHeight="1" x14ac:dyDescent="0.2">
      <c r="A35" s="5" t="s">
        <v>697</v>
      </c>
    </row>
    <row r="36" spans="1:1" ht="38.25" customHeight="1" x14ac:dyDescent="0.2">
      <c r="A36" s="5" t="s">
        <v>206</v>
      </c>
    </row>
    <row r="37" spans="1:1" ht="38.25" customHeight="1" x14ac:dyDescent="0.2">
      <c r="A37" s="5" t="s">
        <v>3</v>
      </c>
    </row>
    <row r="38" spans="1:1" ht="51" customHeight="1" x14ac:dyDescent="0.2">
      <c r="A38" s="14" t="s">
        <v>4</v>
      </c>
    </row>
    <row r="39" spans="1:1" ht="11.25" customHeight="1" x14ac:dyDescent="0.2"/>
    <row r="40" spans="1:1" ht="85.5" customHeight="1" x14ac:dyDescent="0.2">
      <c r="A40" s="5" t="s">
        <v>698</v>
      </c>
    </row>
    <row r="41" spans="1:1" ht="49.5" customHeight="1" x14ac:dyDescent="0.2">
      <c r="A41" s="5" t="s">
        <v>183</v>
      </c>
    </row>
    <row r="42" spans="1:1" ht="105" customHeight="1" x14ac:dyDescent="0.2">
      <c r="A42" s="5" t="s">
        <v>300</v>
      </c>
    </row>
    <row r="43" spans="1:1" ht="12.75" customHeight="1" x14ac:dyDescent="0.2"/>
    <row r="44" spans="1:1" ht="76.5" customHeight="1" x14ac:dyDescent="0.2">
      <c r="A44" s="606" t="s">
        <v>861</v>
      </c>
    </row>
    <row r="45" spans="1:1" ht="72.75" customHeight="1" x14ac:dyDescent="0.2">
      <c r="A45" s="607" t="s">
        <v>585</v>
      </c>
    </row>
    <row r="46" spans="1:1" ht="69.95" customHeight="1" x14ac:dyDescent="0.2">
      <c r="A46" s="607" t="s">
        <v>862</v>
      </c>
    </row>
    <row r="47" spans="1:1" ht="12.75" customHeight="1" x14ac:dyDescent="0.2"/>
    <row r="48" spans="1:1" ht="71.25" customHeight="1" x14ac:dyDescent="0.2">
      <c r="A48" s="5" t="s">
        <v>586</v>
      </c>
    </row>
    <row r="49" spans="1:1" ht="42.75" customHeight="1" x14ac:dyDescent="0.2">
      <c r="A49" s="5" t="s">
        <v>587</v>
      </c>
    </row>
    <row r="50" spans="1:1" ht="90" customHeight="1" x14ac:dyDescent="0.2">
      <c r="A50" s="5" t="s">
        <v>914</v>
      </c>
    </row>
    <row r="51" spans="1:1" ht="19.5" customHeight="1" x14ac:dyDescent="0.2">
      <c r="A51" s="5" t="s">
        <v>588</v>
      </c>
    </row>
    <row r="52" spans="1:1" ht="105.75" customHeight="1" x14ac:dyDescent="0.2">
      <c r="A52" s="615" t="s">
        <v>901</v>
      </c>
    </row>
    <row r="53" spans="1:1" ht="13.5" customHeight="1" x14ac:dyDescent="0.2">
      <c r="A53" s="5"/>
    </row>
    <row r="54" spans="1:1" ht="75.75" customHeight="1" x14ac:dyDescent="0.2">
      <c r="A54" s="5" t="s">
        <v>915</v>
      </c>
    </row>
    <row r="55" spans="1:1" ht="152.25" customHeight="1" x14ac:dyDescent="0.2">
      <c r="A55" s="5" t="s">
        <v>916</v>
      </c>
    </row>
    <row r="56" spans="1:1" ht="41.25" customHeight="1" x14ac:dyDescent="0.2">
      <c r="A56" s="5" t="s">
        <v>917</v>
      </c>
    </row>
    <row r="57" spans="1:1" x14ac:dyDescent="0.2">
      <c r="A57" s="5"/>
    </row>
    <row r="58" spans="1:1" ht="84" customHeight="1" x14ac:dyDescent="0.2">
      <c r="A58" s="5" t="s">
        <v>863</v>
      </c>
    </row>
    <row r="60" spans="1:1" ht="66" customHeight="1" x14ac:dyDescent="0.2">
      <c r="A60" s="5" t="s">
        <v>589</v>
      </c>
    </row>
    <row r="61" spans="1:1" ht="36" customHeight="1" x14ac:dyDescent="0.2">
      <c r="A61" s="5" t="s">
        <v>596</v>
      </c>
    </row>
    <row r="62" spans="1:1" ht="95.25" customHeight="1" x14ac:dyDescent="0.2">
      <c r="A62" s="5" t="s">
        <v>597</v>
      </c>
    </row>
    <row r="63" spans="1:1" ht="35.25" customHeight="1" x14ac:dyDescent="0.2">
      <c r="A63" s="357" t="s">
        <v>598</v>
      </c>
    </row>
    <row r="65" spans="1:1" s="5" customFormat="1" ht="58.5" customHeight="1" x14ac:dyDescent="0.2">
      <c r="A65" s="5" t="s">
        <v>590</v>
      </c>
    </row>
    <row r="67" spans="1:1" ht="69" customHeight="1" x14ac:dyDescent="0.2">
      <c r="A67" s="5" t="s">
        <v>591</v>
      </c>
    </row>
    <row r="68" spans="1:1" ht="11.25" customHeight="1" x14ac:dyDescent="0.2"/>
    <row r="69" spans="1:1" ht="154.5" customHeight="1" x14ac:dyDescent="0.2">
      <c r="A69" s="5" t="s">
        <v>864</v>
      </c>
    </row>
    <row r="70" spans="1:1" ht="11.25" customHeight="1" x14ac:dyDescent="0.2"/>
    <row r="71" spans="1:1" ht="104.25" customHeight="1" x14ac:dyDescent="0.2">
      <c r="A71" s="5" t="s">
        <v>865</v>
      </c>
    </row>
    <row r="72" spans="1:1" ht="85.5" customHeight="1" x14ac:dyDescent="0.2">
      <c r="A72" s="5" t="s">
        <v>866</v>
      </c>
    </row>
    <row r="73" spans="1:1" ht="105" customHeight="1" x14ac:dyDescent="0.2">
      <c r="A73" s="445" t="s">
        <v>867</v>
      </c>
    </row>
    <row r="74" spans="1:1" ht="89.25" customHeight="1" x14ac:dyDescent="0.2">
      <c r="A74" s="445" t="s">
        <v>868</v>
      </c>
    </row>
    <row r="75" spans="1:1" ht="71.25" customHeight="1" x14ac:dyDescent="0.2">
      <c r="A75" s="445" t="s">
        <v>869</v>
      </c>
    </row>
    <row r="76" spans="1:1" ht="123" customHeight="1" x14ac:dyDescent="0.2">
      <c r="A76" s="5" t="s">
        <v>870</v>
      </c>
    </row>
    <row r="77" spans="1:1" ht="93" customHeight="1" x14ac:dyDescent="0.2">
      <c r="A77" s="5" t="s">
        <v>871</v>
      </c>
    </row>
    <row r="78" spans="1:1" ht="141" customHeight="1" x14ac:dyDescent="0.2">
      <c r="A78" s="5" t="s">
        <v>872</v>
      </c>
    </row>
    <row r="79" spans="1:1" ht="123.75" customHeight="1" x14ac:dyDescent="0.2">
      <c r="A79" s="5" t="s">
        <v>873</v>
      </c>
    </row>
    <row r="80" spans="1:1" ht="60" customHeight="1" x14ac:dyDescent="0.2">
      <c r="A80" s="5" t="s">
        <v>874</v>
      </c>
    </row>
    <row r="81" spans="1:1" ht="105" customHeight="1" x14ac:dyDescent="0.2">
      <c r="A81" s="5" t="s">
        <v>875</v>
      </c>
    </row>
    <row r="82" spans="1:1" ht="57" customHeight="1" x14ac:dyDescent="0.2">
      <c r="A82" s="5" t="s">
        <v>876</v>
      </c>
    </row>
    <row r="83" spans="1:1" ht="111.75" customHeight="1" x14ac:dyDescent="0.2">
      <c r="A83" s="5" t="s">
        <v>877</v>
      </c>
    </row>
    <row r="84" spans="1:1" ht="111" customHeight="1" x14ac:dyDescent="0.2">
      <c r="A84" s="446" t="s">
        <v>878</v>
      </c>
    </row>
    <row r="85" spans="1:1" ht="120" customHeight="1" x14ac:dyDescent="0.2">
      <c r="A85" s="447" t="s">
        <v>879</v>
      </c>
    </row>
    <row r="86" spans="1:1" ht="72.75" customHeight="1" x14ac:dyDescent="0.2">
      <c r="A86" s="448" t="s">
        <v>880</v>
      </c>
    </row>
    <row r="87" spans="1:1" ht="24" customHeight="1" x14ac:dyDescent="0.2"/>
    <row r="88" spans="1:1" ht="59.25" customHeight="1" x14ac:dyDescent="0.2">
      <c r="A88" s="5" t="s">
        <v>592</v>
      </c>
    </row>
    <row r="89" spans="1:1" ht="22.5" customHeight="1" x14ac:dyDescent="0.2">
      <c r="A89" s="608" t="s">
        <v>593</v>
      </c>
    </row>
    <row r="90" spans="1:1" ht="45" customHeight="1" x14ac:dyDescent="0.2">
      <c r="A90" s="445" t="s">
        <v>881</v>
      </c>
    </row>
    <row r="91" spans="1:1" ht="136.5" customHeight="1" x14ac:dyDescent="0.2">
      <c r="A91" s="445" t="s">
        <v>882</v>
      </c>
    </row>
    <row r="92" spans="1:1" ht="151.5" customHeight="1" x14ac:dyDescent="0.2">
      <c r="A92" s="445" t="s">
        <v>883</v>
      </c>
    </row>
    <row r="93" spans="1:1" ht="97.5" customHeight="1" x14ac:dyDescent="0.2">
      <c r="A93" s="609" t="s">
        <v>884</v>
      </c>
    </row>
    <row r="94" spans="1:1" ht="97.5" customHeight="1" x14ac:dyDescent="0.2">
      <c r="A94" s="610" t="s">
        <v>885</v>
      </c>
    </row>
    <row r="95" spans="1:1" ht="15.75" customHeight="1" x14ac:dyDescent="0.2"/>
    <row r="96" spans="1:1" ht="142.5" customHeight="1" x14ac:dyDescent="0.2">
      <c r="A96" s="5" t="s">
        <v>886</v>
      </c>
    </row>
    <row r="97" spans="1:1" ht="118.5" customHeight="1" x14ac:dyDescent="0.2">
      <c r="A97" s="5" t="s">
        <v>887</v>
      </c>
    </row>
    <row r="98" spans="1:1" ht="66.75" customHeight="1" x14ac:dyDescent="0.2">
      <c r="A98" s="5" t="s">
        <v>888</v>
      </c>
    </row>
    <row r="99" spans="1:1" ht="49.5" customHeight="1" x14ac:dyDescent="0.2">
      <c r="A99" s="5" t="s">
        <v>889</v>
      </c>
    </row>
    <row r="100" spans="1:1" x14ac:dyDescent="0.2">
      <c r="A100" s="5"/>
    </row>
    <row r="101" spans="1:1" ht="75" customHeight="1" x14ac:dyDescent="0.2">
      <c r="A101" s="5" t="s">
        <v>890</v>
      </c>
    </row>
    <row r="102" spans="1:1" ht="16.5" customHeight="1" x14ac:dyDescent="0.2"/>
    <row r="103" spans="1:1" ht="73.5" customHeight="1" x14ac:dyDescent="0.2">
      <c r="A103" s="445" t="s">
        <v>891</v>
      </c>
    </row>
    <row r="104" spans="1:1" ht="102.75" customHeight="1" x14ac:dyDescent="0.2">
      <c r="A104" s="445" t="s">
        <v>892</v>
      </c>
    </row>
    <row r="105" spans="1:1" ht="98.25" customHeight="1" x14ac:dyDescent="0.2">
      <c r="A105" s="445" t="s">
        <v>893</v>
      </c>
    </row>
  </sheetData>
  <sheetProtection sheet="1"/>
  <phoneticPr fontId="0" type="noConversion"/>
  <pageMargins left="0.5" right="0.5" top="0.2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1"/>
  <sheetViews>
    <sheetView zoomScale="75" workbookViewId="0">
      <selection activeCell="O12" sqref="O12"/>
    </sheetView>
  </sheetViews>
  <sheetFormatPr defaultColWidth="8.88671875" defaultRowHeight="15.75" x14ac:dyDescent="0.2"/>
  <cols>
    <col min="1" max="1" width="5.6640625" style="16" customWidth="1"/>
    <col min="2" max="2" width="20.77734375" style="16" customWidth="1"/>
    <col min="3" max="4" width="9.109375" style="16" customWidth="1"/>
    <col min="5" max="5" width="8.77734375" style="16" customWidth="1"/>
    <col min="6" max="6" width="10.44140625" style="16" customWidth="1"/>
    <col min="7" max="7" width="10.33203125" style="16" customWidth="1"/>
    <col min="8" max="8" width="8.33203125" style="16" customWidth="1"/>
    <col min="9" max="9" width="6.77734375" style="16" customWidth="1"/>
    <col min="10" max="13" width="9.77734375" style="16" customWidth="1"/>
    <col min="14" max="16384" width="8.88671875" style="16"/>
  </cols>
  <sheetData>
    <row r="1" spans="2:13" x14ac:dyDescent="0.2">
      <c r="B1" s="164" t="str">
        <f>inputPrYr!$D$3</f>
        <v>City of Bonner Springs</v>
      </c>
      <c r="C1" s="20"/>
      <c r="D1" s="20"/>
      <c r="E1" s="20"/>
      <c r="F1" s="20"/>
      <c r="G1" s="20"/>
      <c r="H1" s="20"/>
      <c r="I1" s="20"/>
      <c r="J1" s="20"/>
      <c r="K1" s="20"/>
      <c r="L1" s="20"/>
      <c r="M1" s="125">
        <f>inputPrYr!$C$10</f>
        <v>2015</v>
      </c>
    </row>
    <row r="2" spans="2:13" x14ac:dyDescent="0.2">
      <c r="B2" s="164"/>
      <c r="C2" s="20"/>
      <c r="D2" s="20"/>
      <c r="E2" s="20"/>
      <c r="F2" s="20"/>
      <c r="G2" s="20"/>
      <c r="H2" s="20"/>
      <c r="I2" s="20"/>
      <c r="J2" s="20"/>
      <c r="K2" s="20"/>
      <c r="L2" s="20"/>
      <c r="M2" s="178"/>
    </row>
    <row r="3" spans="2:13" x14ac:dyDescent="0.2">
      <c r="B3" s="206" t="s">
        <v>97</v>
      </c>
      <c r="C3" s="26"/>
      <c r="D3" s="26"/>
      <c r="E3" s="26"/>
      <c r="F3" s="26"/>
      <c r="G3" s="26"/>
      <c r="H3" s="26"/>
      <c r="I3" s="26"/>
      <c r="J3" s="26"/>
      <c r="K3" s="26"/>
      <c r="L3" s="26"/>
      <c r="M3" s="26"/>
    </row>
    <row r="4" spans="2:13" x14ac:dyDescent="0.2">
      <c r="B4" s="20"/>
      <c r="C4" s="207"/>
      <c r="D4" s="207"/>
      <c r="E4" s="207"/>
      <c r="F4" s="207"/>
      <c r="G4" s="207"/>
      <c r="H4" s="207"/>
      <c r="I4" s="207"/>
      <c r="J4" s="207"/>
      <c r="K4" s="207"/>
      <c r="L4" s="207"/>
      <c r="M4" s="207"/>
    </row>
    <row r="5" spans="2:13" x14ac:dyDescent="0.2">
      <c r="B5" s="151"/>
      <c r="C5" s="179" t="s">
        <v>68</v>
      </c>
      <c r="D5" s="179" t="s">
        <v>68</v>
      </c>
      <c r="E5" s="179" t="s">
        <v>82</v>
      </c>
      <c r="F5" s="179"/>
      <c r="G5" s="179" t="s">
        <v>613</v>
      </c>
      <c r="H5" s="20"/>
      <c r="I5" s="20"/>
      <c r="J5" s="208" t="s">
        <v>69</v>
      </c>
      <c r="K5" s="209"/>
      <c r="L5" s="208" t="s">
        <v>69</v>
      </c>
      <c r="M5" s="209"/>
    </row>
    <row r="6" spans="2:13" x14ac:dyDescent="0.2">
      <c r="B6" s="210" t="s">
        <v>812</v>
      </c>
      <c r="C6" s="210" t="s">
        <v>70</v>
      </c>
      <c r="D6" s="210" t="s">
        <v>161</v>
      </c>
      <c r="E6" s="210" t="s">
        <v>71</v>
      </c>
      <c r="F6" s="210" t="s">
        <v>33</v>
      </c>
      <c r="G6" s="210" t="s">
        <v>139</v>
      </c>
      <c r="H6" s="780" t="s">
        <v>72</v>
      </c>
      <c r="I6" s="781"/>
      <c r="J6" s="780">
        <f>inputPrYr!$C$10-1</f>
        <v>2014</v>
      </c>
      <c r="K6" s="783"/>
      <c r="L6" s="782">
        <f>inputPrYr!$C$10</f>
        <v>2015</v>
      </c>
      <c r="M6" s="783"/>
    </row>
    <row r="7" spans="2:13" x14ac:dyDescent="0.2">
      <c r="B7" s="213" t="s">
        <v>813</v>
      </c>
      <c r="C7" s="213" t="s">
        <v>73</v>
      </c>
      <c r="D7" s="213" t="s">
        <v>162</v>
      </c>
      <c r="E7" s="213" t="s">
        <v>52</v>
      </c>
      <c r="F7" s="213" t="s">
        <v>74</v>
      </c>
      <c r="G7" s="211" t="str">
        <f>CONCATENATE("Jan 1,",M1-1,"")</f>
        <v>Jan 1,2014</v>
      </c>
      <c r="H7" s="146" t="s">
        <v>82</v>
      </c>
      <c r="I7" s="146" t="s">
        <v>84</v>
      </c>
      <c r="J7" s="146" t="s">
        <v>82</v>
      </c>
      <c r="K7" s="146" t="s">
        <v>84</v>
      </c>
      <c r="L7" s="146" t="s">
        <v>82</v>
      </c>
      <c r="M7" s="146" t="s">
        <v>84</v>
      </c>
    </row>
    <row r="8" spans="2:13" x14ac:dyDescent="0.2">
      <c r="B8" s="212" t="s">
        <v>75</v>
      </c>
      <c r="C8" s="39"/>
      <c r="D8" s="39"/>
      <c r="E8" s="214"/>
      <c r="F8" s="148"/>
      <c r="G8" s="148"/>
      <c r="H8" s="39"/>
      <c r="I8" s="39"/>
      <c r="J8" s="148"/>
      <c r="K8" s="148"/>
      <c r="L8" s="148"/>
      <c r="M8" s="148"/>
    </row>
    <row r="9" spans="2:13" x14ac:dyDescent="0.2">
      <c r="B9" s="272" t="s">
        <v>1128</v>
      </c>
      <c r="C9" s="238">
        <v>38047</v>
      </c>
      <c r="D9" s="238">
        <v>41883</v>
      </c>
      <c r="E9" s="216" t="s">
        <v>1113</v>
      </c>
      <c r="F9" s="217">
        <v>1400000</v>
      </c>
      <c r="G9" s="218">
        <v>910000</v>
      </c>
      <c r="H9" s="219" t="s">
        <v>1114</v>
      </c>
      <c r="I9" s="219">
        <v>41883</v>
      </c>
      <c r="J9" s="218">
        <v>39105</v>
      </c>
      <c r="K9" s="218">
        <v>70000</v>
      </c>
      <c r="L9" s="218">
        <v>0</v>
      </c>
      <c r="M9" s="218">
        <v>0</v>
      </c>
    </row>
    <row r="10" spans="2:13" x14ac:dyDescent="0.2">
      <c r="B10" s="272" t="s">
        <v>1129</v>
      </c>
      <c r="C10" s="238">
        <v>39047</v>
      </c>
      <c r="D10" s="238">
        <v>42795</v>
      </c>
      <c r="E10" s="216">
        <v>3.75</v>
      </c>
      <c r="F10" s="217">
        <v>3500000</v>
      </c>
      <c r="G10" s="218">
        <v>1645000</v>
      </c>
      <c r="H10" s="219" t="s">
        <v>1114</v>
      </c>
      <c r="I10" s="219">
        <v>41883</v>
      </c>
      <c r="J10" s="218">
        <v>52940</v>
      </c>
      <c r="K10" s="218">
        <v>385000</v>
      </c>
      <c r="L10" s="218">
        <v>23826</v>
      </c>
      <c r="M10" s="218">
        <v>400000</v>
      </c>
    </row>
    <row r="11" spans="2:13" x14ac:dyDescent="0.2">
      <c r="B11" s="272" t="s">
        <v>1119</v>
      </c>
      <c r="C11" s="238">
        <v>39295</v>
      </c>
      <c r="D11" s="238">
        <v>44805</v>
      </c>
      <c r="E11" s="216">
        <v>4.17</v>
      </c>
      <c r="F11" s="217">
        <v>1120000</v>
      </c>
      <c r="G11" s="218">
        <v>760000</v>
      </c>
      <c r="H11" s="219" t="s">
        <v>1114</v>
      </c>
      <c r="I11" s="219">
        <v>41883</v>
      </c>
      <c r="J11" s="218">
        <v>31154</v>
      </c>
      <c r="K11" s="218">
        <v>70000</v>
      </c>
      <c r="L11" s="218">
        <v>28388.76</v>
      </c>
      <c r="M11" s="218">
        <v>75000</v>
      </c>
    </row>
    <row r="12" spans="2:13" x14ac:dyDescent="0.2">
      <c r="B12" s="272" t="s">
        <v>1120</v>
      </c>
      <c r="C12" s="238">
        <v>39479</v>
      </c>
      <c r="D12" s="238">
        <v>46997</v>
      </c>
      <c r="E12" s="216">
        <v>4.04</v>
      </c>
      <c r="F12" s="217">
        <v>1680000</v>
      </c>
      <c r="G12" s="218">
        <v>1415000</v>
      </c>
      <c r="H12" s="219" t="s">
        <v>1114</v>
      </c>
      <c r="I12" s="219">
        <v>41883</v>
      </c>
      <c r="J12" s="218">
        <v>56723</v>
      </c>
      <c r="K12" s="218">
        <v>70000</v>
      </c>
      <c r="L12" s="218">
        <v>54097.5</v>
      </c>
      <c r="M12" s="218">
        <v>75000</v>
      </c>
    </row>
    <row r="13" spans="2:13" x14ac:dyDescent="0.2">
      <c r="B13" s="272" t="s">
        <v>1121</v>
      </c>
      <c r="C13" s="238">
        <v>40042</v>
      </c>
      <c r="D13" s="238">
        <v>47362</v>
      </c>
      <c r="E13" s="216">
        <v>3.65</v>
      </c>
      <c r="F13" s="217">
        <v>7605000</v>
      </c>
      <c r="G13" s="218">
        <v>5290000</v>
      </c>
      <c r="H13" s="219" t="s">
        <v>1114</v>
      </c>
      <c r="I13" s="219">
        <v>41883</v>
      </c>
      <c r="J13" s="218">
        <v>188383</v>
      </c>
      <c r="K13" s="218">
        <v>625000</v>
      </c>
      <c r="L13" s="218">
        <v>172757.5</v>
      </c>
      <c r="M13" s="218">
        <v>325000</v>
      </c>
    </row>
    <row r="14" spans="2:13" x14ac:dyDescent="0.2">
      <c r="B14" s="272" t="s">
        <v>1122</v>
      </c>
      <c r="C14" s="238">
        <v>40583</v>
      </c>
      <c r="D14" s="238">
        <v>47727</v>
      </c>
      <c r="E14" s="216">
        <v>3.13</v>
      </c>
      <c r="F14" s="217">
        <v>8765000</v>
      </c>
      <c r="G14" s="218">
        <v>7800000</v>
      </c>
      <c r="H14" s="219" t="s">
        <v>1114</v>
      </c>
      <c r="I14" s="219">
        <v>41883</v>
      </c>
      <c r="J14" s="218">
        <v>248643</v>
      </c>
      <c r="K14" s="218">
        <v>425000</v>
      </c>
      <c r="L14" s="218">
        <v>238017.5</v>
      </c>
      <c r="M14" s="218">
        <v>595000</v>
      </c>
    </row>
    <row r="15" spans="2:13" x14ac:dyDescent="0.2">
      <c r="B15" s="272" t="s">
        <v>1123</v>
      </c>
      <c r="C15" s="238">
        <v>41731</v>
      </c>
      <c r="D15" s="238">
        <v>46997</v>
      </c>
      <c r="E15" s="216">
        <v>2.492</v>
      </c>
      <c r="F15" s="217">
        <v>1950000</v>
      </c>
      <c r="G15" s="218">
        <v>0</v>
      </c>
      <c r="H15" s="219" t="s">
        <v>1114</v>
      </c>
      <c r="I15" s="219">
        <v>41883</v>
      </c>
      <c r="J15" s="218">
        <v>0</v>
      </c>
      <c r="K15" s="218">
        <v>0</v>
      </c>
      <c r="L15" s="218">
        <v>62081.26</v>
      </c>
      <c r="M15" s="218">
        <v>130000</v>
      </c>
    </row>
    <row r="16" spans="2:13" x14ac:dyDescent="0.2">
      <c r="B16" s="272"/>
      <c r="C16" s="238"/>
      <c r="D16" s="238"/>
      <c r="E16" s="216"/>
      <c r="F16" s="217"/>
      <c r="G16" s="218"/>
      <c r="H16" s="219"/>
      <c r="I16" s="219"/>
      <c r="J16" s="218"/>
      <c r="K16" s="218"/>
      <c r="L16" s="218"/>
      <c r="M16" s="218"/>
    </row>
    <row r="17" spans="2:13" x14ac:dyDescent="0.2">
      <c r="B17" s="272"/>
      <c r="C17" s="238"/>
      <c r="D17" s="238"/>
      <c r="E17" s="216"/>
      <c r="F17" s="217"/>
      <c r="G17" s="218"/>
      <c r="H17" s="219"/>
      <c r="I17" s="219"/>
      <c r="J17" s="218"/>
      <c r="K17" s="218"/>
      <c r="L17" s="218"/>
      <c r="M17" s="218"/>
    </row>
    <row r="18" spans="2:13" x14ac:dyDescent="0.2">
      <c r="B18" s="272" t="s">
        <v>1127</v>
      </c>
      <c r="C18" s="238"/>
      <c r="D18" s="238" t="s">
        <v>1220</v>
      </c>
      <c r="E18" s="216"/>
      <c r="F18" s="217"/>
      <c r="G18" s="218"/>
      <c r="H18" s="219"/>
      <c r="I18" s="219"/>
      <c r="J18" s="218"/>
      <c r="K18" s="218"/>
      <c r="L18" s="218"/>
      <c r="M18" s="218"/>
    </row>
    <row r="19" spans="2:13" x14ac:dyDescent="0.2">
      <c r="B19" s="215"/>
      <c r="C19" s="238" t="s">
        <v>1219</v>
      </c>
      <c r="D19" s="238"/>
      <c r="E19" s="216"/>
      <c r="F19" s="217"/>
      <c r="G19" s="218"/>
      <c r="H19" s="219"/>
      <c r="I19" s="219"/>
      <c r="J19" s="218"/>
      <c r="K19" s="218"/>
      <c r="L19" s="218"/>
      <c r="M19" s="218"/>
    </row>
    <row r="20" spans="2:13" x14ac:dyDescent="0.2">
      <c r="B20" s="195" t="s">
        <v>76</v>
      </c>
      <c r="C20" s="220"/>
      <c r="D20" s="220"/>
      <c r="E20" s="221"/>
      <c r="F20" s="222"/>
      <c r="G20" s="223">
        <f>SUM(G9:G19)</f>
        <v>17820000</v>
      </c>
      <c r="H20" s="224"/>
      <c r="I20" s="224"/>
      <c r="J20" s="223">
        <f>SUM(J9:J19)</f>
        <v>616948</v>
      </c>
      <c r="K20" s="223">
        <f>SUM(K9:K19)</f>
        <v>1645000</v>
      </c>
      <c r="L20" s="223">
        <f>SUM(L9:L19)</f>
        <v>579168.52</v>
      </c>
      <c r="M20" s="223">
        <f>SUM(M9:M19)</f>
        <v>1600000</v>
      </c>
    </row>
    <row r="21" spans="2:13" x14ac:dyDescent="0.2">
      <c r="B21" s="146" t="s">
        <v>77</v>
      </c>
      <c r="C21" s="225"/>
      <c r="D21" s="225"/>
      <c r="E21" s="226"/>
      <c r="F21" s="182"/>
      <c r="G21" s="182"/>
      <c r="H21" s="227"/>
      <c r="I21" s="227"/>
      <c r="J21" s="182"/>
      <c r="K21" s="182"/>
      <c r="L21" s="182"/>
      <c r="M21" s="182"/>
    </row>
    <row r="22" spans="2:13" x14ac:dyDescent="0.2">
      <c r="B22" s="215"/>
      <c r="C22" s="238"/>
      <c r="D22" s="238"/>
      <c r="E22" s="216"/>
      <c r="F22" s="217"/>
      <c r="G22" s="218"/>
      <c r="H22" s="219"/>
      <c r="I22" s="219"/>
      <c r="J22" s="218"/>
      <c r="K22" s="218"/>
      <c r="L22" s="218"/>
      <c r="M22" s="218"/>
    </row>
    <row r="23" spans="2:13" x14ac:dyDescent="0.2">
      <c r="B23" s="215"/>
      <c r="C23" s="238"/>
      <c r="D23" s="238"/>
      <c r="E23" s="216"/>
      <c r="F23" s="217"/>
      <c r="G23" s="218"/>
      <c r="H23" s="219"/>
      <c r="I23" s="219"/>
      <c r="J23" s="218"/>
      <c r="K23" s="218"/>
      <c r="L23" s="218"/>
      <c r="M23" s="218"/>
    </row>
    <row r="24" spans="2:13" x14ac:dyDescent="0.2">
      <c r="B24" s="215"/>
      <c r="C24" s="238"/>
      <c r="D24" s="238"/>
      <c r="E24" s="216"/>
      <c r="F24" s="217"/>
      <c r="G24" s="218"/>
      <c r="H24" s="219"/>
      <c r="I24" s="219"/>
      <c r="J24" s="218"/>
      <c r="K24" s="218"/>
      <c r="L24" s="218"/>
      <c r="M24" s="218"/>
    </row>
    <row r="25" spans="2:13" x14ac:dyDescent="0.2">
      <c r="B25" s="215"/>
      <c r="C25" s="238"/>
      <c r="D25" s="238"/>
      <c r="E25" s="216"/>
      <c r="F25" s="217"/>
      <c r="G25" s="218"/>
      <c r="H25" s="219"/>
      <c r="I25" s="219"/>
      <c r="J25" s="218"/>
      <c r="K25" s="218"/>
      <c r="L25" s="218"/>
      <c r="M25" s="218"/>
    </row>
    <row r="26" spans="2:13" x14ac:dyDescent="0.2">
      <c r="B26" s="215"/>
      <c r="C26" s="238"/>
      <c r="D26" s="238"/>
      <c r="E26" s="216"/>
      <c r="F26" s="217"/>
      <c r="G26" s="218"/>
      <c r="H26" s="219"/>
      <c r="I26" s="219"/>
      <c r="J26" s="218"/>
      <c r="K26" s="218"/>
      <c r="L26" s="218"/>
      <c r="M26" s="218"/>
    </row>
    <row r="27" spans="2:13" x14ac:dyDescent="0.2">
      <c r="B27" s="195" t="s">
        <v>78</v>
      </c>
      <c r="C27" s="220"/>
      <c r="D27" s="220"/>
      <c r="E27" s="228"/>
      <c r="F27" s="222"/>
      <c r="G27" s="229">
        <f>SUM(G22:G26)</f>
        <v>0</v>
      </c>
      <c r="H27" s="224"/>
      <c r="I27" s="224"/>
      <c r="J27" s="229">
        <f>SUM(J22:J26)</f>
        <v>0</v>
      </c>
      <c r="K27" s="229">
        <f>SUM(K22:K26)</f>
        <v>0</v>
      </c>
      <c r="L27" s="223">
        <f>SUM(L22:L26)</f>
        <v>0</v>
      </c>
      <c r="M27" s="229">
        <f>SUM(M22:M26)</f>
        <v>0</v>
      </c>
    </row>
    <row r="28" spans="2:13" x14ac:dyDescent="0.2">
      <c r="B28" s="146" t="s">
        <v>79</v>
      </c>
      <c r="C28" s="225"/>
      <c r="D28" s="225"/>
      <c r="E28" s="226"/>
      <c r="F28" s="182"/>
      <c r="G28" s="230"/>
      <c r="H28" s="227"/>
      <c r="I28" s="227"/>
      <c r="J28" s="182"/>
      <c r="K28" s="182"/>
      <c r="L28" s="182"/>
      <c r="M28" s="182"/>
    </row>
    <row r="29" spans="2:13" x14ac:dyDescent="0.2">
      <c r="B29" s="215" t="s">
        <v>1115</v>
      </c>
      <c r="C29" s="238">
        <v>41228</v>
      </c>
      <c r="D29" s="238">
        <v>41760</v>
      </c>
      <c r="E29" s="216">
        <v>0.45</v>
      </c>
      <c r="F29" s="217">
        <v>1750000</v>
      </c>
      <c r="G29" s="218">
        <v>1750000</v>
      </c>
      <c r="H29" s="219" t="s">
        <v>1116</v>
      </c>
      <c r="I29" s="219" t="s">
        <v>803</v>
      </c>
      <c r="J29" s="218">
        <v>11506</v>
      </c>
      <c r="K29" s="218">
        <v>1750000</v>
      </c>
      <c r="L29" s="218">
        <v>0</v>
      </c>
      <c r="M29" s="218">
        <v>0</v>
      </c>
    </row>
    <row r="30" spans="2:13" x14ac:dyDescent="0.2">
      <c r="B30" s="215"/>
      <c r="C30" s="238" t="s">
        <v>1124</v>
      </c>
      <c r="D30" s="238" t="s">
        <v>1125</v>
      </c>
      <c r="E30" s="216" t="s">
        <v>1126</v>
      </c>
      <c r="F30" s="217" t="s">
        <v>63</v>
      </c>
      <c r="G30" s="218"/>
      <c r="H30" s="219"/>
      <c r="I30" s="219"/>
      <c r="J30" s="218"/>
      <c r="K30" s="218"/>
      <c r="L30" s="218"/>
      <c r="M30" s="218"/>
    </row>
    <row r="31" spans="2:13" x14ac:dyDescent="0.2">
      <c r="B31" s="215"/>
      <c r="C31" s="238"/>
      <c r="D31" s="238"/>
      <c r="E31" s="216"/>
      <c r="F31" s="217"/>
      <c r="G31" s="218"/>
      <c r="H31" s="219"/>
      <c r="I31" s="219"/>
      <c r="J31" s="218"/>
      <c r="K31" s="218"/>
      <c r="L31" s="218"/>
      <c r="M31" s="218"/>
    </row>
    <row r="32" spans="2:13" x14ac:dyDescent="0.2">
      <c r="B32" s="215"/>
      <c r="C32" s="238"/>
      <c r="D32" s="238"/>
      <c r="E32" s="216"/>
      <c r="F32" s="217"/>
      <c r="G32" s="218"/>
      <c r="H32" s="219"/>
      <c r="I32" s="219"/>
      <c r="J32" s="218"/>
      <c r="K32" s="218"/>
      <c r="L32" s="218"/>
      <c r="M32" s="218"/>
    </row>
    <row r="33" spans="2:29" x14ac:dyDescent="0.2">
      <c r="B33" s="215"/>
      <c r="C33" s="238"/>
      <c r="D33" s="238"/>
      <c r="E33" s="216"/>
      <c r="F33" s="217"/>
      <c r="G33" s="218"/>
      <c r="H33" s="219"/>
      <c r="I33" s="219"/>
      <c r="J33" s="218"/>
      <c r="K33" s="218"/>
      <c r="L33" s="218"/>
      <c r="M33" s="218"/>
    </row>
    <row r="34" spans="2:29" x14ac:dyDescent="0.2">
      <c r="B34" s="215"/>
      <c r="C34" s="238"/>
      <c r="D34" s="238"/>
      <c r="E34" s="216"/>
      <c r="F34" s="217"/>
      <c r="G34" s="218"/>
      <c r="H34" s="219"/>
      <c r="I34" s="219"/>
      <c r="J34" s="218"/>
      <c r="K34" s="218"/>
      <c r="L34" s="218"/>
      <c r="M34" s="218"/>
      <c r="N34" s="3"/>
      <c r="O34" s="3"/>
      <c r="P34" s="3"/>
      <c r="Q34" s="3"/>
      <c r="R34" s="3"/>
      <c r="S34" s="3"/>
      <c r="T34" s="3"/>
      <c r="U34" s="3"/>
      <c r="V34" s="3"/>
      <c r="W34" s="3"/>
      <c r="X34" s="3"/>
      <c r="Y34" s="3"/>
      <c r="Z34" s="3"/>
      <c r="AA34" s="3"/>
      <c r="AB34" s="3"/>
      <c r="AC34" s="3"/>
    </row>
    <row r="35" spans="2:29" x14ac:dyDescent="0.2">
      <c r="B35" s="195" t="s">
        <v>145</v>
      </c>
      <c r="C35" s="195"/>
      <c r="D35" s="195"/>
      <c r="E35" s="228"/>
      <c r="F35" s="222"/>
      <c r="G35" s="229">
        <f>SUM(G29:G34)</f>
        <v>1750000</v>
      </c>
      <c r="H35" s="222"/>
      <c r="I35" s="222"/>
      <c r="J35" s="229">
        <f>SUM(J29:J34)</f>
        <v>11506</v>
      </c>
      <c r="K35" s="229">
        <f>SUM(K29:K34)</f>
        <v>1750000</v>
      </c>
      <c r="L35" s="229">
        <f>SUM(L29:L34)</f>
        <v>0</v>
      </c>
      <c r="M35" s="229">
        <f>SUM(M29:M34)</f>
        <v>0</v>
      </c>
    </row>
    <row r="36" spans="2:29" x14ac:dyDescent="0.2">
      <c r="B36" s="195" t="s">
        <v>80</v>
      </c>
      <c r="C36" s="195"/>
      <c r="D36" s="195"/>
      <c r="E36" s="195"/>
      <c r="F36" s="222"/>
      <c r="G36" s="229">
        <f>SUM(G20+G27+G35)</f>
        <v>19570000</v>
      </c>
      <c r="H36" s="222"/>
      <c r="I36" s="222"/>
      <c r="J36" s="229">
        <f>SUM(J20+J27+J35)</f>
        <v>628454</v>
      </c>
      <c r="K36" s="229">
        <f>SUM(K20+K27+K35)</f>
        <v>3395000</v>
      </c>
      <c r="L36" s="229">
        <f>SUM(L20+L27+L35)</f>
        <v>579168.52</v>
      </c>
      <c r="M36" s="229">
        <f>SUM(M20+M27+M35)</f>
        <v>1600000</v>
      </c>
    </row>
    <row r="37" spans="2:29" x14ac:dyDescent="0.2">
      <c r="B37" s="3"/>
      <c r="C37" s="3"/>
      <c r="D37" s="3"/>
      <c r="E37" s="3"/>
      <c r="F37" s="3"/>
      <c r="G37" s="3"/>
      <c r="H37" s="3"/>
      <c r="I37" s="3"/>
      <c r="J37" s="3"/>
      <c r="K37" s="3"/>
      <c r="L37" s="3"/>
      <c r="M37" s="3"/>
    </row>
    <row r="38" spans="2:29" x14ac:dyDescent="0.2">
      <c r="F38" s="231"/>
      <c r="G38" s="231"/>
      <c r="J38" s="231"/>
      <c r="K38" s="231"/>
      <c r="L38" s="231"/>
      <c r="M38" s="231"/>
    </row>
    <row r="39" spans="2:29" x14ac:dyDescent="0.2">
      <c r="F39" s="3"/>
      <c r="H39" s="232"/>
      <c r="N39" s="3"/>
    </row>
    <row r="40" spans="2:29" x14ac:dyDescent="0.2">
      <c r="B40" s="3"/>
      <c r="C40" s="3"/>
      <c r="D40" s="3"/>
      <c r="E40" s="3"/>
      <c r="F40" s="3"/>
      <c r="G40" s="3"/>
      <c r="H40" s="3"/>
      <c r="I40" s="3"/>
      <c r="J40" s="3"/>
      <c r="K40" s="3"/>
      <c r="L40" s="3"/>
      <c r="M40" s="3"/>
    </row>
    <row r="41" spans="2:29" x14ac:dyDescent="0.2">
      <c r="B41" s="3"/>
      <c r="C41" s="3"/>
      <c r="D41" s="3"/>
      <c r="E41" s="3"/>
      <c r="F41" s="3"/>
      <c r="G41" s="3"/>
      <c r="H41" s="3"/>
      <c r="I41" s="3"/>
      <c r="J41" s="3"/>
      <c r="K41" s="3"/>
      <c r="L41" s="3"/>
      <c r="M41" s="3"/>
    </row>
  </sheetData>
  <sheetProtection sheet="1" objects="1" scenarios="1"/>
  <mergeCells count="3">
    <mergeCell ref="H6:I6"/>
    <mergeCell ref="L6:M6"/>
    <mergeCell ref="J6:K6"/>
  </mergeCells>
  <phoneticPr fontId="0" type="noConversion"/>
  <pageMargins left="0.3" right="0.2" top="1" bottom="0.5" header="0.5" footer="0.25"/>
  <pageSetup scale="80" orientation="landscape" blackAndWhite="1" r:id="rId1"/>
  <headerFooter alignWithMargins="0">
    <oddHeader xml:space="preserve">&amp;RState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zoomScale="75" workbookViewId="0">
      <selection activeCell="E33" sqref="E33"/>
    </sheetView>
  </sheetViews>
  <sheetFormatPr defaultColWidth="8.88671875" defaultRowHeight="15.75" x14ac:dyDescent="0.2"/>
  <cols>
    <col min="1" max="1" width="8.88671875" style="16"/>
    <col min="2" max="2" width="23.33203125" style="16" customWidth="1"/>
    <col min="3" max="3" width="11.77734375" style="16" customWidth="1"/>
    <col min="4" max="5" width="9.77734375" style="16" customWidth="1"/>
    <col min="6" max="6" width="17.109375" style="16" customWidth="1"/>
    <col min="7" max="7" width="15.77734375" style="16" customWidth="1"/>
    <col min="8" max="8" width="13.6640625" style="16" customWidth="1"/>
    <col min="9" max="9" width="13.109375" style="16" customWidth="1"/>
    <col min="10" max="11" width="9.77734375" style="16" customWidth="1"/>
    <col min="12" max="16384" width="8.88671875" style="16"/>
  </cols>
  <sheetData>
    <row r="1" spans="2:11" x14ac:dyDescent="0.2">
      <c r="B1" s="164" t="str">
        <f>inputPrYr!$D$3</f>
        <v>City of Bonner Springs</v>
      </c>
      <c r="C1" s="20"/>
      <c r="D1" s="20"/>
      <c r="E1" s="20"/>
      <c r="F1" s="20"/>
      <c r="G1" s="20"/>
      <c r="H1" s="20"/>
      <c r="I1" s="125">
        <f>inputPrYr!$C$10</f>
        <v>2015</v>
      </c>
      <c r="J1" s="3"/>
      <c r="K1" s="233"/>
    </row>
    <row r="2" spans="2:11" x14ac:dyDescent="0.2">
      <c r="B2" s="164"/>
      <c r="C2" s="20"/>
      <c r="D2" s="20"/>
      <c r="E2" s="20"/>
      <c r="F2" s="20"/>
      <c r="G2" s="20"/>
      <c r="H2" s="20"/>
      <c r="I2" s="20"/>
      <c r="J2" s="3"/>
      <c r="K2" s="233"/>
    </row>
    <row r="3" spans="2:11" x14ac:dyDescent="0.2">
      <c r="B3" s="206" t="s">
        <v>129</v>
      </c>
      <c r="C3" s="26"/>
      <c r="D3" s="26"/>
      <c r="E3" s="26"/>
      <c r="F3" s="26"/>
      <c r="G3" s="26"/>
      <c r="H3" s="26"/>
      <c r="I3" s="26"/>
      <c r="J3" s="234"/>
      <c r="K3" s="234"/>
    </row>
    <row r="4" spans="2:11" x14ac:dyDescent="0.2">
      <c r="B4" s="20"/>
      <c r="C4" s="207"/>
      <c r="D4" s="207"/>
      <c r="E4" s="207"/>
      <c r="F4" s="207"/>
      <c r="G4" s="207"/>
      <c r="H4" s="207"/>
      <c r="I4" s="207"/>
      <c r="J4" s="235"/>
      <c r="K4" s="235"/>
    </row>
    <row r="5" spans="2:11" x14ac:dyDescent="0.2">
      <c r="B5" s="151"/>
      <c r="C5" s="151"/>
      <c r="D5" s="151"/>
      <c r="E5" s="151"/>
      <c r="F5" s="179" t="s">
        <v>17</v>
      </c>
      <c r="G5" s="151"/>
      <c r="H5" s="151"/>
      <c r="I5" s="151"/>
      <c r="J5" s="236"/>
      <c r="K5" s="128"/>
    </row>
    <row r="6" spans="2:11" x14ac:dyDescent="0.2">
      <c r="B6" s="141"/>
      <c r="C6" s="210"/>
      <c r="D6" s="210" t="s">
        <v>81</v>
      </c>
      <c r="E6" s="210" t="s">
        <v>82</v>
      </c>
      <c r="F6" s="210" t="s">
        <v>33</v>
      </c>
      <c r="G6" s="210" t="s">
        <v>155</v>
      </c>
      <c r="H6" s="210" t="s">
        <v>85</v>
      </c>
      <c r="I6" s="210" t="s">
        <v>85</v>
      </c>
    </row>
    <row r="7" spans="2:11" x14ac:dyDescent="0.2">
      <c r="B7" s="210" t="s">
        <v>814</v>
      </c>
      <c r="C7" s="210" t="s">
        <v>86</v>
      </c>
      <c r="D7" s="210" t="s">
        <v>87</v>
      </c>
      <c r="E7" s="210" t="s">
        <v>71</v>
      </c>
      <c r="F7" s="210" t="s">
        <v>88</v>
      </c>
      <c r="G7" s="210" t="s">
        <v>156</v>
      </c>
      <c r="H7" s="210" t="s">
        <v>89</v>
      </c>
      <c r="I7" s="210" t="s">
        <v>89</v>
      </c>
    </row>
    <row r="8" spans="2:11" x14ac:dyDescent="0.2">
      <c r="B8" s="213" t="s">
        <v>815</v>
      </c>
      <c r="C8" s="213" t="s">
        <v>68</v>
      </c>
      <c r="D8" s="237" t="s">
        <v>90</v>
      </c>
      <c r="E8" s="213" t="s">
        <v>52</v>
      </c>
      <c r="F8" s="237" t="s">
        <v>140</v>
      </c>
      <c r="G8" s="213">
        <f>inputPrYr!C10-1</f>
        <v>2014</v>
      </c>
      <c r="H8" s="213">
        <f>inputPrYr!C10-1</f>
        <v>2014</v>
      </c>
      <c r="I8" s="192">
        <f>inputPrYr!$C$10</f>
        <v>2015</v>
      </c>
    </row>
    <row r="9" spans="2:11" x14ac:dyDescent="0.2">
      <c r="B9" s="215" t="s">
        <v>1117</v>
      </c>
      <c r="C9" s="238" t="s">
        <v>1118</v>
      </c>
      <c r="D9" s="239" t="s">
        <v>1118</v>
      </c>
      <c r="E9" s="216">
        <v>0</v>
      </c>
      <c r="F9" s="217">
        <v>0</v>
      </c>
      <c r="G9" s="217">
        <v>0</v>
      </c>
      <c r="H9" s="217">
        <v>0</v>
      </c>
      <c r="I9" s="217">
        <v>0</v>
      </c>
    </row>
    <row r="10" spans="2:11" x14ac:dyDescent="0.2">
      <c r="B10" s="215"/>
      <c r="C10" s="238"/>
      <c r="D10" s="239"/>
      <c r="E10" s="216"/>
      <c r="F10" s="217"/>
      <c r="G10" s="217"/>
      <c r="H10" s="217"/>
      <c r="I10" s="217"/>
    </row>
    <row r="11" spans="2:11" x14ac:dyDescent="0.2">
      <c r="B11" s="215"/>
      <c r="C11" s="238"/>
      <c r="D11" s="239"/>
      <c r="E11" s="216"/>
      <c r="F11" s="217"/>
      <c r="G11" s="217"/>
      <c r="H11" s="217"/>
      <c r="I11" s="217"/>
    </row>
    <row r="12" spans="2:11" x14ac:dyDescent="0.2">
      <c r="B12" s="215"/>
      <c r="C12" s="238"/>
      <c r="D12" s="239"/>
      <c r="E12" s="216"/>
      <c r="F12" s="217"/>
      <c r="G12" s="217"/>
      <c r="H12" s="217"/>
      <c r="I12" s="217"/>
    </row>
    <row r="13" spans="2:11" x14ac:dyDescent="0.2">
      <c r="B13" s="215"/>
      <c r="C13" s="238"/>
      <c r="D13" s="239"/>
      <c r="E13" s="216"/>
      <c r="F13" s="217"/>
      <c r="G13" s="217"/>
      <c r="H13" s="217"/>
      <c r="I13" s="217"/>
    </row>
    <row r="14" spans="2:11" x14ac:dyDescent="0.2">
      <c r="B14" s="215"/>
      <c r="C14" s="238"/>
      <c r="D14" s="239"/>
      <c r="E14" s="216"/>
      <c r="F14" s="217"/>
      <c r="G14" s="217"/>
      <c r="H14" s="217"/>
      <c r="I14" s="217"/>
    </row>
    <row r="15" spans="2:11" x14ac:dyDescent="0.2">
      <c r="B15" s="215"/>
      <c r="C15" s="238"/>
      <c r="D15" s="239"/>
      <c r="E15" s="216"/>
      <c r="F15" s="217"/>
      <c r="G15" s="217"/>
      <c r="H15" s="217"/>
      <c r="I15" s="217"/>
    </row>
    <row r="16" spans="2:11" x14ac:dyDescent="0.2">
      <c r="B16" s="215"/>
      <c r="C16" s="238"/>
      <c r="D16" s="239"/>
      <c r="E16" s="216"/>
      <c r="F16" s="217"/>
      <c r="G16" s="217"/>
      <c r="H16" s="217"/>
      <c r="I16" s="217"/>
    </row>
    <row r="17" spans="2:9" x14ac:dyDescent="0.2">
      <c r="B17" s="215"/>
      <c r="C17" s="238"/>
      <c r="D17" s="239"/>
      <c r="E17" s="216"/>
      <c r="F17" s="217"/>
      <c r="G17" s="217"/>
      <c r="H17" s="217"/>
      <c r="I17" s="217"/>
    </row>
    <row r="18" spans="2:9" x14ac:dyDescent="0.2">
      <c r="B18" s="215"/>
      <c r="C18" s="238"/>
      <c r="D18" s="239"/>
      <c r="E18" s="216"/>
      <c r="F18" s="217"/>
      <c r="G18" s="217"/>
      <c r="H18" s="217"/>
      <c r="I18" s="217"/>
    </row>
    <row r="19" spans="2:9" x14ac:dyDescent="0.2">
      <c r="B19" s="215"/>
      <c r="C19" s="238"/>
      <c r="D19" s="239"/>
      <c r="E19" s="216"/>
      <c r="F19" s="217"/>
      <c r="G19" s="217"/>
      <c r="H19" s="217"/>
      <c r="I19" s="217"/>
    </row>
    <row r="20" spans="2:9" x14ac:dyDescent="0.2">
      <c r="B20" s="215"/>
      <c r="C20" s="238"/>
      <c r="D20" s="239"/>
      <c r="E20" s="216"/>
      <c r="F20" s="217"/>
      <c r="G20" s="217"/>
      <c r="H20" s="217"/>
      <c r="I20" s="217"/>
    </row>
    <row r="21" spans="2:9" x14ac:dyDescent="0.2">
      <c r="B21" s="215"/>
      <c r="C21" s="238"/>
      <c r="D21" s="239"/>
      <c r="E21" s="216"/>
      <c r="F21" s="217"/>
      <c r="G21" s="217"/>
      <c r="H21" s="217"/>
      <c r="I21" s="217"/>
    </row>
    <row r="22" spans="2:9" x14ac:dyDescent="0.2">
      <c r="B22" s="215"/>
      <c r="C22" s="238"/>
      <c r="D22" s="239"/>
      <c r="E22" s="216"/>
      <c r="F22" s="217"/>
      <c r="G22" s="217"/>
      <c r="H22" s="217"/>
      <c r="I22" s="217"/>
    </row>
    <row r="23" spans="2:9" x14ac:dyDescent="0.2">
      <c r="B23" s="215"/>
      <c r="C23" s="238"/>
      <c r="D23" s="239"/>
      <c r="E23" s="216"/>
      <c r="F23" s="217"/>
      <c r="G23" s="217"/>
      <c r="H23" s="217"/>
      <c r="I23" s="217"/>
    </row>
    <row r="24" spans="2:9" x14ac:dyDescent="0.2">
      <c r="B24" s="215"/>
      <c r="C24" s="238"/>
      <c r="D24" s="239"/>
      <c r="E24" s="216"/>
      <c r="F24" s="217"/>
      <c r="G24" s="217"/>
      <c r="H24" s="217"/>
      <c r="I24" s="217"/>
    </row>
    <row r="25" spans="2:9" x14ac:dyDescent="0.2">
      <c r="B25" s="215"/>
      <c r="C25" s="238"/>
      <c r="D25" s="239"/>
      <c r="E25" s="216"/>
      <c r="F25" s="217"/>
      <c r="G25" s="217"/>
      <c r="H25" s="217"/>
      <c r="I25" s="217"/>
    </row>
    <row r="26" spans="2:9" x14ac:dyDescent="0.2">
      <c r="B26" s="215"/>
      <c r="C26" s="238"/>
      <c r="D26" s="239"/>
      <c r="E26" s="216"/>
      <c r="F26" s="217"/>
      <c r="G26" s="217"/>
      <c r="H26" s="217"/>
      <c r="I26" s="217"/>
    </row>
    <row r="27" spans="2:9" x14ac:dyDescent="0.2">
      <c r="B27" s="215"/>
      <c r="C27" s="238"/>
      <c r="D27" s="239"/>
      <c r="E27" s="216"/>
      <c r="F27" s="217"/>
      <c r="G27" s="217"/>
      <c r="H27" s="217"/>
      <c r="I27" s="217"/>
    </row>
    <row r="28" spans="2:9" x14ac:dyDescent="0.2">
      <c r="B28" s="215"/>
      <c r="C28" s="238"/>
      <c r="D28" s="239"/>
      <c r="E28" s="216"/>
      <c r="F28" s="217"/>
      <c r="G28" s="217"/>
      <c r="H28" s="217"/>
      <c r="I28" s="217"/>
    </row>
    <row r="29" spans="2:9" x14ac:dyDescent="0.2">
      <c r="B29" s="215"/>
      <c r="C29" s="238"/>
      <c r="D29" s="239"/>
      <c r="E29" s="216"/>
      <c r="F29" s="217"/>
      <c r="G29" s="217"/>
      <c r="H29" s="217"/>
      <c r="I29" s="217"/>
    </row>
    <row r="30" spans="2:9" x14ac:dyDescent="0.2">
      <c r="B30" s="215"/>
      <c r="C30" s="238"/>
      <c r="D30" s="239"/>
      <c r="E30" s="216"/>
      <c r="F30" s="217"/>
      <c r="G30" s="217"/>
      <c r="H30" s="217"/>
      <c r="I30" s="217"/>
    </row>
    <row r="31" spans="2:9" x14ac:dyDescent="0.2">
      <c r="B31" s="215"/>
      <c r="C31" s="238"/>
      <c r="D31" s="239"/>
      <c r="E31" s="216"/>
      <c r="F31" s="217"/>
      <c r="G31" s="217"/>
      <c r="H31" s="217"/>
      <c r="I31" s="217"/>
    </row>
    <row r="32" spans="2:9" ht="16.5" thickBot="1" x14ac:dyDescent="0.25">
      <c r="B32" s="20"/>
      <c r="C32" s="165"/>
      <c r="D32" s="165"/>
      <c r="E32" s="165"/>
      <c r="F32" s="165" t="s">
        <v>40</v>
      </c>
      <c r="G32" s="240">
        <f>SUM(G9:G31)</f>
        <v>0</v>
      </c>
      <c r="H32" s="240">
        <f>SUM(H9:H31)</f>
        <v>0</v>
      </c>
      <c r="I32" s="241">
        <f>SUM(I9:I31)</f>
        <v>0</v>
      </c>
    </row>
    <row r="33" spans="2:11" ht="16.5" thickTop="1" x14ac:dyDescent="0.2">
      <c r="B33" s="20"/>
      <c r="C33" s="20"/>
      <c r="D33" s="20"/>
      <c r="E33" s="20"/>
      <c r="F33" s="20"/>
      <c r="G33" s="20"/>
      <c r="H33" s="20"/>
      <c r="I33" s="20"/>
      <c r="J33" s="231"/>
      <c r="K33" s="231"/>
    </row>
    <row r="34" spans="2:11" x14ac:dyDescent="0.2">
      <c r="B34" s="242" t="s">
        <v>253</v>
      </c>
      <c r="C34" s="243"/>
      <c r="D34" s="243"/>
      <c r="E34" s="243"/>
      <c r="F34" s="243"/>
      <c r="G34" s="243"/>
      <c r="H34" s="20"/>
      <c r="I34" s="20"/>
      <c r="J34" s="231"/>
      <c r="K34" s="231"/>
    </row>
    <row r="43" spans="2:11" x14ac:dyDescent="0.2">
      <c r="D43" s="232"/>
    </row>
  </sheetData>
  <sheetProtection sheet="1" objects="1" scenarios="1"/>
  <phoneticPr fontId="0" type="noConversion"/>
  <pageMargins left="1" right="0.4" top="1" bottom="0.5" header="0.5" footer="0.5"/>
  <pageSetup scale="80" orientation="landscape" blackAndWhite="1" horizontalDpi="120" verticalDpi="144" r:id="rId1"/>
  <headerFooter alignWithMargins="0">
    <oddHeader xml:space="preserve">&amp;RState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M13" sqref="M13"/>
    </sheetView>
  </sheetViews>
  <sheetFormatPr defaultColWidth="8.88671875" defaultRowHeight="15" x14ac:dyDescent="0.2"/>
  <cols>
    <col min="1" max="1" width="2.5546875" style="523" customWidth="1"/>
    <col min="2" max="4" width="8.88671875" style="523"/>
    <col min="5" max="5" width="9.6640625" style="523" customWidth="1"/>
    <col min="6" max="6" width="8.88671875" style="523"/>
    <col min="7" max="7" width="9.6640625" style="523" customWidth="1"/>
    <col min="8" max="16384" width="8.88671875" style="523"/>
  </cols>
  <sheetData>
    <row r="1" spans="2:9" ht="15.75" x14ac:dyDescent="0.25">
      <c r="B1" s="522"/>
      <c r="C1" s="522"/>
      <c r="D1" s="522"/>
      <c r="E1" s="522"/>
      <c r="F1" s="522"/>
      <c r="G1" s="522"/>
      <c r="H1" s="522"/>
      <c r="I1" s="522"/>
    </row>
    <row r="2" spans="2:9" ht="15.75" x14ac:dyDescent="0.2">
      <c r="B2" s="786" t="s">
        <v>738</v>
      </c>
      <c r="C2" s="786"/>
      <c r="D2" s="786"/>
      <c r="E2" s="786"/>
      <c r="F2" s="786"/>
      <c r="G2" s="786"/>
      <c r="H2" s="786"/>
      <c r="I2" s="786"/>
    </row>
    <row r="3" spans="2:9" ht="15.75" x14ac:dyDescent="0.2">
      <c r="B3" s="786" t="s">
        <v>739</v>
      </c>
      <c r="C3" s="786"/>
      <c r="D3" s="786"/>
      <c r="E3" s="786"/>
      <c r="F3" s="786"/>
      <c r="G3" s="786"/>
      <c r="H3" s="786"/>
      <c r="I3" s="786"/>
    </row>
    <row r="4" spans="2:9" ht="15.75" x14ac:dyDescent="0.2">
      <c r="B4" s="524"/>
      <c r="C4" s="524"/>
      <c r="D4" s="524"/>
      <c r="E4" s="524"/>
      <c r="F4" s="524"/>
      <c r="G4" s="524"/>
      <c r="H4" s="524"/>
      <c r="I4" s="524"/>
    </row>
    <row r="5" spans="2:9" ht="15.75" x14ac:dyDescent="0.2">
      <c r="B5" s="787" t="str">
        <f>CONCATENATE("Budgeted Year: ",inputPrYr!C5,"")</f>
        <v xml:space="preserve">Budgeted Year: </v>
      </c>
      <c r="C5" s="787"/>
      <c r="D5" s="787"/>
      <c r="E5" s="787"/>
      <c r="F5" s="787"/>
      <c r="G5" s="787"/>
      <c r="H5" s="787"/>
      <c r="I5" s="787"/>
    </row>
    <row r="6" spans="2:9" ht="15.75" x14ac:dyDescent="0.2">
      <c r="B6" s="525"/>
      <c r="C6" s="524"/>
      <c r="D6" s="524"/>
      <c r="E6" s="524"/>
      <c r="F6" s="524"/>
      <c r="G6" s="524"/>
      <c r="H6" s="524"/>
      <c r="I6" s="524"/>
    </row>
    <row r="7" spans="2:9" ht="15.75" x14ac:dyDescent="0.2">
      <c r="B7" s="525" t="str">
        <f>CONCATENATE("Library found in: ",inputPrYr!D2,"")</f>
        <v xml:space="preserve">Library found in: </v>
      </c>
      <c r="C7" s="524"/>
      <c r="D7" s="524"/>
      <c r="E7" s="524"/>
      <c r="F7" s="524"/>
      <c r="G7" s="524"/>
      <c r="H7" s="524"/>
      <c r="I7" s="524"/>
    </row>
    <row r="8" spans="2:9" ht="15.75" x14ac:dyDescent="0.2">
      <c r="B8" s="525" t="str">
        <f>inputPrYr!D3</f>
        <v>City of Bonner Springs</v>
      </c>
      <c r="C8" s="524"/>
      <c r="D8" s="524"/>
      <c r="E8" s="524"/>
      <c r="F8" s="524"/>
      <c r="G8" s="524"/>
      <c r="H8" s="524"/>
      <c r="I8" s="524"/>
    </row>
    <row r="9" spans="2:9" ht="15.75" x14ac:dyDescent="0.2">
      <c r="B9" s="524"/>
      <c r="C9" s="524"/>
      <c r="D9" s="524"/>
      <c r="E9" s="524"/>
      <c r="F9" s="524"/>
      <c r="G9" s="524"/>
      <c r="H9" s="524"/>
      <c r="I9" s="524"/>
    </row>
    <row r="10" spans="2:9" ht="39" customHeight="1" x14ac:dyDescent="0.2">
      <c r="B10" s="788" t="s">
        <v>740</v>
      </c>
      <c r="C10" s="788"/>
      <c r="D10" s="788"/>
      <c r="E10" s="788"/>
      <c r="F10" s="788"/>
      <c r="G10" s="788"/>
      <c r="H10" s="788"/>
      <c r="I10" s="788"/>
    </row>
    <row r="11" spans="2:9" ht="15.75" x14ac:dyDescent="0.2">
      <c r="B11" s="524"/>
      <c r="C11" s="524"/>
      <c r="D11" s="524"/>
      <c r="E11" s="524"/>
      <c r="F11" s="524"/>
      <c r="G11" s="524"/>
      <c r="H11" s="524"/>
      <c r="I11" s="524"/>
    </row>
    <row r="12" spans="2:9" ht="15.75" x14ac:dyDescent="0.2">
      <c r="B12" s="526" t="s">
        <v>741</v>
      </c>
      <c r="C12" s="524"/>
      <c r="D12" s="524"/>
      <c r="E12" s="524"/>
      <c r="F12" s="524"/>
      <c r="G12" s="524"/>
      <c r="H12" s="524"/>
      <c r="I12" s="524"/>
    </row>
    <row r="13" spans="2:9" ht="15.75" x14ac:dyDescent="0.2">
      <c r="B13" s="524"/>
      <c r="C13" s="524"/>
      <c r="D13" s="524"/>
      <c r="E13" s="527" t="s">
        <v>742</v>
      </c>
      <c r="F13" s="524"/>
      <c r="G13" s="527" t="s">
        <v>743</v>
      </c>
      <c r="H13" s="524"/>
      <c r="I13" s="524"/>
    </row>
    <row r="14" spans="2:9" ht="15.75" x14ac:dyDescent="0.2">
      <c r="B14" s="524"/>
      <c r="C14" s="524"/>
      <c r="D14" s="524"/>
      <c r="E14" s="528">
        <f>inputPrYr!C10-1</f>
        <v>2014</v>
      </c>
      <c r="F14" s="524"/>
      <c r="G14" s="528">
        <f>inputPrYr!C10</f>
        <v>2015</v>
      </c>
      <c r="H14" s="524"/>
      <c r="I14" s="524"/>
    </row>
    <row r="15" spans="2:9" ht="15.75" x14ac:dyDescent="0.2">
      <c r="B15" s="525" t="str">
        <f>'DebtSvs-Library'!B48</f>
        <v>Ad Valorem Tax</v>
      </c>
      <c r="C15" s="524"/>
      <c r="D15" s="524"/>
      <c r="E15" s="529">
        <f>'DebtSvs-Library'!D48</f>
        <v>321210</v>
      </c>
      <c r="F15" s="524"/>
      <c r="G15" s="529">
        <f>'DebtSvs-Library'!E71</f>
        <v>355317</v>
      </c>
      <c r="H15" s="524"/>
      <c r="I15" s="524"/>
    </row>
    <row r="16" spans="2:9" ht="15.75" x14ac:dyDescent="0.2">
      <c r="B16" s="525" t="str">
        <f>'DebtSvs-Library'!B49</f>
        <v>Delinquent Tax</v>
      </c>
      <c r="C16" s="524"/>
      <c r="D16" s="524"/>
      <c r="E16" s="529">
        <f>'DebtSvs-Library'!D49</f>
        <v>0</v>
      </c>
      <c r="F16" s="524"/>
      <c r="G16" s="529">
        <f>'DebtSvs-Library'!E49</f>
        <v>0</v>
      </c>
      <c r="H16" s="524"/>
      <c r="I16" s="524"/>
    </row>
    <row r="17" spans="2:9" ht="15.75" x14ac:dyDescent="0.2">
      <c r="B17" s="525" t="str">
        <f>'DebtSvs-Library'!B50</f>
        <v>Motor Vehicle Tax</v>
      </c>
      <c r="C17" s="524"/>
      <c r="D17" s="524"/>
      <c r="E17" s="529">
        <f>'DebtSvs-Library'!D50</f>
        <v>39152</v>
      </c>
      <c r="F17" s="524"/>
      <c r="G17" s="529">
        <f>'DebtSvs-Library'!E50</f>
        <v>41310</v>
      </c>
      <c r="H17" s="524"/>
      <c r="I17" s="524"/>
    </row>
    <row r="18" spans="2:9" ht="15.75" x14ac:dyDescent="0.2">
      <c r="B18" s="525" t="str">
        <f>'DebtSvs-Library'!B51</f>
        <v>Recreational Vehicle Tax</v>
      </c>
      <c r="C18" s="524"/>
      <c r="D18" s="524"/>
      <c r="E18" s="529">
        <f>'DebtSvs-Library'!D51</f>
        <v>260</v>
      </c>
      <c r="F18" s="524"/>
      <c r="G18" s="529">
        <f>'DebtSvs-Library'!E51</f>
        <v>200</v>
      </c>
      <c r="H18" s="524"/>
      <c r="I18" s="524"/>
    </row>
    <row r="19" spans="2:9" ht="15.75" x14ac:dyDescent="0.2">
      <c r="B19" s="525" t="str">
        <f>'DebtSvs-Library'!B52</f>
        <v>16/20M Vehicle Tax</v>
      </c>
      <c r="C19" s="524"/>
      <c r="D19" s="524"/>
      <c r="E19" s="529">
        <f>'DebtSvs-Library'!D52</f>
        <v>250</v>
      </c>
      <c r="F19" s="524"/>
      <c r="G19" s="529">
        <f>'DebtSvs-Library'!E52</f>
        <v>230</v>
      </c>
      <c r="H19" s="524"/>
      <c r="I19" s="524"/>
    </row>
    <row r="20" spans="2:9" ht="15.75" x14ac:dyDescent="0.2">
      <c r="B20" s="524" t="s">
        <v>7</v>
      </c>
      <c r="C20" s="524"/>
      <c r="D20" s="524"/>
      <c r="E20" s="529">
        <v>0</v>
      </c>
      <c r="F20" s="524"/>
      <c r="G20" s="529">
        <v>0</v>
      </c>
      <c r="H20" s="524"/>
      <c r="I20" s="524"/>
    </row>
    <row r="21" spans="2:9" ht="15.75" x14ac:dyDescent="0.2">
      <c r="B21" s="524"/>
      <c r="C21" s="524"/>
      <c r="D21" s="524"/>
      <c r="E21" s="529">
        <v>0</v>
      </c>
      <c r="F21" s="524"/>
      <c r="G21" s="529">
        <v>0</v>
      </c>
      <c r="H21" s="524"/>
      <c r="I21" s="524"/>
    </row>
    <row r="22" spans="2:9" ht="15.75" x14ac:dyDescent="0.2">
      <c r="B22" s="524" t="s">
        <v>744</v>
      </c>
      <c r="C22" s="524"/>
      <c r="D22" s="524"/>
      <c r="E22" s="530">
        <f>SUM(E15:E21)</f>
        <v>360872</v>
      </c>
      <c r="F22" s="524"/>
      <c r="G22" s="530">
        <f>SUM(G15:G21)</f>
        <v>397057</v>
      </c>
      <c r="H22" s="524"/>
      <c r="I22" s="524"/>
    </row>
    <row r="23" spans="2:9" ht="15.75" x14ac:dyDescent="0.2">
      <c r="B23" s="524" t="s">
        <v>745</v>
      </c>
      <c r="C23" s="524"/>
      <c r="D23" s="524"/>
      <c r="E23" s="531">
        <f>G22-E22</f>
        <v>36185</v>
      </c>
      <c r="F23" s="524"/>
      <c r="G23" s="532"/>
      <c r="H23" s="524"/>
      <c r="I23" s="524"/>
    </row>
    <row r="24" spans="2:9" ht="15.75" x14ac:dyDescent="0.2">
      <c r="B24" s="524" t="s">
        <v>746</v>
      </c>
      <c r="C24" s="524"/>
      <c r="D24" s="533" t="str">
        <f>IF((G22-E22)&gt;0,"Qualify","Not Qualify")</f>
        <v>Qualify</v>
      </c>
      <c r="E24" s="524"/>
      <c r="F24" s="524"/>
      <c r="G24" s="524"/>
      <c r="H24" s="524"/>
      <c r="I24" s="524"/>
    </row>
    <row r="25" spans="2:9" ht="15.75" x14ac:dyDescent="0.2">
      <c r="B25" s="524"/>
      <c r="C25" s="524"/>
      <c r="D25" s="524"/>
      <c r="E25" s="524"/>
      <c r="F25" s="524"/>
      <c r="G25" s="524"/>
      <c r="H25" s="524"/>
      <c r="I25" s="524"/>
    </row>
    <row r="26" spans="2:9" ht="15.75" x14ac:dyDescent="0.2">
      <c r="B26" s="526" t="s">
        <v>747</v>
      </c>
      <c r="C26" s="524"/>
      <c r="D26" s="524"/>
      <c r="E26" s="524"/>
      <c r="F26" s="524"/>
      <c r="G26" s="524"/>
      <c r="H26" s="524"/>
      <c r="I26" s="524"/>
    </row>
    <row r="27" spans="2:9" ht="15.75" x14ac:dyDescent="0.2">
      <c r="B27" s="524" t="s">
        <v>60</v>
      </c>
      <c r="C27" s="524"/>
      <c r="D27" s="524"/>
      <c r="E27" s="529">
        <f>summ!D54</f>
        <v>65518490</v>
      </c>
      <c r="F27" s="524"/>
      <c r="G27" s="529">
        <f>summ!F54</f>
        <v>69004957</v>
      </c>
      <c r="H27" s="524"/>
      <c r="I27" s="524"/>
    </row>
    <row r="28" spans="2:9" ht="15.75" x14ac:dyDescent="0.2">
      <c r="B28" s="524" t="s">
        <v>748</v>
      </c>
      <c r="C28" s="524"/>
      <c r="D28" s="524"/>
      <c r="E28" s="534" t="str">
        <f>IF(G27-E27&gt;=0,"No","Yes")</f>
        <v>No</v>
      </c>
      <c r="F28" s="524"/>
      <c r="G28" s="524"/>
      <c r="H28" s="524"/>
      <c r="I28" s="524"/>
    </row>
    <row r="29" spans="2:9" ht="15.75" x14ac:dyDescent="0.2">
      <c r="B29" s="524" t="s">
        <v>749</v>
      </c>
      <c r="C29" s="524"/>
      <c r="D29" s="524"/>
      <c r="E29" s="527">
        <f>summ!E19</f>
        <v>5.16</v>
      </c>
      <c r="F29" s="524"/>
      <c r="G29" s="535">
        <f>summ!H19</f>
        <v>5.149</v>
      </c>
      <c r="H29" s="524"/>
      <c r="I29" s="524"/>
    </row>
    <row r="30" spans="2:9" ht="15.75" x14ac:dyDescent="0.2">
      <c r="B30" s="524" t="s">
        <v>750</v>
      </c>
      <c r="C30" s="524"/>
      <c r="D30" s="524"/>
      <c r="E30" s="536">
        <f>IF(G29="","",G29-E29)</f>
        <v>-1.1000000000000121E-2</v>
      </c>
      <c r="F30" s="524"/>
      <c r="G30" s="524"/>
      <c r="H30" s="524"/>
      <c r="I30" s="524"/>
    </row>
    <row r="31" spans="2:9" ht="15.75" x14ac:dyDescent="0.2">
      <c r="B31" s="524" t="s">
        <v>746</v>
      </c>
      <c r="C31" s="524"/>
      <c r="D31" s="537" t="str">
        <f>IF(E30&gt;=0,"Qualify","Not Qualify")</f>
        <v>Not Qualify</v>
      </c>
      <c r="E31" s="524"/>
      <c r="F31" s="524"/>
      <c r="G31" s="524"/>
      <c r="H31" s="524"/>
      <c r="I31" s="524"/>
    </row>
    <row r="32" spans="2:9" ht="15.75" x14ac:dyDescent="0.2">
      <c r="B32" s="524"/>
      <c r="C32" s="524"/>
      <c r="D32" s="524"/>
      <c r="E32" s="524"/>
      <c r="F32" s="524"/>
      <c r="G32" s="524"/>
      <c r="H32" s="524"/>
      <c r="I32" s="524"/>
    </row>
    <row r="33" spans="2:9" ht="15.75" x14ac:dyDescent="0.2">
      <c r="B33" s="524" t="s">
        <v>751</v>
      </c>
      <c r="C33" s="524"/>
      <c r="D33" s="524"/>
      <c r="E33" s="524"/>
      <c r="F33" s="538" t="str">
        <f>IF(D24="Not Qualify",IF(D31="Not Qualify",IF(D31="Not Qualify","Not Qualify","Qualify"),"Qualify"),"Qualify")</f>
        <v>Qualify</v>
      </c>
      <c r="G33" s="524"/>
      <c r="H33" s="524"/>
      <c r="I33" s="524"/>
    </row>
    <row r="34" spans="2:9" ht="15.75" x14ac:dyDescent="0.2">
      <c r="B34" s="524"/>
      <c r="C34" s="524"/>
      <c r="D34" s="524"/>
      <c r="E34" s="524"/>
      <c r="F34" s="524"/>
      <c r="G34" s="524"/>
      <c r="H34" s="524"/>
      <c r="I34" s="524"/>
    </row>
    <row r="35" spans="2:9" ht="15.75" x14ac:dyDescent="0.2">
      <c r="B35" s="524"/>
      <c r="C35" s="524"/>
      <c r="D35" s="524"/>
      <c r="E35" s="524"/>
      <c r="F35" s="524"/>
      <c r="G35" s="524"/>
      <c r="H35" s="524"/>
      <c r="I35" s="524"/>
    </row>
    <row r="36" spans="2:9" ht="37.5" customHeight="1" x14ac:dyDescent="0.2">
      <c r="B36" s="788" t="s">
        <v>752</v>
      </c>
      <c r="C36" s="788"/>
      <c r="D36" s="788"/>
      <c r="E36" s="788"/>
      <c r="F36" s="788"/>
      <c r="G36" s="788"/>
      <c r="H36" s="788"/>
      <c r="I36" s="788"/>
    </row>
    <row r="37" spans="2:9" ht="15.75" x14ac:dyDescent="0.2">
      <c r="B37" s="524"/>
      <c r="C37" s="524"/>
      <c r="D37" s="524"/>
      <c r="E37" s="524"/>
      <c r="F37" s="524"/>
      <c r="G37" s="524"/>
      <c r="H37" s="524"/>
      <c r="I37" s="524"/>
    </row>
    <row r="38" spans="2:9" ht="15.75" x14ac:dyDescent="0.2">
      <c r="B38" s="524"/>
      <c r="C38" s="524"/>
      <c r="D38" s="524"/>
      <c r="E38" s="524"/>
      <c r="F38" s="524"/>
      <c r="G38" s="524"/>
      <c r="H38" s="524"/>
      <c r="I38" s="524"/>
    </row>
    <row r="39" spans="2:9" ht="15.75" x14ac:dyDescent="0.2">
      <c r="B39" s="524"/>
      <c r="C39" s="524"/>
      <c r="D39" s="524"/>
      <c r="E39" s="524"/>
      <c r="F39" s="524"/>
      <c r="G39" s="524"/>
      <c r="H39" s="524"/>
      <c r="I39" s="524"/>
    </row>
    <row r="40" spans="2:9" ht="15.75" x14ac:dyDescent="0.2">
      <c r="B40" s="524"/>
      <c r="C40" s="524"/>
      <c r="D40" s="524"/>
      <c r="E40" s="539" t="s">
        <v>67</v>
      </c>
      <c r="F40" s="540">
        <v>7</v>
      </c>
      <c r="G40" s="524"/>
      <c r="H40" s="524"/>
      <c r="I40" s="524"/>
    </row>
    <row r="41" spans="2:9" ht="15.75" x14ac:dyDescent="0.2">
      <c r="B41" s="524"/>
      <c r="C41" s="524"/>
      <c r="D41" s="524"/>
      <c r="E41" s="524"/>
      <c r="F41" s="524"/>
      <c r="G41" s="524"/>
      <c r="H41" s="524"/>
      <c r="I41" s="524"/>
    </row>
    <row r="42" spans="2:9" ht="15.75" x14ac:dyDescent="0.2">
      <c r="B42" s="524"/>
      <c r="C42" s="524"/>
      <c r="D42" s="524"/>
      <c r="E42" s="524"/>
      <c r="F42" s="524"/>
      <c r="G42" s="524"/>
      <c r="H42" s="524"/>
      <c r="I42" s="524"/>
    </row>
    <row r="43" spans="2:9" ht="15.75" x14ac:dyDescent="0.25">
      <c r="B43" s="784" t="s">
        <v>753</v>
      </c>
      <c r="C43" s="785"/>
      <c r="D43" s="785"/>
      <c r="E43" s="785"/>
      <c r="F43" s="785"/>
      <c r="G43" s="785"/>
      <c r="H43" s="785"/>
      <c r="I43" s="785"/>
    </row>
    <row r="44" spans="2:9" ht="15.75" x14ac:dyDescent="0.2">
      <c r="B44" s="524"/>
      <c r="C44" s="524"/>
      <c r="D44" s="524"/>
      <c r="E44" s="524"/>
      <c r="F44" s="524"/>
      <c r="G44" s="524"/>
      <c r="H44" s="524"/>
      <c r="I44" s="524"/>
    </row>
    <row r="45" spans="2:9" ht="15.75" x14ac:dyDescent="0.25">
      <c r="B45" s="541" t="s">
        <v>754</v>
      </c>
      <c r="C45" s="524"/>
      <c r="D45" s="524"/>
      <c r="E45" s="524"/>
      <c r="F45" s="524"/>
      <c r="G45" s="524"/>
      <c r="H45" s="524"/>
      <c r="I45" s="524"/>
    </row>
    <row r="46" spans="2:9" ht="15.75" x14ac:dyDescent="0.25">
      <c r="B46" s="541" t="str">
        <f>CONCATENATE("sources in your ",G14," library fund is not equal to or greater than the amount from the same")</f>
        <v>sources in your 2015 library fund is not equal to or greater than the amount from the same</v>
      </c>
      <c r="C46" s="524"/>
      <c r="D46" s="524"/>
      <c r="E46" s="524"/>
      <c r="F46" s="524"/>
      <c r="G46" s="524"/>
      <c r="H46" s="524"/>
      <c r="I46" s="524"/>
    </row>
    <row r="47" spans="2:9" ht="15.75" x14ac:dyDescent="0.25">
      <c r="B47" s="541" t="str">
        <f>CONCATENATE("sources in ",E14,".")</f>
        <v>sources in 2014.</v>
      </c>
      <c r="C47" s="522"/>
      <c r="D47" s="522"/>
      <c r="E47" s="522"/>
      <c r="F47" s="522"/>
      <c r="G47" s="522"/>
      <c r="H47" s="522"/>
      <c r="I47" s="522"/>
    </row>
    <row r="48" spans="2:9" ht="15.75" x14ac:dyDescent="0.25">
      <c r="B48" s="522"/>
      <c r="C48" s="522"/>
      <c r="D48" s="522"/>
      <c r="E48" s="522"/>
      <c r="F48" s="522"/>
      <c r="G48" s="522"/>
      <c r="H48" s="522"/>
      <c r="I48" s="522"/>
    </row>
    <row r="49" spans="2:9" ht="15.75" x14ac:dyDescent="0.25">
      <c r="B49" s="541" t="s">
        <v>755</v>
      </c>
      <c r="C49" s="541"/>
      <c r="D49" s="542"/>
      <c r="E49" s="542"/>
      <c r="F49" s="542"/>
      <c r="G49" s="542"/>
      <c r="H49" s="542"/>
      <c r="I49" s="542"/>
    </row>
    <row r="50" spans="2:9" ht="15.75" x14ac:dyDescent="0.25">
      <c r="B50" s="541" t="s">
        <v>756</v>
      </c>
      <c r="C50" s="541"/>
      <c r="D50" s="542"/>
      <c r="E50" s="542"/>
      <c r="F50" s="542"/>
      <c r="G50" s="542"/>
      <c r="H50" s="542"/>
      <c r="I50" s="542"/>
    </row>
    <row r="51" spans="2:9" ht="15.75" x14ac:dyDescent="0.25">
      <c r="B51" s="541" t="s">
        <v>757</v>
      </c>
      <c r="C51" s="541"/>
      <c r="D51" s="542"/>
      <c r="E51" s="542"/>
      <c r="F51" s="542"/>
      <c r="G51" s="542"/>
      <c r="H51" s="542"/>
      <c r="I51" s="542"/>
    </row>
    <row r="52" spans="2:9" x14ac:dyDescent="0.2">
      <c r="B52" s="542"/>
      <c r="C52" s="542"/>
      <c r="D52" s="542"/>
      <c r="E52" s="542"/>
      <c r="F52" s="542"/>
      <c r="G52" s="542"/>
      <c r="H52" s="542"/>
      <c r="I52" s="542"/>
    </row>
    <row r="53" spans="2:9" ht="15.75" x14ac:dyDescent="0.25">
      <c r="B53" s="543" t="s">
        <v>758</v>
      </c>
      <c r="C53" s="542"/>
      <c r="D53" s="542"/>
      <c r="E53" s="542"/>
      <c r="F53" s="542"/>
      <c r="G53" s="542"/>
      <c r="H53" s="542"/>
      <c r="I53" s="542"/>
    </row>
    <row r="54" spans="2:9" x14ac:dyDescent="0.2">
      <c r="B54" s="542"/>
      <c r="C54" s="542"/>
      <c r="D54" s="542"/>
      <c r="E54" s="542"/>
      <c r="F54" s="542"/>
      <c r="G54" s="542"/>
      <c r="H54" s="542"/>
      <c r="I54" s="542"/>
    </row>
    <row r="55" spans="2:9" ht="15.75" x14ac:dyDescent="0.25">
      <c r="B55" s="541" t="s">
        <v>759</v>
      </c>
      <c r="C55" s="542"/>
      <c r="D55" s="542"/>
      <c r="E55" s="542"/>
      <c r="F55" s="542"/>
      <c r="G55" s="542"/>
      <c r="H55" s="542"/>
      <c r="I55" s="542"/>
    </row>
    <row r="56" spans="2:9" ht="15.75" x14ac:dyDescent="0.25">
      <c r="B56" s="541" t="s">
        <v>760</v>
      </c>
      <c r="C56" s="542"/>
      <c r="D56" s="542"/>
      <c r="E56" s="542"/>
      <c r="F56" s="542"/>
      <c r="G56" s="542"/>
      <c r="H56" s="542"/>
      <c r="I56" s="542"/>
    </row>
    <row r="57" spans="2:9" x14ac:dyDescent="0.2">
      <c r="B57" s="542"/>
      <c r="C57" s="542"/>
      <c r="D57" s="542"/>
      <c r="E57" s="542"/>
      <c r="F57" s="542"/>
      <c r="G57" s="542"/>
      <c r="H57" s="542"/>
      <c r="I57" s="542"/>
    </row>
    <row r="58" spans="2:9" ht="15.75" x14ac:dyDescent="0.25">
      <c r="B58" s="543" t="s">
        <v>761</v>
      </c>
      <c r="C58" s="541"/>
      <c r="D58" s="541"/>
      <c r="E58" s="541"/>
      <c r="F58" s="541"/>
      <c r="G58" s="542"/>
      <c r="H58" s="542"/>
      <c r="I58" s="542"/>
    </row>
    <row r="59" spans="2:9" ht="15.75" x14ac:dyDescent="0.25">
      <c r="B59" s="541"/>
      <c r="C59" s="541"/>
      <c r="D59" s="541"/>
      <c r="E59" s="541"/>
      <c r="F59" s="541"/>
      <c r="G59" s="542"/>
      <c r="H59" s="542"/>
      <c r="I59" s="542"/>
    </row>
    <row r="60" spans="2:9" ht="15.75" x14ac:dyDescent="0.25">
      <c r="B60" s="541" t="s">
        <v>762</v>
      </c>
      <c r="C60" s="541"/>
      <c r="D60" s="541"/>
      <c r="E60" s="541"/>
      <c r="F60" s="541"/>
      <c r="G60" s="542"/>
      <c r="H60" s="542"/>
      <c r="I60" s="542"/>
    </row>
    <row r="61" spans="2:9" ht="15.75" x14ac:dyDescent="0.25">
      <c r="B61" s="541" t="s">
        <v>763</v>
      </c>
      <c r="C61" s="541"/>
      <c r="D61" s="541"/>
      <c r="E61" s="541"/>
      <c r="F61" s="541"/>
      <c r="G61" s="542"/>
      <c r="H61" s="542"/>
      <c r="I61" s="542"/>
    </row>
    <row r="62" spans="2:9" ht="15.75" x14ac:dyDescent="0.25">
      <c r="B62" s="541" t="s">
        <v>764</v>
      </c>
      <c r="C62" s="541"/>
      <c r="D62" s="541"/>
      <c r="E62" s="541"/>
      <c r="F62" s="541"/>
      <c r="G62" s="542"/>
      <c r="H62" s="542"/>
      <c r="I62" s="542"/>
    </row>
    <row r="63" spans="2:9" ht="15.75" x14ac:dyDescent="0.25">
      <c r="B63" s="541" t="s">
        <v>765</v>
      </c>
      <c r="C63" s="541"/>
      <c r="D63" s="541"/>
      <c r="E63" s="541"/>
      <c r="F63" s="541"/>
      <c r="G63" s="542"/>
      <c r="H63" s="542"/>
      <c r="I63" s="542"/>
    </row>
    <row r="64" spans="2:9" x14ac:dyDescent="0.2">
      <c r="B64" s="544"/>
      <c r="C64" s="544"/>
      <c r="D64" s="544"/>
      <c r="E64" s="544"/>
      <c r="F64" s="544"/>
      <c r="G64" s="542"/>
      <c r="H64" s="542"/>
      <c r="I64" s="542"/>
    </row>
    <row r="65" spans="2:9" ht="15.75" x14ac:dyDescent="0.25">
      <c r="B65" s="541" t="s">
        <v>766</v>
      </c>
      <c r="C65" s="544"/>
      <c r="D65" s="544"/>
      <c r="E65" s="544"/>
      <c r="F65" s="544"/>
      <c r="G65" s="542"/>
      <c r="H65" s="542"/>
      <c r="I65" s="542"/>
    </row>
    <row r="66" spans="2:9" ht="15.75" x14ac:dyDescent="0.25">
      <c r="B66" s="541" t="s">
        <v>767</v>
      </c>
      <c r="C66" s="544"/>
      <c r="D66" s="544"/>
      <c r="E66" s="544"/>
      <c r="F66" s="544"/>
      <c r="G66" s="542"/>
      <c r="H66" s="542"/>
      <c r="I66" s="542"/>
    </row>
    <row r="67" spans="2:9" x14ac:dyDescent="0.2">
      <c r="B67" s="544"/>
      <c r="C67" s="544"/>
      <c r="D67" s="544"/>
      <c r="E67" s="544"/>
      <c r="F67" s="544"/>
      <c r="G67" s="542"/>
      <c r="H67" s="542"/>
      <c r="I67" s="542"/>
    </row>
    <row r="68" spans="2:9" ht="15.75" x14ac:dyDescent="0.25">
      <c r="B68" s="541" t="s">
        <v>768</v>
      </c>
      <c r="C68" s="544"/>
      <c r="D68" s="544"/>
      <c r="E68" s="544"/>
      <c r="F68" s="544"/>
      <c r="G68" s="542"/>
      <c r="H68" s="542"/>
      <c r="I68" s="542"/>
    </row>
    <row r="69" spans="2:9" ht="15.75" x14ac:dyDescent="0.25">
      <c r="B69" s="541" t="s">
        <v>769</v>
      </c>
      <c r="C69" s="544"/>
      <c r="D69" s="544"/>
      <c r="E69" s="544"/>
      <c r="F69" s="544"/>
      <c r="G69" s="542"/>
      <c r="H69" s="542"/>
      <c r="I69" s="542"/>
    </row>
    <row r="70" spans="2:9" x14ac:dyDescent="0.2">
      <c r="B70" s="544"/>
      <c r="C70" s="544"/>
      <c r="D70" s="544"/>
      <c r="E70" s="544"/>
      <c r="F70" s="544"/>
      <c r="G70" s="542"/>
      <c r="H70" s="542"/>
      <c r="I70" s="542"/>
    </row>
    <row r="71" spans="2:9" ht="15.75" x14ac:dyDescent="0.25">
      <c r="B71" s="543" t="s">
        <v>770</v>
      </c>
      <c r="C71" s="544"/>
      <c r="D71" s="544"/>
      <c r="E71" s="544"/>
      <c r="F71" s="544"/>
      <c r="G71" s="542"/>
      <c r="H71" s="542"/>
      <c r="I71" s="542"/>
    </row>
    <row r="72" spans="2:9" x14ac:dyDescent="0.2">
      <c r="B72" s="544"/>
      <c r="C72" s="544"/>
      <c r="D72" s="544"/>
      <c r="E72" s="544"/>
      <c r="F72" s="544"/>
      <c r="G72" s="542"/>
      <c r="H72" s="542"/>
      <c r="I72" s="542"/>
    </row>
    <row r="73" spans="2:9" ht="15.75" x14ac:dyDescent="0.25">
      <c r="B73" s="541" t="s">
        <v>771</v>
      </c>
      <c r="C73" s="544"/>
      <c r="D73" s="544"/>
      <c r="E73" s="544"/>
      <c r="F73" s="544"/>
      <c r="G73" s="542"/>
      <c r="H73" s="542"/>
      <c r="I73" s="542"/>
    </row>
    <row r="74" spans="2:9" ht="15.75" x14ac:dyDescent="0.25">
      <c r="B74" s="541" t="s">
        <v>772</v>
      </c>
      <c r="C74" s="544"/>
      <c r="D74" s="544"/>
      <c r="E74" s="544"/>
      <c r="F74" s="544"/>
      <c r="G74" s="542"/>
      <c r="H74" s="542"/>
      <c r="I74" s="542"/>
    </row>
    <row r="75" spans="2:9" x14ac:dyDescent="0.2">
      <c r="B75" s="544"/>
      <c r="C75" s="544"/>
      <c r="D75" s="544"/>
      <c r="E75" s="544"/>
      <c r="F75" s="544"/>
      <c r="G75" s="542"/>
      <c r="H75" s="542"/>
      <c r="I75" s="542"/>
    </row>
    <row r="76" spans="2:9" ht="15.75" x14ac:dyDescent="0.25">
      <c r="B76" s="543" t="s">
        <v>773</v>
      </c>
      <c r="C76" s="544"/>
      <c r="D76" s="544"/>
      <c r="E76" s="544"/>
      <c r="F76" s="544"/>
      <c r="G76" s="542"/>
      <c r="H76" s="542"/>
      <c r="I76" s="542"/>
    </row>
    <row r="77" spans="2:9" x14ac:dyDescent="0.2">
      <c r="B77" s="544"/>
      <c r="C77" s="544"/>
      <c r="D77" s="544"/>
      <c r="E77" s="544"/>
      <c r="F77" s="544"/>
      <c r="G77" s="542"/>
      <c r="H77" s="542"/>
      <c r="I77" s="542"/>
    </row>
    <row r="78" spans="2:9" ht="15.75" x14ac:dyDescent="0.25">
      <c r="B78" s="541" t="str">
        <f>CONCATENATE("If the ",G14," municipal budget has not been published and has not been submitted to the County")</f>
        <v>If the 2015 municipal budget has not been published and has not been submitted to the County</v>
      </c>
      <c r="C78" s="544"/>
      <c r="D78" s="544"/>
      <c r="E78" s="544"/>
      <c r="F78" s="544"/>
      <c r="G78" s="542"/>
      <c r="H78" s="542"/>
      <c r="I78" s="542"/>
    </row>
    <row r="79" spans="2:9" ht="15.75" x14ac:dyDescent="0.25">
      <c r="B79" s="541" t="s">
        <v>774</v>
      </c>
      <c r="C79" s="544"/>
      <c r="D79" s="544"/>
      <c r="E79" s="544"/>
      <c r="F79" s="544"/>
      <c r="G79" s="542"/>
      <c r="H79" s="542"/>
      <c r="I79" s="542"/>
    </row>
    <row r="80" spans="2:9" x14ac:dyDescent="0.2">
      <c r="B80" s="544"/>
      <c r="C80" s="544"/>
      <c r="D80" s="544"/>
      <c r="E80" s="544"/>
      <c r="F80" s="544"/>
      <c r="G80" s="542"/>
      <c r="H80" s="542"/>
      <c r="I80" s="542"/>
    </row>
    <row r="81" spans="2:9" ht="15.75" x14ac:dyDescent="0.25">
      <c r="B81" s="543" t="s">
        <v>385</v>
      </c>
      <c r="C81" s="544"/>
      <c r="D81" s="544"/>
      <c r="E81" s="544"/>
      <c r="F81" s="544"/>
      <c r="G81" s="542"/>
      <c r="H81" s="542"/>
      <c r="I81" s="542"/>
    </row>
    <row r="82" spans="2:9" x14ac:dyDescent="0.2">
      <c r="B82" s="544"/>
      <c r="C82" s="544"/>
      <c r="D82" s="544"/>
      <c r="E82" s="544"/>
      <c r="F82" s="544"/>
      <c r="G82" s="542"/>
      <c r="H82" s="542"/>
      <c r="I82" s="542"/>
    </row>
    <row r="83" spans="2:9" ht="15.75" x14ac:dyDescent="0.25">
      <c r="B83" s="541" t="s">
        <v>775</v>
      </c>
      <c r="C83" s="544"/>
      <c r="D83" s="544"/>
      <c r="E83" s="544"/>
      <c r="F83" s="544"/>
      <c r="G83" s="542"/>
      <c r="H83" s="542"/>
      <c r="I83" s="542"/>
    </row>
    <row r="84" spans="2:9" ht="15.75" x14ac:dyDescent="0.25">
      <c r="B84" s="541" t="str">
        <f>CONCATENATE("Budget Year ",G14," is equal to or greater than that for Current Year Estimate ",E14,".")</f>
        <v>Budget Year 2015 is equal to or greater than that for Current Year Estimate 2014.</v>
      </c>
      <c r="C84" s="544"/>
      <c r="D84" s="544"/>
      <c r="E84" s="544"/>
      <c r="F84" s="544"/>
      <c r="G84" s="542"/>
      <c r="H84" s="542"/>
      <c r="I84" s="542"/>
    </row>
    <row r="85" spans="2:9" x14ac:dyDescent="0.2">
      <c r="B85" s="544"/>
      <c r="C85" s="544"/>
      <c r="D85" s="544"/>
      <c r="E85" s="544"/>
      <c r="F85" s="544"/>
      <c r="G85" s="542"/>
      <c r="H85" s="542"/>
      <c r="I85" s="542"/>
    </row>
    <row r="86" spans="2:9" ht="15.75" x14ac:dyDescent="0.25">
      <c r="B86" s="541" t="s">
        <v>776</v>
      </c>
      <c r="C86" s="544"/>
      <c r="D86" s="544"/>
      <c r="E86" s="544"/>
      <c r="F86" s="544"/>
      <c r="G86" s="542"/>
      <c r="H86" s="542"/>
      <c r="I86" s="542"/>
    </row>
    <row r="87" spans="2:9" ht="15.75" x14ac:dyDescent="0.25">
      <c r="B87" s="541" t="s">
        <v>777</v>
      </c>
      <c r="C87" s="544"/>
      <c r="D87" s="544"/>
      <c r="E87" s="544"/>
      <c r="F87" s="544"/>
      <c r="G87" s="542"/>
      <c r="H87" s="542"/>
      <c r="I87" s="542"/>
    </row>
    <row r="88" spans="2:9" ht="15.75" x14ac:dyDescent="0.25">
      <c r="B88" s="541" t="s">
        <v>778</v>
      </c>
      <c r="C88" s="544"/>
      <c r="D88" s="544"/>
      <c r="E88" s="544"/>
      <c r="F88" s="544"/>
      <c r="G88" s="542"/>
      <c r="H88" s="542"/>
      <c r="I88" s="542"/>
    </row>
    <row r="89" spans="2:9" ht="15.75" x14ac:dyDescent="0.25">
      <c r="B89" s="541" t="str">
        <f>CONCATENATE("purpose for the previous (",E14,") year.")</f>
        <v>purpose for the previous (2014) year.</v>
      </c>
      <c r="C89" s="544"/>
      <c r="D89" s="544"/>
      <c r="E89" s="544"/>
      <c r="F89" s="544"/>
      <c r="G89" s="542"/>
      <c r="H89" s="542"/>
      <c r="I89" s="542"/>
    </row>
    <row r="90" spans="2:9" x14ac:dyDescent="0.2">
      <c r="B90" s="544"/>
      <c r="C90" s="544"/>
      <c r="D90" s="544"/>
      <c r="E90" s="544"/>
      <c r="F90" s="544"/>
      <c r="G90" s="542"/>
      <c r="H90" s="542"/>
      <c r="I90" s="542"/>
    </row>
    <row r="91" spans="2:9" ht="15.75" x14ac:dyDescent="0.25">
      <c r="B91" s="541" t="str">
        <f>CONCATENATE("Next, look to see if delinquent tax for ",G14," is budgeted. Often this line is budgeted at $0 or left")</f>
        <v>Next, look to see if delinquent tax for 2015 is budgeted. Often this line is budgeted at $0 or left</v>
      </c>
      <c r="C91" s="544"/>
      <c r="D91" s="544"/>
      <c r="E91" s="544"/>
      <c r="F91" s="544"/>
      <c r="G91" s="542"/>
      <c r="H91" s="542"/>
      <c r="I91" s="542"/>
    </row>
    <row r="92" spans="2:9" ht="15.75" x14ac:dyDescent="0.25">
      <c r="B92" s="541" t="s">
        <v>779</v>
      </c>
      <c r="C92" s="544"/>
      <c r="D92" s="544"/>
      <c r="E92" s="544"/>
      <c r="F92" s="544"/>
      <c r="G92" s="542"/>
      <c r="H92" s="542"/>
      <c r="I92" s="542"/>
    </row>
    <row r="93" spans="2:9" ht="15.75" x14ac:dyDescent="0.25">
      <c r="B93" s="541" t="s">
        <v>780</v>
      </c>
      <c r="C93" s="544"/>
      <c r="D93" s="544"/>
      <c r="E93" s="544"/>
      <c r="F93" s="544"/>
      <c r="G93" s="542"/>
      <c r="H93" s="542"/>
      <c r="I93" s="542"/>
    </row>
    <row r="94" spans="2:9" ht="15.75" x14ac:dyDescent="0.25">
      <c r="B94" s="541" t="s">
        <v>781</v>
      </c>
      <c r="C94" s="544"/>
      <c r="D94" s="544"/>
      <c r="E94" s="544"/>
      <c r="F94" s="544"/>
      <c r="G94" s="542"/>
      <c r="H94" s="542"/>
      <c r="I94" s="542"/>
    </row>
    <row r="95" spans="2:9" x14ac:dyDescent="0.2">
      <c r="B95" s="544"/>
      <c r="C95" s="544"/>
      <c r="D95" s="544"/>
      <c r="E95" s="544"/>
      <c r="F95" s="544"/>
      <c r="G95" s="542"/>
      <c r="H95" s="542"/>
      <c r="I95" s="542"/>
    </row>
    <row r="96" spans="2:9" ht="15.75" x14ac:dyDescent="0.25">
      <c r="B96" s="543" t="s">
        <v>782</v>
      </c>
      <c r="C96" s="544"/>
      <c r="D96" s="544"/>
      <c r="E96" s="544"/>
      <c r="F96" s="544"/>
      <c r="G96" s="542"/>
      <c r="H96" s="542"/>
      <c r="I96" s="542"/>
    </row>
    <row r="97" spans="2:9" x14ac:dyDescent="0.2">
      <c r="B97" s="544"/>
      <c r="C97" s="544"/>
      <c r="D97" s="544"/>
      <c r="E97" s="544"/>
      <c r="F97" s="544"/>
      <c r="G97" s="542"/>
      <c r="H97" s="542"/>
      <c r="I97" s="542"/>
    </row>
    <row r="98" spans="2:9" ht="15.75" x14ac:dyDescent="0.25">
      <c r="B98" s="541" t="s">
        <v>783</v>
      </c>
      <c r="C98" s="544"/>
      <c r="D98" s="544"/>
      <c r="E98" s="544"/>
      <c r="F98" s="544"/>
      <c r="G98" s="542"/>
      <c r="H98" s="542"/>
      <c r="I98" s="542"/>
    </row>
    <row r="99" spans="2:9" ht="15.75" x14ac:dyDescent="0.25">
      <c r="B99" s="541" t="s">
        <v>784</v>
      </c>
      <c r="C99" s="544"/>
      <c r="D99" s="544"/>
      <c r="E99" s="544"/>
      <c r="F99" s="544"/>
      <c r="G99" s="542"/>
      <c r="H99" s="542"/>
      <c r="I99" s="542"/>
    </row>
    <row r="100" spans="2:9" x14ac:dyDescent="0.2">
      <c r="B100" s="544"/>
      <c r="C100" s="544"/>
      <c r="D100" s="544"/>
      <c r="E100" s="544"/>
      <c r="F100" s="544"/>
      <c r="G100" s="542"/>
      <c r="H100" s="542"/>
      <c r="I100" s="542"/>
    </row>
    <row r="101" spans="2:9" ht="15.75" x14ac:dyDescent="0.25">
      <c r="B101" s="541" t="s">
        <v>785</v>
      </c>
      <c r="C101" s="544"/>
      <c r="D101" s="544"/>
      <c r="E101" s="544"/>
      <c r="F101" s="544"/>
      <c r="G101" s="542"/>
      <c r="H101" s="542"/>
      <c r="I101" s="542"/>
    </row>
    <row r="102" spans="2:9" ht="15.75" x14ac:dyDescent="0.25">
      <c r="B102" s="541" t="s">
        <v>786</v>
      </c>
      <c r="C102" s="544"/>
      <c r="D102" s="544"/>
      <c r="E102" s="544"/>
      <c r="F102" s="544"/>
      <c r="G102" s="542"/>
      <c r="H102" s="542"/>
      <c r="I102" s="542"/>
    </row>
    <row r="103" spans="2:9" ht="15.75" x14ac:dyDescent="0.25">
      <c r="B103" s="541" t="s">
        <v>787</v>
      </c>
      <c r="C103" s="544"/>
      <c r="D103" s="544"/>
      <c r="E103" s="544"/>
      <c r="F103" s="544"/>
      <c r="G103" s="542"/>
      <c r="H103" s="542"/>
      <c r="I103" s="542"/>
    </row>
    <row r="104" spans="2:9" ht="15.75" x14ac:dyDescent="0.25">
      <c r="B104" s="541" t="s">
        <v>788</v>
      </c>
      <c r="C104" s="544"/>
      <c r="D104" s="544"/>
      <c r="E104" s="544"/>
      <c r="F104" s="544"/>
      <c r="G104" s="542"/>
      <c r="H104" s="542"/>
      <c r="I104" s="542"/>
    </row>
    <row r="105" spans="2:9" ht="15.75" x14ac:dyDescent="0.25">
      <c r="B105" s="616" t="s">
        <v>903</v>
      </c>
      <c r="C105" s="617"/>
      <c r="D105" s="617"/>
      <c r="E105" s="617"/>
      <c r="F105" s="617"/>
      <c r="G105" s="542"/>
      <c r="H105" s="542"/>
      <c r="I105" s="542"/>
    </row>
    <row r="108" spans="2:9" x14ac:dyDescent="0.2">
      <c r="G108" s="54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5"/>
  <sheetViews>
    <sheetView topLeftCell="A81" zoomScaleNormal="100" workbookViewId="0">
      <selection activeCell="D96" sqref="D96"/>
    </sheetView>
  </sheetViews>
  <sheetFormatPr defaultColWidth="8.88671875" defaultRowHeight="15.75" x14ac:dyDescent="0.2"/>
  <cols>
    <col min="1" max="1" width="2.44140625" style="16" customWidth="1"/>
    <col min="2" max="2" width="31.109375" style="16" customWidth="1"/>
    <col min="3" max="4" width="15.77734375" style="16" customWidth="1"/>
    <col min="5" max="5" width="16.21875" style="16" customWidth="1"/>
    <col min="6" max="6" width="6.77734375" style="16" customWidth="1"/>
    <col min="7" max="7" width="8.77734375" style="16" customWidth="1"/>
    <col min="8" max="8" width="8.88671875" style="16"/>
    <col min="9" max="9" width="5" style="16" customWidth="1"/>
    <col min="10" max="10" width="7.77734375" style="16" customWidth="1"/>
    <col min="11"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c r="C3" s="185"/>
      <c r="D3" s="185"/>
      <c r="E3" s="127"/>
    </row>
    <row r="4" spans="2:5" x14ac:dyDescent="0.2">
      <c r="B4" s="34" t="s">
        <v>95</v>
      </c>
      <c r="C4" s="244"/>
      <c r="D4" s="244"/>
      <c r="E4" s="244"/>
    </row>
    <row r="5" spans="2:5" x14ac:dyDescent="0.2">
      <c r="B5" s="22" t="s">
        <v>41</v>
      </c>
      <c r="C5" s="553" t="s">
        <v>792</v>
      </c>
      <c r="D5" s="554" t="s">
        <v>793</v>
      </c>
      <c r="E5" s="135" t="s">
        <v>794</v>
      </c>
    </row>
    <row r="6" spans="2:5" x14ac:dyDescent="0.2">
      <c r="B6" s="484" t="str">
        <f>+(inputPrYr!B22)</f>
        <v>General</v>
      </c>
      <c r="C6" s="519" t="str">
        <f>CONCATENATE("Actual for ",E1-2,"")</f>
        <v>Actual for 2013</v>
      </c>
      <c r="D6" s="519" t="str">
        <f>CONCATENATE("Estimate for ",E1-1,"")</f>
        <v>Estimate for 2014</v>
      </c>
      <c r="E6" s="192" t="str">
        <f>CONCATENATE("Year for ",E1,"")</f>
        <v>Year for 2015</v>
      </c>
    </row>
    <row r="7" spans="2:5" x14ac:dyDescent="0.2">
      <c r="B7" s="100" t="s">
        <v>134</v>
      </c>
      <c r="C7" s="362">
        <v>2505574</v>
      </c>
      <c r="D7" s="363">
        <f>C82</f>
        <v>2609912</v>
      </c>
      <c r="E7" s="245">
        <f>D82</f>
        <v>1898447</v>
      </c>
    </row>
    <row r="8" spans="2:5" x14ac:dyDescent="0.2">
      <c r="B8" s="246" t="s">
        <v>136</v>
      </c>
      <c r="C8" s="364"/>
      <c r="D8" s="363"/>
      <c r="E8" s="245"/>
    </row>
    <row r="9" spans="2:5" x14ac:dyDescent="0.2">
      <c r="B9" s="100" t="s">
        <v>42</v>
      </c>
      <c r="C9" s="362">
        <v>1166777</v>
      </c>
      <c r="D9" s="364">
        <v>1418512</v>
      </c>
      <c r="E9" s="247" t="s">
        <v>30</v>
      </c>
    </row>
    <row r="10" spans="2:5" x14ac:dyDescent="0.2">
      <c r="B10" s="100" t="s">
        <v>44</v>
      </c>
      <c r="C10" s="362">
        <v>154341</v>
      </c>
      <c r="D10" s="362">
        <v>146747</v>
      </c>
      <c r="E10" s="249">
        <f>Mvalloc!D8</f>
        <v>182429.14</v>
      </c>
    </row>
    <row r="11" spans="2:5" x14ac:dyDescent="0.2">
      <c r="B11" s="100" t="s">
        <v>45</v>
      </c>
      <c r="C11" s="362">
        <v>1036</v>
      </c>
      <c r="D11" s="362">
        <v>939</v>
      </c>
      <c r="E11" s="249">
        <f>Mvalloc!E8</f>
        <v>884</v>
      </c>
    </row>
    <row r="12" spans="2:5" x14ac:dyDescent="0.2">
      <c r="B12" s="250" t="s">
        <v>91</v>
      </c>
      <c r="C12" s="362">
        <v>1175</v>
      </c>
      <c r="D12" s="362">
        <v>977</v>
      </c>
      <c r="E12" s="249">
        <f>Mvalloc!F8</f>
        <v>1017.9099999999999</v>
      </c>
    </row>
    <row r="13" spans="2:5" x14ac:dyDescent="0.2">
      <c r="B13" s="250" t="s">
        <v>1046</v>
      </c>
      <c r="C13" s="362">
        <v>1886983</v>
      </c>
      <c r="D13" s="362">
        <v>1887000</v>
      </c>
      <c r="E13" s="249">
        <v>1800000</v>
      </c>
    </row>
    <row r="14" spans="2:5" x14ac:dyDescent="0.2">
      <c r="B14" s="250" t="s">
        <v>1047</v>
      </c>
      <c r="C14" s="362">
        <v>982547</v>
      </c>
      <c r="D14" s="362">
        <v>980000</v>
      </c>
      <c r="E14" s="249">
        <v>980000</v>
      </c>
    </row>
    <row r="15" spans="2:5" x14ac:dyDescent="0.2">
      <c r="B15" s="250" t="s">
        <v>1048</v>
      </c>
      <c r="C15" s="362">
        <v>614867</v>
      </c>
      <c r="D15" s="362">
        <v>580000</v>
      </c>
      <c r="E15" s="249">
        <v>580000</v>
      </c>
    </row>
    <row r="16" spans="2:5" x14ac:dyDescent="0.2">
      <c r="B16" s="683" t="s">
        <v>1049</v>
      </c>
      <c r="C16" s="362">
        <v>688711</v>
      </c>
      <c r="D16" s="362">
        <v>764000</v>
      </c>
      <c r="E16" s="248">
        <v>715000</v>
      </c>
    </row>
    <row r="17" spans="2:5" x14ac:dyDescent="0.2">
      <c r="B17" s="251" t="s">
        <v>1050</v>
      </c>
      <c r="C17" s="362">
        <v>236433</v>
      </c>
      <c r="D17" s="362">
        <v>200000</v>
      </c>
      <c r="E17" s="248">
        <v>200000</v>
      </c>
    </row>
    <row r="18" spans="2:5" x14ac:dyDescent="0.2">
      <c r="B18" s="251" t="s">
        <v>1051</v>
      </c>
      <c r="C18" s="362">
        <v>46665</v>
      </c>
      <c r="D18" s="362">
        <v>40000</v>
      </c>
      <c r="E18" s="248">
        <v>28000</v>
      </c>
    </row>
    <row r="19" spans="2:5" x14ac:dyDescent="0.2">
      <c r="B19" s="251" t="s">
        <v>1052</v>
      </c>
      <c r="C19" s="362">
        <v>103970</v>
      </c>
      <c r="D19" s="362">
        <v>125700</v>
      </c>
      <c r="E19" s="252">
        <v>120000</v>
      </c>
    </row>
    <row r="20" spans="2:5" x14ac:dyDescent="0.2">
      <c r="B20" s="251" t="s">
        <v>82</v>
      </c>
      <c r="C20" s="362">
        <v>5683</v>
      </c>
      <c r="D20" s="362">
        <v>5700</v>
      </c>
      <c r="E20" s="248">
        <v>5700</v>
      </c>
    </row>
    <row r="21" spans="2:5" x14ac:dyDescent="0.2">
      <c r="B21" s="251" t="s">
        <v>1053</v>
      </c>
      <c r="C21" s="362">
        <v>100845</v>
      </c>
      <c r="D21" s="362">
        <v>102831</v>
      </c>
      <c r="E21" s="248">
        <v>103000</v>
      </c>
    </row>
    <row r="22" spans="2:5" x14ac:dyDescent="0.2">
      <c r="B22" s="251" t="s">
        <v>1054</v>
      </c>
      <c r="C22" s="362">
        <v>56525</v>
      </c>
      <c r="D22" s="362">
        <v>50000</v>
      </c>
      <c r="E22" s="248">
        <v>50000</v>
      </c>
    </row>
    <row r="23" spans="2:5" x14ac:dyDescent="0.2">
      <c r="B23" s="251" t="s">
        <v>1055</v>
      </c>
      <c r="C23" s="362">
        <v>80181</v>
      </c>
      <c r="D23" s="362">
        <v>61000</v>
      </c>
      <c r="E23" s="248">
        <v>61000</v>
      </c>
    </row>
    <row r="24" spans="2:5" x14ac:dyDescent="0.2">
      <c r="B24" s="251" t="s">
        <v>1056</v>
      </c>
      <c r="C24" s="362">
        <v>25841</v>
      </c>
      <c r="D24" s="362">
        <v>26217</v>
      </c>
      <c r="E24" s="248">
        <v>26500</v>
      </c>
    </row>
    <row r="25" spans="2:5" x14ac:dyDescent="0.2">
      <c r="B25" s="251" t="s">
        <v>1057</v>
      </c>
      <c r="C25" s="362">
        <v>34333</v>
      </c>
      <c r="D25" s="362">
        <v>30000</v>
      </c>
      <c r="E25" s="248">
        <v>30000</v>
      </c>
    </row>
    <row r="26" spans="2:5" x14ac:dyDescent="0.2">
      <c r="B26" s="251" t="s">
        <v>126</v>
      </c>
      <c r="C26" s="362">
        <v>71025</v>
      </c>
      <c r="D26" s="362">
        <v>66000</v>
      </c>
      <c r="E26" s="248">
        <v>66000</v>
      </c>
    </row>
    <row r="27" spans="2:5" x14ac:dyDescent="0.2">
      <c r="B27" s="251" t="s">
        <v>1058</v>
      </c>
      <c r="C27" s="362">
        <v>31650</v>
      </c>
      <c r="D27" s="362">
        <v>25000</v>
      </c>
      <c r="E27" s="248">
        <v>25000</v>
      </c>
    </row>
    <row r="28" spans="2:5" x14ac:dyDescent="0.2">
      <c r="B28" s="253" t="s">
        <v>1059</v>
      </c>
      <c r="C28" s="362">
        <v>34570</v>
      </c>
      <c r="D28" s="362">
        <v>45389</v>
      </c>
      <c r="E28" s="248">
        <v>29390</v>
      </c>
    </row>
    <row r="29" spans="2:5" x14ac:dyDescent="0.2">
      <c r="B29" s="253" t="s">
        <v>1060</v>
      </c>
      <c r="C29" s="362">
        <v>47469</v>
      </c>
      <c r="D29" s="362">
        <v>23000</v>
      </c>
      <c r="E29" s="254">
        <v>15000</v>
      </c>
    </row>
    <row r="30" spans="2:5" x14ac:dyDescent="0.2">
      <c r="B30" s="253" t="s">
        <v>1061</v>
      </c>
      <c r="C30" s="362">
        <v>33320</v>
      </c>
      <c r="D30" s="362">
        <v>26000</v>
      </c>
      <c r="E30" s="254">
        <v>26000</v>
      </c>
    </row>
    <row r="31" spans="2:5" x14ac:dyDescent="0.2">
      <c r="B31" s="253" t="s">
        <v>1062</v>
      </c>
      <c r="C31" s="362">
        <v>4959</v>
      </c>
      <c r="D31" s="362">
        <v>5000</v>
      </c>
      <c r="E31" s="254">
        <v>5000</v>
      </c>
    </row>
    <row r="32" spans="2:5" x14ac:dyDescent="0.2">
      <c r="B32" s="253" t="s">
        <v>1063</v>
      </c>
      <c r="C32" s="362">
        <v>39753</v>
      </c>
      <c r="D32" s="362">
        <v>27300</v>
      </c>
      <c r="E32" s="254">
        <v>27300</v>
      </c>
    </row>
    <row r="33" spans="2:5" x14ac:dyDescent="0.2">
      <c r="B33" s="253" t="s">
        <v>1064</v>
      </c>
      <c r="C33" s="362">
        <v>4279</v>
      </c>
      <c r="D33" s="362">
        <v>1000</v>
      </c>
      <c r="E33" s="254">
        <v>1000</v>
      </c>
    </row>
    <row r="34" spans="2:5" x14ac:dyDescent="0.2">
      <c r="B34" s="253" t="s">
        <v>236</v>
      </c>
      <c r="C34" s="362">
        <v>0</v>
      </c>
      <c r="D34" s="362">
        <v>-81268</v>
      </c>
      <c r="E34" s="254">
        <v>-81104</v>
      </c>
    </row>
    <row r="35" spans="2:5" x14ac:dyDescent="0.2">
      <c r="B35" s="253" t="s">
        <v>1065</v>
      </c>
      <c r="C35" s="362">
        <v>96100</v>
      </c>
      <c r="D35" s="362">
        <v>97460</v>
      </c>
      <c r="E35" s="254">
        <v>139500</v>
      </c>
    </row>
    <row r="36" spans="2:5" x14ac:dyDescent="0.2">
      <c r="B36" s="253" t="s">
        <v>1066</v>
      </c>
      <c r="C36" s="362">
        <v>32035</v>
      </c>
      <c r="D36" s="362">
        <v>33500</v>
      </c>
      <c r="E36" s="254">
        <v>46500</v>
      </c>
    </row>
    <row r="37" spans="2:5" x14ac:dyDescent="0.2">
      <c r="B37" s="253" t="s">
        <v>1067</v>
      </c>
      <c r="C37" s="362">
        <v>10500</v>
      </c>
      <c r="D37" s="362">
        <v>10500</v>
      </c>
      <c r="E37" s="254">
        <v>11000</v>
      </c>
    </row>
    <row r="38" spans="2:5" x14ac:dyDescent="0.2">
      <c r="B38" s="253" t="s">
        <v>1068</v>
      </c>
      <c r="C38" s="362">
        <v>54325</v>
      </c>
      <c r="D38" s="362">
        <v>56250</v>
      </c>
      <c r="E38" s="254">
        <v>60400</v>
      </c>
    </row>
    <row r="39" spans="2:5" x14ac:dyDescent="0.2">
      <c r="B39" s="253" t="s">
        <v>1069</v>
      </c>
      <c r="C39" s="362">
        <v>16785</v>
      </c>
      <c r="D39" s="362">
        <v>0</v>
      </c>
      <c r="E39" s="254">
        <v>0</v>
      </c>
    </row>
    <row r="40" spans="2:5" x14ac:dyDescent="0.2">
      <c r="B40" s="253" t="s">
        <v>1070</v>
      </c>
      <c r="C40" s="362">
        <v>725</v>
      </c>
      <c r="D40" s="362">
        <v>0</v>
      </c>
      <c r="E40" s="254">
        <v>0</v>
      </c>
    </row>
    <row r="41" spans="2:5" x14ac:dyDescent="0.2">
      <c r="B41" s="150" t="s">
        <v>127</v>
      </c>
      <c r="C41" s="362"/>
      <c r="D41" s="362"/>
      <c r="E41" s="254"/>
    </row>
    <row r="42" spans="2:5" x14ac:dyDescent="0.2">
      <c r="B42" s="150" t="s">
        <v>609</v>
      </c>
      <c r="C42" s="365" t="str">
        <f>IF(C43*0.1&lt;C41,"Exceed 10% Rule","")</f>
        <v/>
      </c>
      <c r="D42" s="365" t="str">
        <f>IF(D43*0.1&lt;D41,"Exceed 10% Rule","")</f>
        <v/>
      </c>
      <c r="E42" s="255" t="str">
        <f>IF(E43*0.1+E88&lt;E41,"Exceed 10% Rule","")</f>
        <v/>
      </c>
    </row>
    <row r="43" spans="2:5" x14ac:dyDescent="0.2">
      <c r="B43" s="256" t="s">
        <v>47</v>
      </c>
      <c r="C43" s="366">
        <f>SUM(C9:C41)</f>
        <v>6664408</v>
      </c>
      <c r="D43" s="367">
        <f>SUM(D9:D41)</f>
        <v>6754754</v>
      </c>
      <c r="E43" s="257">
        <f>SUM(E9:E41)</f>
        <v>5254517.05</v>
      </c>
    </row>
    <row r="44" spans="2:5" x14ac:dyDescent="0.2">
      <c r="B44" s="256" t="s">
        <v>48</v>
      </c>
      <c r="C44" s="367">
        <f>C7+C43</f>
        <v>9169982</v>
      </c>
      <c r="D44" s="367">
        <f>D7+D43</f>
        <v>9364666</v>
      </c>
      <c r="E44" s="258">
        <f>E7+E43</f>
        <v>7152964.0499999998</v>
      </c>
    </row>
    <row r="45" spans="2:5" x14ac:dyDescent="0.2">
      <c r="B45" s="152"/>
      <c r="C45" s="367"/>
      <c r="D45" s="367"/>
      <c r="E45" s="258"/>
    </row>
    <row r="46" spans="2:5" x14ac:dyDescent="0.2">
      <c r="B46" s="152"/>
      <c r="C46" s="367"/>
      <c r="D46" s="367"/>
      <c r="E46" s="258"/>
    </row>
    <row r="47" spans="2:5" x14ac:dyDescent="0.2">
      <c r="B47" s="152"/>
      <c r="C47" s="367"/>
      <c r="D47" s="367"/>
      <c r="E47" s="258"/>
    </row>
    <row r="48" spans="2:5" x14ac:dyDescent="0.2">
      <c r="B48" s="152"/>
      <c r="C48" s="367"/>
      <c r="D48" s="367"/>
      <c r="E48" s="258"/>
    </row>
    <row r="49" spans="2:5" x14ac:dyDescent="0.2">
      <c r="B49" s="152"/>
      <c r="C49" s="367"/>
      <c r="D49" s="367"/>
      <c r="E49" s="258"/>
    </row>
    <row r="50" spans="2:5" x14ac:dyDescent="0.2">
      <c r="B50" s="678" t="s">
        <v>1030</v>
      </c>
      <c r="C50" s="22">
        <f>IF(inputPrYr!D24&gt;0,8,7)</f>
        <v>8</v>
      </c>
      <c r="D50" s="367"/>
      <c r="E50" s="258"/>
    </row>
    <row r="51" spans="2:5" x14ac:dyDescent="0.2">
      <c r="B51" s="152"/>
      <c r="C51" s="367"/>
      <c r="D51" s="367"/>
      <c r="E51" s="258"/>
    </row>
    <row r="52" spans="2:5" x14ac:dyDescent="0.2">
      <c r="B52" s="152"/>
      <c r="C52" s="367"/>
      <c r="D52" s="367"/>
      <c r="E52" s="258"/>
    </row>
    <row r="53" spans="2:5" x14ac:dyDescent="0.2">
      <c r="B53" s="152"/>
      <c r="C53" s="367"/>
      <c r="D53" s="367"/>
      <c r="E53" s="258"/>
    </row>
    <row r="54" spans="2:5" x14ac:dyDescent="0.2">
      <c r="B54" s="34" t="s">
        <v>95</v>
      </c>
      <c r="C54" s="244"/>
      <c r="D54" s="244"/>
      <c r="E54" s="244"/>
    </row>
    <row r="55" spans="2:5" x14ac:dyDescent="0.2">
      <c r="B55" s="22" t="s">
        <v>41</v>
      </c>
      <c r="C55" s="553" t="s">
        <v>792</v>
      </c>
      <c r="D55" s="554" t="s">
        <v>793</v>
      </c>
      <c r="E55" s="135" t="s">
        <v>794</v>
      </c>
    </row>
    <row r="56" spans="2:5" x14ac:dyDescent="0.2">
      <c r="B56" s="484" t="s">
        <v>14</v>
      </c>
      <c r="C56" s="670" t="s">
        <v>1026</v>
      </c>
      <c r="D56" s="670" t="str">
        <f>CONCATENATE("Estimate for ",E50-1,"")</f>
        <v>Estimate for -1</v>
      </c>
      <c r="E56" s="192" t="str">
        <f>CONCATENATE("Year for ",E50,"")</f>
        <v xml:space="preserve">Year for </v>
      </c>
    </row>
    <row r="57" spans="2:5" x14ac:dyDescent="0.2">
      <c r="B57" s="152"/>
      <c r="C57" s="367"/>
      <c r="D57" s="367"/>
      <c r="E57" s="258"/>
    </row>
    <row r="58" spans="2:5" x14ac:dyDescent="0.2">
      <c r="B58" s="246" t="s">
        <v>49</v>
      </c>
      <c r="C58" s="364"/>
      <c r="D58" s="364"/>
      <c r="E58" s="249"/>
    </row>
    <row r="59" spans="2:5" x14ac:dyDescent="0.2">
      <c r="B59" s="259" t="str">
        <f>'general-detail'!A7</f>
        <v>Bonner Beautiful</v>
      </c>
      <c r="C59" s="362">
        <f>'general-detail'!B12</f>
        <v>5838</v>
      </c>
      <c r="D59" s="362">
        <f>'general-detail'!C12</f>
        <v>6290</v>
      </c>
      <c r="E59" s="362">
        <f>'general-detail'!D12</f>
        <v>6165</v>
      </c>
    </row>
    <row r="60" spans="2:5" x14ac:dyDescent="0.2">
      <c r="B60" s="259" t="str">
        <f>'general-detail'!A13</f>
        <v>Budget &amp; Finance</v>
      </c>
      <c r="C60" s="362">
        <f>'general-detail'!B18</f>
        <v>308379</v>
      </c>
      <c r="D60" s="362">
        <f>'general-detail'!C18</f>
        <v>323052</v>
      </c>
      <c r="E60" s="362">
        <f>'general-detail'!D18</f>
        <v>329059</v>
      </c>
    </row>
    <row r="61" spans="2:5" x14ac:dyDescent="0.2">
      <c r="B61" s="259" t="str">
        <f>'general-detail'!A19</f>
        <v>Building &amp; Codes</v>
      </c>
      <c r="C61" s="362">
        <f>'general-detail'!B24</f>
        <v>119606</v>
      </c>
      <c r="D61" s="362">
        <f>'general-detail'!C24</f>
        <v>125512</v>
      </c>
      <c r="E61" s="362">
        <f>'general-detail'!D24</f>
        <v>122193</v>
      </c>
    </row>
    <row r="62" spans="2:5" x14ac:dyDescent="0.2">
      <c r="B62" s="259" t="str">
        <f>'general-detail'!A25</f>
        <v>Cemetery</v>
      </c>
      <c r="C62" s="362">
        <f>'general-detail'!B30</f>
        <v>63737</v>
      </c>
      <c r="D62" s="362">
        <f>'general-detail'!C30</f>
        <v>71078</v>
      </c>
      <c r="E62" s="362">
        <f>'general-detail'!D30</f>
        <v>78150</v>
      </c>
    </row>
    <row r="63" spans="2:5" x14ac:dyDescent="0.2">
      <c r="B63" s="259" t="str">
        <f>'general-detail'!A31</f>
        <v>City Band</v>
      </c>
      <c r="C63" s="362">
        <f>'general-detail'!B36</f>
        <v>7590</v>
      </c>
      <c r="D63" s="362">
        <f>'general-detail'!C36</f>
        <v>8980</v>
      </c>
      <c r="E63" s="362">
        <f>'general-detail'!D36</f>
        <v>9155</v>
      </c>
    </row>
    <row r="64" spans="2:5" x14ac:dyDescent="0.2">
      <c r="B64" s="259" t="str">
        <f>'general-detail'!A37</f>
        <v>City Clerk</v>
      </c>
      <c r="C64" s="362">
        <f>'general-detail'!B42</f>
        <v>325971</v>
      </c>
      <c r="D64" s="362">
        <f>'general-detail'!C42</f>
        <v>264774</v>
      </c>
      <c r="E64" s="362">
        <f>'general-detail'!D42</f>
        <v>278819</v>
      </c>
    </row>
    <row r="65" spans="2:10" x14ac:dyDescent="0.2">
      <c r="B65" s="259" t="str">
        <f>'general-detail'!A43</f>
        <v>City Council</v>
      </c>
      <c r="C65" s="362">
        <f>'general-detail'!B48</f>
        <v>30774</v>
      </c>
      <c r="D65" s="362">
        <f>'general-detail'!C48</f>
        <v>21705</v>
      </c>
      <c r="E65" s="362">
        <f>'general-detail'!D48</f>
        <v>22880</v>
      </c>
    </row>
    <row r="66" spans="2:10" x14ac:dyDescent="0.2">
      <c r="B66" s="259" t="str">
        <f>'general-detail'!A49</f>
        <v>City Manager</v>
      </c>
      <c r="C66" s="362">
        <f>'general-detail'!B54</f>
        <v>411396</v>
      </c>
      <c r="D66" s="362">
        <f>'general-detail'!C54</f>
        <v>427180</v>
      </c>
      <c r="E66" s="362">
        <f>'general-detail'!D54</f>
        <v>522105</v>
      </c>
    </row>
    <row r="67" spans="2:10" x14ac:dyDescent="0.2">
      <c r="B67" s="259" t="str">
        <f>'general-detail'!A55</f>
        <v>Custodial</v>
      </c>
      <c r="C67" s="362">
        <f>'general-detail'!B60</f>
        <v>78428</v>
      </c>
      <c r="D67" s="362">
        <f>'general-detail'!C60</f>
        <v>86576</v>
      </c>
      <c r="E67" s="362">
        <f>'general-detail'!D60</f>
        <v>88035</v>
      </c>
    </row>
    <row r="68" spans="2:10" x14ac:dyDescent="0.2">
      <c r="B68" s="259" t="str">
        <f>'general-detail'!A70</f>
        <v>Fire</v>
      </c>
      <c r="C68" s="362">
        <f>'general-detail'!B75</f>
        <v>193657</v>
      </c>
      <c r="D68" s="362">
        <f>'general-detail'!C75</f>
        <v>212820</v>
      </c>
      <c r="E68" s="362">
        <f>'general-detail'!D75</f>
        <v>220296</v>
      </c>
    </row>
    <row r="69" spans="2:10" x14ac:dyDescent="0.2">
      <c r="B69" s="259" t="str">
        <f>'general-detail'!A76</f>
        <v>Municipal Court</v>
      </c>
      <c r="C69" s="362">
        <f>'general-detail'!B81</f>
        <v>176846</v>
      </c>
      <c r="D69" s="362">
        <f>'general-detail'!C81</f>
        <v>189370</v>
      </c>
      <c r="E69" s="362">
        <f>'general-detail'!D81</f>
        <v>193559</v>
      </c>
    </row>
    <row r="70" spans="2:10" x14ac:dyDescent="0.2">
      <c r="B70" s="259" t="str">
        <f>'general-detail'!A82</f>
        <v>Parks &amp; Recreation</v>
      </c>
      <c r="C70" s="362">
        <f>'general-detail'!B87</f>
        <v>516019</v>
      </c>
      <c r="D70" s="362">
        <f>'general-detail'!C87</f>
        <v>648645</v>
      </c>
      <c r="E70" s="362">
        <f>'general-detail'!D87</f>
        <v>743436</v>
      </c>
    </row>
    <row r="71" spans="2:10" x14ac:dyDescent="0.2">
      <c r="B71" s="259" t="str">
        <f>'general-detail'!A88</f>
        <v>Planning</v>
      </c>
      <c r="C71" s="362">
        <f>'general-detail'!B92</f>
        <v>113208</v>
      </c>
      <c r="D71" s="362">
        <f>'general-detail'!C92</f>
        <v>119938</v>
      </c>
      <c r="E71" s="362">
        <f>'general-detail'!D92</f>
        <v>114460</v>
      </c>
    </row>
    <row r="72" spans="2:10" x14ac:dyDescent="0.2">
      <c r="B72" s="259" t="str">
        <f>'general-detail'!A93</f>
        <v>Police</v>
      </c>
      <c r="C72" s="362">
        <f>'general-detail'!B98</f>
        <v>2417225</v>
      </c>
      <c r="D72" s="362">
        <f>'general-detail'!C98</f>
        <v>2634901</v>
      </c>
      <c r="E72" s="362">
        <f>'general-detail'!D98</f>
        <v>2707391</v>
      </c>
    </row>
    <row r="73" spans="2:10" x14ac:dyDescent="0.2">
      <c r="B73" s="259" t="str">
        <f>'general-detail'!A99</f>
        <v>Project Manager</v>
      </c>
      <c r="C73" s="362">
        <f>'general-detail'!B104</f>
        <v>89898</v>
      </c>
      <c r="D73" s="362">
        <f>'general-detail'!C104</f>
        <v>98299</v>
      </c>
      <c r="E73" s="362">
        <f>'general-detail'!D104</f>
        <v>108725</v>
      </c>
    </row>
    <row r="74" spans="2:10" x14ac:dyDescent="0.2">
      <c r="B74" s="259" t="str">
        <f>'general-detail'!A105</f>
        <v>Property Maintenance Codes</v>
      </c>
      <c r="C74" s="362">
        <f>'general-detail'!B109</f>
        <v>66011</v>
      </c>
      <c r="D74" s="362">
        <f>'general-detail'!C109</f>
        <v>70642</v>
      </c>
      <c r="E74" s="362">
        <f>'general-detail'!D109</f>
        <v>73355</v>
      </c>
    </row>
    <row r="75" spans="2:10" x14ac:dyDescent="0.2">
      <c r="B75" s="259" t="str">
        <f>'general-detail'!A110</f>
        <v>Public Works</v>
      </c>
      <c r="C75" s="362">
        <f>'general-detail'!B115</f>
        <v>811705</v>
      </c>
      <c r="D75" s="362">
        <f>'general-detail'!C115</f>
        <v>1007002</v>
      </c>
      <c r="E75" s="362">
        <f>'general-detail'!D115</f>
        <v>892551</v>
      </c>
    </row>
    <row r="76" spans="2:10" x14ac:dyDescent="0.2">
      <c r="B76" s="259" t="str">
        <f>'general-detail'!A116</f>
        <v>Transfers &amp; Contingencies</v>
      </c>
      <c r="C76" s="362">
        <f>'general-detail'!B120</f>
        <v>823782</v>
      </c>
      <c r="D76" s="362">
        <f>'general-detail'!C120</f>
        <v>779235</v>
      </c>
      <c r="E76" s="362">
        <f>'general-detail'!D120</f>
        <v>1168753</v>
      </c>
      <c r="G76" s="789" t="str">
        <f>CONCATENATE("Desired Carryover Into ",E1+1,"")</f>
        <v>Desired Carryover Into 2016</v>
      </c>
      <c r="H76" s="790"/>
      <c r="I76" s="790"/>
      <c r="J76" s="791"/>
    </row>
    <row r="77" spans="2:10" x14ac:dyDescent="0.2">
      <c r="B77" s="259" t="s">
        <v>18</v>
      </c>
      <c r="C77" s="362" t="s">
        <v>18</v>
      </c>
      <c r="D77" s="362" t="s">
        <v>18</v>
      </c>
      <c r="E77" s="248" t="s">
        <v>18</v>
      </c>
      <c r="G77" s="465"/>
      <c r="H77" s="449"/>
      <c r="I77" s="456"/>
      <c r="J77" s="466"/>
    </row>
    <row r="78" spans="2:10" x14ac:dyDescent="0.2">
      <c r="B78" s="150" t="s">
        <v>236</v>
      </c>
      <c r="C78" s="362"/>
      <c r="D78" s="362"/>
      <c r="E78" s="260" t="str">
        <f>nhood!E7</f>
        <v/>
      </c>
    </row>
    <row r="79" spans="2:10" x14ac:dyDescent="0.2">
      <c r="B79" s="150" t="s">
        <v>127</v>
      </c>
      <c r="C79" s="362">
        <f>'general-detail'!B121</f>
        <v>0</v>
      </c>
      <c r="D79" s="362">
        <f>'general-detail'!C122</f>
        <v>370220</v>
      </c>
      <c r="E79" s="248">
        <f>'general-detail'!D122</f>
        <v>632462</v>
      </c>
      <c r="G79" s="789" t="str">
        <f>CONCATENATE("Projected Carryover Into ",E1+1,"")</f>
        <v>Projected Carryover Into 2016</v>
      </c>
      <c r="H79" s="790"/>
      <c r="I79" s="790"/>
      <c r="J79" s="791"/>
    </row>
    <row r="80" spans="2:10" x14ac:dyDescent="0.2">
      <c r="B80" s="150" t="s">
        <v>610</v>
      </c>
      <c r="C80" s="365" t="str">
        <f>IF(C81*0.1&lt;C79,"Exceed 10% Rule","")</f>
        <v/>
      </c>
      <c r="D80" s="365" t="str">
        <f>IF(D81*0.1&lt;D79,"Exceed 10% Rule","")</f>
        <v/>
      </c>
      <c r="E80" s="255" t="str">
        <f>IF(E81*0.1&lt;E79,"Exceed 10% Rule","")</f>
        <v/>
      </c>
      <c r="G80" s="451"/>
      <c r="H80" s="449"/>
      <c r="I80" s="449"/>
      <c r="J80" s="452"/>
    </row>
    <row r="81" spans="2:11" x14ac:dyDescent="0.2">
      <c r="B81" s="256" t="s">
        <v>50</v>
      </c>
      <c r="C81" s="366">
        <f>SUM(C59:C76)</f>
        <v>6560070</v>
      </c>
      <c r="D81" s="367">
        <f>SUM(D59:D79)</f>
        <v>7466219</v>
      </c>
      <c r="E81" s="257">
        <f>SUM(E59:E79)</f>
        <v>8311549</v>
      </c>
      <c r="G81" s="453">
        <f>D82</f>
        <v>1898447</v>
      </c>
      <c r="H81" s="454" t="str">
        <f>CONCATENATE("",E1-1," Ending Cash Balance (est.)")</f>
        <v>2014 Ending Cash Balance (est.)</v>
      </c>
      <c r="I81" s="455"/>
      <c r="J81" s="452"/>
    </row>
    <row r="82" spans="2:11" x14ac:dyDescent="0.2">
      <c r="B82" s="100" t="s">
        <v>135</v>
      </c>
      <c r="C82" s="368">
        <f>C44-C81</f>
        <v>2609912</v>
      </c>
      <c r="D82" s="368">
        <f>D44-D81</f>
        <v>1898447</v>
      </c>
      <c r="E82" s="247" t="s">
        <v>30</v>
      </c>
      <c r="G82" s="453">
        <f>E43</f>
        <v>5254517.05</v>
      </c>
      <c r="H82" s="456" t="str">
        <f>CONCATENATE("",E1," Non-AV Receipts (est.)")</f>
        <v>2015 Non-AV Receipts (est.)</v>
      </c>
      <c r="I82" s="455"/>
      <c r="J82" s="452"/>
    </row>
    <row r="83" spans="2:11" x14ac:dyDescent="0.2">
      <c r="B83" s="268" t="str">
        <f>CONCATENATE("",E1-2,"/",E1-1,"/",E1," Budget Authority Amount:")</f>
        <v>2013/2014/2015 Budget Authority Amount:</v>
      </c>
      <c r="C83" s="249">
        <f>inputOth!B72</f>
        <v>7264267</v>
      </c>
      <c r="D83" s="249">
        <f>inputPrYr!D22</f>
        <v>7466219</v>
      </c>
      <c r="E83" s="148">
        <f>E81</f>
        <v>8311549</v>
      </c>
      <c r="F83" s="261"/>
      <c r="G83" s="457">
        <f>IF(E87&gt;0,E86,E88)</f>
        <v>1573803.9500000002</v>
      </c>
      <c r="H83" s="456" t="str">
        <f>CONCATENATE("",E1," Ad Valorem Tax (est.)")</f>
        <v>2015 Ad Valorem Tax (est.)</v>
      </c>
      <c r="I83" s="455"/>
      <c r="J83" s="452"/>
      <c r="K83" s="586" t="str">
        <f>IF(G83=E88,"","Note: Does not include Delinquent Taxes")</f>
        <v>Note: Does not include Delinquent Taxes</v>
      </c>
    </row>
    <row r="84" spans="2:11" x14ac:dyDescent="0.2">
      <c r="B84" s="172"/>
      <c r="C84" s="799" t="s">
        <v>689</v>
      </c>
      <c r="D84" s="800"/>
      <c r="E84" s="40">
        <v>415219</v>
      </c>
      <c r="F84" s="598" t="str">
        <f>IF(E81/0.95-E81&lt;E84,"Exceeds 5%","")</f>
        <v/>
      </c>
      <c r="G84" s="453">
        <f>SUM(G81:G83)</f>
        <v>8726768</v>
      </c>
      <c r="H84" s="456" t="str">
        <f>CONCATENATE("Total ",E1," Resources Available")</f>
        <v>Total 2015 Resources Available</v>
      </c>
      <c r="I84" s="455"/>
      <c r="J84" s="452"/>
    </row>
    <row r="85" spans="2:11" x14ac:dyDescent="0.2">
      <c r="B85" s="443" t="str">
        <f>CONCATENATE(C103,"     ",D103)</f>
        <v xml:space="preserve">     </v>
      </c>
      <c r="C85" s="801" t="s">
        <v>690</v>
      </c>
      <c r="D85" s="802"/>
      <c r="E85" s="148">
        <f>E81+E84</f>
        <v>8726768</v>
      </c>
      <c r="G85" s="458"/>
      <c r="H85" s="456"/>
      <c r="I85" s="456"/>
      <c r="J85" s="452"/>
    </row>
    <row r="86" spans="2:11" x14ac:dyDescent="0.2">
      <c r="B86" s="443" t="str">
        <f>CONCATENATE(C104,"     ",D104)</f>
        <v xml:space="preserve">     </v>
      </c>
      <c r="C86" s="262"/>
      <c r="D86" s="178" t="s">
        <v>51</v>
      </c>
      <c r="E86" s="47">
        <f>IF(E85-E44&gt;0,E85-E44,0)</f>
        <v>1573803.9500000002</v>
      </c>
      <c r="G86" s="457">
        <f>ROUND(C81*0.05+C81,0)</f>
        <v>6888074</v>
      </c>
      <c r="H86" s="456" t="str">
        <f>CONCATENATE("Less ",E1-2," Expenditures + 5%")</f>
        <v>Less 2013 Expenditures + 5%</v>
      </c>
      <c r="I86" s="455"/>
      <c r="J86" s="452"/>
    </row>
    <row r="87" spans="2:11" x14ac:dyDescent="0.2">
      <c r="B87" s="263"/>
      <c r="C87" s="428" t="s">
        <v>691</v>
      </c>
      <c r="D87" s="604">
        <f>inputOth!E58</f>
        <v>5.2631400000000002E-2</v>
      </c>
      <c r="E87" s="148">
        <f>ROUND(IF(general!D87&gt;0,(E86*general!D87),0),0)</f>
        <v>82832</v>
      </c>
      <c r="G87" s="463">
        <f>G84-G86</f>
        <v>1838694</v>
      </c>
      <c r="H87" s="459" t="str">
        <f>CONCATENATE("Projected ",E1+1," Carryover (est.)")</f>
        <v>Projected 2016 Carryover (est.)</v>
      </c>
      <c r="I87" s="460"/>
      <c r="J87" s="461"/>
    </row>
    <row r="88" spans="2:11" ht="16.5" thickBot="1" x14ac:dyDescent="0.25">
      <c r="B88" s="20"/>
      <c r="C88" s="797" t="str">
        <f>CONCATENATE("Amount of  ",$E$1-1," Ad Valorem Tax")</f>
        <v>Amount of  2014 Ad Valorem Tax</v>
      </c>
      <c r="D88" s="798"/>
      <c r="E88" s="520">
        <f>E86+E87</f>
        <v>1656635.9500000002</v>
      </c>
    </row>
    <row r="89" spans="2:11" ht="16.5" thickTop="1" x14ac:dyDescent="0.2">
      <c r="B89" s="178"/>
      <c r="C89" s="20"/>
      <c r="D89" s="20"/>
      <c r="E89" s="20"/>
      <c r="G89" s="792" t="s">
        <v>817</v>
      </c>
      <c r="H89" s="793"/>
      <c r="I89" s="793"/>
      <c r="J89" s="794"/>
    </row>
    <row r="90" spans="2:11" x14ac:dyDescent="0.2">
      <c r="B90" s="172" t="s">
        <v>53</v>
      </c>
      <c r="C90" s="16" t="s">
        <v>1031</v>
      </c>
      <c r="D90" s="20"/>
      <c r="E90" s="20"/>
      <c r="G90" s="589"/>
      <c r="H90" s="454"/>
      <c r="I90" s="590"/>
      <c r="J90" s="591"/>
    </row>
    <row r="91" spans="2:11" x14ac:dyDescent="0.2">
      <c r="G91" s="592">
        <f>summ!H17</f>
        <v>24.007000000000001</v>
      </c>
      <c r="H91" s="454" t="str">
        <f>CONCATENATE("",E1," Fund Mill Rate")</f>
        <v>2015 Fund Mill Rate</v>
      </c>
      <c r="I91" s="590"/>
      <c r="J91" s="591"/>
    </row>
    <row r="92" spans="2:11" x14ac:dyDescent="0.2">
      <c r="D92" s="795"/>
      <c r="E92" s="796"/>
      <c r="F92" s="599"/>
      <c r="G92" s="593">
        <f>summ!E17</f>
        <v>22.789000000000001</v>
      </c>
      <c r="H92" s="454" t="str">
        <f>CONCATENATE("",E1-1," Fund Mill Rate")</f>
        <v>2014 Fund Mill Rate</v>
      </c>
      <c r="I92" s="590"/>
      <c r="J92" s="591"/>
    </row>
    <row r="93" spans="2:11" x14ac:dyDescent="0.2">
      <c r="F93" s="600"/>
      <c r="G93" s="594">
        <f>summ!H50</f>
        <v>33.634</v>
      </c>
      <c r="H93" s="454" t="str">
        <f>CONCATENATE("Total ",E1," Mill Rate")</f>
        <v>Total 2015 Mill Rate</v>
      </c>
      <c r="I93" s="590"/>
      <c r="J93" s="591"/>
    </row>
    <row r="94" spans="2:11" x14ac:dyDescent="0.2">
      <c r="F94" s="600"/>
      <c r="G94" s="593">
        <f>summ!E50</f>
        <v>33.635000000000005</v>
      </c>
      <c r="H94" s="595" t="str">
        <f>CONCATENATE("Total ",E1-1," Mill Rate")</f>
        <v>Total 2014 Mill Rate</v>
      </c>
      <c r="I94" s="596"/>
      <c r="J94" s="597"/>
    </row>
    <row r="95" spans="2:11" x14ac:dyDescent="0.2">
      <c r="F95" s="128"/>
      <c r="G95" s="601"/>
      <c r="H95" s="464"/>
      <c r="I95" s="464"/>
      <c r="J95" s="602"/>
      <c r="K95" s="128"/>
    </row>
    <row r="96" spans="2:11" x14ac:dyDescent="0.2">
      <c r="F96" s="128"/>
      <c r="G96" s="650" t="s">
        <v>938</v>
      </c>
      <c r="H96" s="620"/>
      <c r="I96" s="619" t="str">
        <f>cert!F54</f>
        <v>Yes</v>
      </c>
      <c r="J96" s="603"/>
      <c r="K96" s="128"/>
    </row>
    <row r="97" spans="3:10" x14ac:dyDescent="0.2">
      <c r="G97" s="128"/>
      <c r="H97" s="128"/>
      <c r="I97" s="128"/>
      <c r="J97" s="128"/>
    </row>
    <row r="102" spans="3:10" ht="12.75" customHeight="1" x14ac:dyDescent="0.2"/>
    <row r="103" spans="3:10" ht="13.5" hidden="1" customHeight="1" x14ac:dyDescent="0.2">
      <c r="C103" s="16" t="str">
        <f>IF(C81&gt;C83,"See Tab A","")</f>
        <v/>
      </c>
      <c r="D103" s="16" t="str">
        <f>IF(D81&gt;D83,"See Tab C","")</f>
        <v/>
      </c>
    </row>
    <row r="104" spans="3:10" ht="12.75" hidden="1" customHeight="1" x14ac:dyDescent="0.2">
      <c r="C104" s="16" t="str">
        <f>IF(C82&lt;0,"See Tab B","")</f>
        <v/>
      </c>
      <c r="D104" s="16" t="str">
        <f>IF(D82&lt;0,"See Tab D","")</f>
        <v/>
      </c>
    </row>
    <row r="105" spans="3:10" hidden="1" x14ac:dyDescent="0.2"/>
  </sheetData>
  <sheetProtection sheet="1" objects="1" scenarios="1"/>
  <mergeCells count="7">
    <mergeCell ref="G76:J76"/>
    <mergeCell ref="G79:J79"/>
    <mergeCell ref="G89:J89"/>
    <mergeCell ref="D92:E92"/>
    <mergeCell ref="C88:D88"/>
    <mergeCell ref="C84:D84"/>
    <mergeCell ref="C85:D85"/>
  </mergeCells>
  <phoneticPr fontId="0" type="noConversion"/>
  <conditionalFormatting sqref="E84">
    <cfRule type="cellIs" dxfId="309" priority="2" stopIfTrue="1" operator="greaterThan">
      <formula>$E$81/0.95-$E$81</formula>
    </cfRule>
  </conditionalFormatting>
  <conditionalFormatting sqref="E79">
    <cfRule type="cellIs" dxfId="308" priority="3" stopIfTrue="1" operator="greaterThan">
      <formula>$E$81*0.1</formula>
    </cfRule>
  </conditionalFormatting>
  <conditionalFormatting sqref="D79">
    <cfRule type="cellIs" dxfId="307" priority="4" stopIfTrue="1" operator="greaterThan">
      <formula>$D$81*0.1</formula>
    </cfRule>
  </conditionalFormatting>
  <conditionalFormatting sqref="C79">
    <cfRule type="cellIs" dxfId="306" priority="5" stopIfTrue="1" operator="greaterThan">
      <formula>$C$81*0.1</formula>
    </cfRule>
  </conditionalFormatting>
  <conditionalFormatting sqref="C81">
    <cfRule type="cellIs" dxfId="305" priority="6" stopIfTrue="1" operator="greaterThan">
      <formula>$C$83</formula>
    </cfRule>
  </conditionalFormatting>
  <conditionalFormatting sqref="D81">
    <cfRule type="cellIs" dxfId="304" priority="7" stopIfTrue="1" operator="greaterThan">
      <formula>$D$83</formula>
    </cfRule>
  </conditionalFormatting>
  <conditionalFormatting sqref="C82">
    <cfRule type="cellIs" dxfId="303" priority="8" stopIfTrue="1" operator="lessThan">
      <formula>0</formula>
    </cfRule>
  </conditionalFormatting>
  <conditionalFormatting sqref="D41">
    <cfRule type="cellIs" dxfId="302" priority="9" stopIfTrue="1" operator="greaterThan">
      <formula>$D$43*0.1</formula>
    </cfRule>
  </conditionalFormatting>
  <conditionalFormatting sqref="C41">
    <cfRule type="cellIs" dxfId="301" priority="10" stopIfTrue="1" operator="greaterThan">
      <formula>$C$43*0.1</formula>
    </cfRule>
  </conditionalFormatting>
  <conditionalFormatting sqref="E41">
    <cfRule type="cellIs" dxfId="300" priority="11" stopIfTrue="1" operator="greaterThan">
      <formula>$E$43*0.1+E88</formula>
    </cfRule>
  </conditionalFormatting>
  <conditionalFormatting sqref="D82">
    <cfRule type="cellIs" dxfId="299" priority="1" stopIfTrue="1" operator="lessThan">
      <formula>0</formula>
    </cfRule>
  </conditionalFormatting>
  <printOptions horizontalCentered="1" verticalCentered="1"/>
  <pageMargins left="0.25" right="0.25" top="0.5" bottom="0.5" header="0.25" footer="0.25"/>
  <pageSetup scale="65"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8"/>
  <sheetViews>
    <sheetView topLeftCell="A49" workbookViewId="0">
      <selection activeCell="F50" sqref="F50"/>
    </sheetView>
  </sheetViews>
  <sheetFormatPr defaultColWidth="8.88671875" defaultRowHeight="15.75" x14ac:dyDescent="0.2"/>
  <cols>
    <col min="1" max="1" width="28.33203125" style="3" customWidth="1"/>
    <col min="2" max="4" width="15.77734375" style="3" customWidth="1"/>
    <col min="5" max="16384" width="8.88671875" style="3"/>
  </cols>
  <sheetData>
    <row r="1" spans="1:4" x14ac:dyDescent="0.2">
      <c r="A1" s="164" t="str">
        <f>inputPrYr!D3</f>
        <v>City of Bonner Springs</v>
      </c>
      <c r="B1" s="20"/>
      <c r="C1" s="268"/>
      <c r="D1" s="20">
        <f>inputPrYr!C10</f>
        <v>2015</v>
      </c>
    </row>
    <row r="2" spans="1:4" x14ac:dyDescent="0.2">
      <c r="A2" s="20"/>
      <c r="B2" s="20"/>
      <c r="C2" s="20"/>
      <c r="D2" s="268"/>
    </row>
    <row r="3" spans="1:4" x14ac:dyDescent="0.2">
      <c r="A3" s="34" t="s">
        <v>242</v>
      </c>
      <c r="B3" s="269"/>
      <c r="C3" s="269"/>
      <c r="D3" s="269"/>
    </row>
    <row r="4" spans="1:4" x14ac:dyDescent="0.2">
      <c r="A4" s="268" t="s">
        <v>41</v>
      </c>
      <c r="B4" s="552" t="s">
        <v>792</v>
      </c>
      <c r="C4" s="135" t="s">
        <v>793</v>
      </c>
      <c r="D4" s="135" t="s">
        <v>794</v>
      </c>
    </row>
    <row r="5" spans="1:4" x14ac:dyDescent="0.2">
      <c r="A5" s="45" t="s">
        <v>243</v>
      </c>
      <c r="B5" s="270" t="str">
        <f>CONCATENATE("Actual for ",D1-2,"")</f>
        <v>Actual for 2013</v>
      </c>
      <c r="C5" s="270" t="str">
        <f>CONCATENATE("Estimate for ",D1-1,"")</f>
        <v>Estimate for 2014</v>
      </c>
      <c r="D5" s="270" t="str">
        <f>CONCATENATE("Year for ",D1,"")</f>
        <v>Year for 2015</v>
      </c>
    </row>
    <row r="6" spans="1:4" x14ac:dyDescent="0.2">
      <c r="A6" s="212" t="s">
        <v>49</v>
      </c>
      <c r="B6" s="59"/>
      <c r="C6" s="59"/>
      <c r="D6" s="59"/>
    </row>
    <row r="7" spans="1:4" x14ac:dyDescent="0.2">
      <c r="A7" s="212" t="s">
        <v>1003</v>
      </c>
      <c r="B7" s="59"/>
      <c r="C7" s="59"/>
      <c r="D7" s="59"/>
    </row>
    <row r="8" spans="1:4" x14ac:dyDescent="0.2">
      <c r="A8" s="272" t="s">
        <v>244</v>
      </c>
      <c r="B8" s="273">
        <v>0</v>
      </c>
      <c r="C8" s="273">
        <v>0</v>
      </c>
      <c r="D8" s="273">
        <v>0</v>
      </c>
    </row>
    <row r="9" spans="1:4" x14ac:dyDescent="0.2">
      <c r="A9" s="272" t="s">
        <v>245</v>
      </c>
      <c r="B9" s="273">
        <v>2816</v>
      </c>
      <c r="C9" s="273">
        <v>2917</v>
      </c>
      <c r="D9" s="273">
        <v>2520</v>
      </c>
    </row>
    <row r="10" spans="1:4" x14ac:dyDescent="0.2">
      <c r="A10" s="272" t="s">
        <v>246</v>
      </c>
      <c r="B10" s="273">
        <v>3022</v>
      </c>
      <c r="C10" s="273">
        <v>3373</v>
      </c>
      <c r="D10" s="273">
        <v>3645</v>
      </c>
    </row>
    <row r="11" spans="1:4" x14ac:dyDescent="0.2">
      <c r="A11" s="272" t="s">
        <v>247</v>
      </c>
      <c r="B11" s="273">
        <v>0</v>
      </c>
      <c r="C11" s="273">
        <v>0</v>
      </c>
      <c r="D11" s="273">
        <v>0</v>
      </c>
    </row>
    <row r="12" spans="1:4" x14ac:dyDescent="0.2">
      <c r="A12" s="212" t="s">
        <v>17</v>
      </c>
      <c r="B12" s="274">
        <f>SUM(B8:B11)</f>
        <v>5838</v>
      </c>
      <c r="C12" s="274">
        <f>SUM(C8:C11)</f>
        <v>6290</v>
      </c>
      <c r="D12" s="274">
        <f>SUM(D8:D11)</f>
        <v>6165</v>
      </c>
    </row>
    <row r="13" spans="1:4" x14ac:dyDescent="0.2">
      <c r="A13" s="266" t="s">
        <v>1004</v>
      </c>
      <c r="B13" s="164"/>
      <c r="C13" s="164"/>
      <c r="D13" s="164"/>
    </row>
    <row r="14" spans="1:4" x14ac:dyDescent="0.2">
      <c r="A14" s="272" t="s">
        <v>244</v>
      </c>
      <c r="B14" s="273">
        <v>262511</v>
      </c>
      <c r="C14" s="273">
        <v>275487</v>
      </c>
      <c r="D14" s="273">
        <v>278514</v>
      </c>
    </row>
    <row r="15" spans="1:4" x14ac:dyDescent="0.2">
      <c r="A15" s="272" t="s">
        <v>245</v>
      </c>
      <c r="B15" s="273">
        <v>40173</v>
      </c>
      <c r="C15" s="273">
        <v>42515</v>
      </c>
      <c r="D15" s="273">
        <v>45945</v>
      </c>
    </row>
    <row r="16" spans="1:4" x14ac:dyDescent="0.2">
      <c r="A16" s="272" t="s">
        <v>246</v>
      </c>
      <c r="B16" s="273">
        <v>5695</v>
      </c>
      <c r="C16" s="273">
        <v>5050</v>
      </c>
      <c r="D16" s="273">
        <v>4600</v>
      </c>
    </row>
    <row r="17" spans="1:4" x14ac:dyDescent="0.2">
      <c r="A17" s="272" t="s">
        <v>247</v>
      </c>
      <c r="B17" s="273">
        <v>0</v>
      </c>
      <c r="C17" s="273">
        <v>0</v>
      </c>
      <c r="D17" s="273">
        <v>0</v>
      </c>
    </row>
    <row r="18" spans="1:4" x14ac:dyDescent="0.2">
      <c r="A18" s="212" t="s">
        <v>17</v>
      </c>
      <c r="B18" s="274">
        <f>SUM(B14:B17)</f>
        <v>308379</v>
      </c>
      <c r="C18" s="274">
        <f>SUM(C14:C17)</f>
        <v>323052</v>
      </c>
      <c r="D18" s="274">
        <f>SUM(D14:D17)</f>
        <v>329059</v>
      </c>
    </row>
    <row r="19" spans="1:4" x14ac:dyDescent="0.2">
      <c r="A19" s="266" t="s">
        <v>1005</v>
      </c>
      <c r="B19" s="164"/>
      <c r="C19" s="164"/>
      <c r="D19" s="164"/>
    </row>
    <row r="20" spans="1:4" x14ac:dyDescent="0.2">
      <c r="A20" s="272" t="s">
        <v>244</v>
      </c>
      <c r="B20" s="273">
        <v>112023</v>
      </c>
      <c r="C20" s="273">
        <v>118901</v>
      </c>
      <c r="D20" s="273">
        <v>115060</v>
      </c>
    </row>
    <row r="21" spans="1:4" x14ac:dyDescent="0.2">
      <c r="A21" s="272" t="s">
        <v>245</v>
      </c>
      <c r="B21" s="273">
        <v>5459</v>
      </c>
      <c r="C21" s="273">
        <v>4436</v>
      </c>
      <c r="D21" s="273">
        <v>4408</v>
      </c>
    </row>
    <row r="22" spans="1:4" x14ac:dyDescent="0.2">
      <c r="A22" s="272" t="s">
        <v>246</v>
      </c>
      <c r="B22" s="273">
        <v>2124</v>
      </c>
      <c r="C22" s="273">
        <v>2175</v>
      </c>
      <c r="D22" s="273">
        <v>2725</v>
      </c>
    </row>
    <row r="23" spans="1:4" x14ac:dyDescent="0.2">
      <c r="A23" s="272" t="s">
        <v>247</v>
      </c>
      <c r="B23" s="273">
        <v>0</v>
      </c>
      <c r="C23" s="273">
        <v>0</v>
      </c>
      <c r="D23" s="273">
        <v>0</v>
      </c>
    </row>
    <row r="24" spans="1:4" x14ac:dyDescent="0.2">
      <c r="A24" s="212" t="s">
        <v>17</v>
      </c>
      <c r="B24" s="274">
        <f>SUM(B20:B23)</f>
        <v>119606</v>
      </c>
      <c r="C24" s="274">
        <f>SUM(C20:C23)</f>
        <v>125512</v>
      </c>
      <c r="D24" s="274">
        <f>SUM(D20:D23)</f>
        <v>122193</v>
      </c>
    </row>
    <row r="25" spans="1:4" x14ac:dyDescent="0.2">
      <c r="A25" s="266" t="s">
        <v>1006</v>
      </c>
      <c r="B25" s="164"/>
      <c r="C25" s="164"/>
      <c r="D25" s="164"/>
    </row>
    <row r="26" spans="1:4" x14ac:dyDescent="0.2">
      <c r="A26" s="272" t="s">
        <v>244</v>
      </c>
      <c r="B26" s="273">
        <v>56220</v>
      </c>
      <c r="C26" s="273">
        <v>61344</v>
      </c>
      <c r="D26" s="273">
        <v>65170</v>
      </c>
    </row>
    <row r="27" spans="1:4" x14ac:dyDescent="0.2">
      <c r="A27" s="272" t="s">
        <v>245</v>
      </c>
      <c r="B27" s="273">
        <v>4929</v>
      </c>
      <c r="C27" s="273">
        <v>3709</v>
      </c>
      <c r="D27" s="273">
        <v>4815</v>
      </c>
    </row>
    <row r="28" spans="1:4" x14ac:dyDescent="0.2">
      <c r="A28" s="272" t="s">
        <v>246</v>
      </c>
      <c r="B28" s="273">
        <v>2588</v>
      </c>
      <c r="C28" s="273">
        <v>5725</v>
      </c>
      <c r="D28" s="273">
        <v>5915</v>
      </c>
    </row>
    <row r="29" spans="1:4" x14ac:dyDescent="0.2">
      <c r="A29" s="272" t="s">
        <v>247</v>
      </c>
      <c r="B29" s="273">
        <v>0</v>
      </c>
      <c r="C29" s="273">
        <v>300</v>
      </c>
      <c r="D29" s="273">
        <v>2250</v>
      </c>
    </row>
    <row r="30" spans="1:4" x14ac:dyDescent="0.2">
      <c r="A30" s="212" t="s">
        <v>17</v>
      </c>
      <c r="B30" s="274">
        <f>SUM(B26:B29)</f>
        <v>63737</v>
      </c>
      <c r="C30" s="274">
        <f>SUM(C26:C29)</f>
        <v>71078</v>
      </c>
      <c r="D30" s="274">
        <f>SUM(D26:D29)</f>
        <v>78150</v>
      </c>
    </row>
    <row r="31" spans="1:4" x14ac:dyDescent="0.2">
      <c r="A31" s="266" t="s">
        <v>1007</v>
      </c>
      <c r="B31" s="164"/>
      <c r="C31" s="164"/>
      <c r="D31" s="164"/>
    </row>
    <row r="32" spans="1:4" x14ac:dyDescent="0.2">
      <c r="A32" s="272" t="s">
        <v>244</v>
      </c>
      <c r="B32" s="273">
        <v>256</v>
      </c>
      <c r="C32" s="273">
        <v>550</v>
      </c>
      <c r="D32" s="273">
        <v>545</v>
      </c>
    </row>
    <row r="33" spans="1:4" x14ac:dyDescent="0.2">
      <c r="A33" s="272" t="s">
        <v>245</v>
      </c>
      <c r="B33" s="273">
        <v>6484</v>
      </c>
      <c r="C33" s="273">
        <v>7420</v>
      </c>
      <c r="D33" s="273">
        <v>7365</v>
      </c>
    </row>
    <row r="34" spans="1:4" x14ac:dyDescent="0.2">
      <c r="A34" s="272" t="s">
        <v>246</v>
      </c>
      <c r="B34" s="273">
        <v>850</v>
      </c>
      <c r="C34" s="273">
        <v>1010</v>
      </c>
      <c r="D34" s="273">
        <v>1245</v>
      </c>
    </row>
    <row r="35" spans="1:4" x14ac:dyDescent="0.2">
      <c r="A35" s="272" t="s">
        <v>247</v>
      </c>
      <c r="B35" s="273">
        <v>0</v>
      </c>
      <c r="C35" s="273">
        <v>0</v>
      </c>
      <c r="D35" s="273">
        <v>0</v>
      </c>
    </row>
    <row r="36" spans="1:4" x14ac:dyDescent="0.2">
      <c r="A36" s="212" t="s">
        <v>17</v>
      </c>
      <c r="B36" s="274">
        <f>SUM(B32:B35)</f>
        <v>7590</v>
      </c>
      <c r="C36" s="274">
        <f>SUM(C32:C35)</f>
        <v>8980</v>
      </c>
      <c r="D36" s="274">
        <f>SUM(D32:D35)</f>
        <v>9155</v>
      </c>
    </row>
    <row r="37" spans="1:4" x14ac:dyDescent="0.2">
      <c r="A37" s="266" t="s">
        <v>999</v>
      </c>
      <c r="B37" s="164"/>
      <c r="C37" s="164"/>
      <c r="D37" s="164"/>
    </row>
    <row r="38" spans="1:4" x14ac:dyDescent="0.2">
      <c r="A38" s="272" t="s">
        <v>244</v>
      </c>
      <c r="B38" s="273">
        <v>182144</v>
      </c>
      <c r="C38" s="273">
        <v>160415</v>
      </c>
      <c r="D38" s="273">
        <v>165434</v>
      </c>
    </row>
    <row r="39" spans="1:4" x14ac:dyDescent="0.2">
      <c r="A39" s="272" t="s">
        <v>245</v>
      </c>
      <c r="B39" s="273">
        <v>120393</v>
      </c>
      <c r="C39" s="273">
        <v>94759</v>
      </c>
      <c r="D39" s="273">
        <v>100260</v>
      </c>
    </row>
    <row r="40" spans="1:4" x14ac:dyDescent="0.2">
      <c r="A40" s="272" t="s">
        <v>246</v>
      </c>
      <c r="B40" s="273">
        <v>9281</v>
      </c>
      <c r="C40" s="273">
        <v>7400</v>
      </c>
      <c r="D40" s="273">
        <v>8625</v>
      </c>
    </row>
    <row r="41" spans="1:4" x14ac:dyDescent="0.2">
      <c r="A41" s="272" t="s">
        <v>247</v>
      </c>
      <c r="B41" s="273">
        <v>14153</v>
      </c>
      <c r="C41" s="273">
        <v>2200</v>
      </c>
      <c r="D41" s="273">
        <v>4500</v>
      </c>
    </row>
    <row r="42" spans="1:4" x14ac:dyDescent="0.2">
      <c r="A42" s="212" t="s">
        <v>17</v>
      </c>
      <c r="B42" s="274">
        <f>SUM(B38:B41)</f>
        <v>325971</v>
      </c>
      <c r="C42" s="274">
        <f>SUM(C38:C41)</f>
        <v>264774</v>
      </c>
      <c r="D42" s="274">
        <f>SUM(D38:D41)</f>
        <v>278819</v>
      </c>
    </row>
    <row r="43" spans="1:4" x14ac:dyDescent="0.2">
      <c r="A43" s="266" t="s">
        <v>1008</v>
      </c>
      <c r="B43" s="164"/>
      <c r="C43" s="164"/>
      <c r="D43" s="164"/>
    </row>
    <row r="44" spans="1:4" x14ac:dyDescent="0.2">
      <c r="A44" s="272" t="s">
        <v>244</v>
      </c>
      <c r="B44" s="273">
        <v>10085</v>
      </c>
      <c r="C44" s="273">
        <v>10130</v>
      </c>
      <c r="D44" s="273">
        <v>10085</v>
      </c>
    </row>
    <row r="45" spans="1:4" x14ac:dyDescent="0.2">
      <c r="A45" s="272" t="s">
        <v>245</v>
      </c>
      <c r="B45" s="273">
        <v>17026</v>
      </c>
      <c r="C45" s="273">
        <v>7665</v>
      </c>
      <c r="D45" s="273">
        <v>8750</v>
      </c>
    </row>
    <row r="46" spans="1:4" x14ac:dyDescent="0.2">
      <c r="A46" s="272" t="s">
        <v>246</v>
      </c>
      <c r="B46" s="273">
        <v>3663</v>
      </c>
      <c r="C46" s="273">
        <v>3910</v>
      </c>
      <c r="D46" s="273">
        <v>4045</v>
      </c>
    </row>
    <row r="47" spans="1:4" x14ac:dyDescent="0.2">
      <c r="A47" s="272" t="s">
        <v>247</v>
      </c>
      <c r="B47" s="273"/>
      <c r="C47" s="273"/>
      <c r="D47" s="273"/>
    </row>
    <row r="48" spans="1:4" x14ac:dyDescent="0.2">
      <c r="A48" s="212" t="s">
        <v>17</v>
      </c>
      <c r="B48" s="274">
        <f>SUM(B44:B47)</f>
        <v>30774</v>
      </c>
      <c r="C48" s="274">
        <f>SUM(C44:C47)</f>
        <v>21705</v>
      </c>
      <c r="D48" s="274">
        <f>SUM(D44:D47)</f>
        <v>22880</v>
      </c>
    </row>
    <row r="49" spans="1:4" x14ac:dyDescent="0.2">
      <c r="A49" s="266" t="s">
        <v>1009</v>
      </c>
      <c r="B49" s="164"/>
      <c r="C49" s="164"/>
      <c r="D49" s="164"/>
    </row>
    <row r="50" spans="1:4" x14ac:dyDescent="0.2">
      <c r="A50" s="272" t="s">
        <v>244</v>
      </c>
      <c r="B50" s="273">
        <v>372845</v>
      </c>
      <c r="C50" s="273">
        <v>375435</v>
      </c>
      <c r="D50" s="273">
        <v>446155</v>
      </c>
    </row>
    <row r="51" spans="1:4" x14ac:dyDescent="0.2">
      <c r="A51" s="272" t="s">
        <v>245</v>
      </c>
      <c r="B51" s="273">
        <v>33149</v>
      </c>
      <c r="C51" s="273">
        <v>43150</v>
      </c>
      <c r="D51" s="273">
        <v>64295</v>
      </c>
    </row>
    <row r="52" spans="1:4" x14ac:dyDescent="0.2">
      <c r="A52" s="272" t="s">
        <v>246</v>
      </c>
      <c r="B52" s="273">
        <v>5402</v>
      </c>
      <c r="C52" s="273">
        <v>8595</v>
      </c>
      <c r="D52" s="273">
        <v>9955</v>
      </c>
    </row>
    <row r="53" spans="1:4" x14ac:dyDescent="0.2">
      <c r="A53" s="272" t="s">
        <v>247</v>
      </c>
      <c r="B53" s="273">
        <v>0</v>
      </c>
      <c r="C53" s="273">
        <v>0</v>
      </c>
      <c r="D53" s="273">
        <v>1700</v>
      </c>
    </row>
    <row r="54" spans="1:4" x14ac:dyDescent="0.2">
      <c r="A54" s="212" t="s">
        <v>17</v>
      </c>
      <c r="B54" s="274">
        <f>SUM(B50:B53)</f>
        <v>411396</v>
      </c>
      <c r="C54" s="274">
        <f>SUM(C50:C53)</f>
        <v>427180</v>
      </c>
      <c r="D54" s="274">
        <f>SUM(D50:D53)</f>
        <v>522105</v>
      </c>
    </row>
    <row r="55" spans="1:4" x14ac:dyDescent="0.2">
      <c r="A55" s="266" t="s">
        <v>1010</v>
      </c>
      <c r="B55" s="164"/>
      <c r="C55" s="164"/>
      <c r="D55" s="164"/>
    </row>
    <row r="56" spans="1:4" x14ac:dyDescent="0.2">
      <c r="A56" s="272" t="s">
        <v>244</v>
      </c>
      <c r="B56" s="273">
        <v>69124</v>
      </c>
      <c r="C56" s="273">
        <v>75751</v>
      </c>
      <c r="D56" s="273">
        <v>77560</v>
      </c>
    </row>
    <row r="57" spans="1:4" x14ac:dyDescent="0.2">
      <c r="A57" s="272" t="s">
        <v>245</v>
      </c>
      <c r="B57" s="273">
        <v>313</v>
      </c>
      <c r="C57" s="273">
        <v>500</v>
      </c>
      <c r="D57" s="273">
        <v>500</v>
      </c>
    </row>
    <row r="58" spans="1:4" x14ac:dyDescent="0.2">
      <c r="A58" s="272" t="s">
        <v>246</v>
      </c>
      <c r="B58" s="273">
        <v>8676</v>
      </c>
      <c r="C58" s="273">
        <v>10125</v>
      </c>
      <c r="D58" s="273">
        <v>9775</v>
      </c>
    </row>
    <row r="59" spans="1:4" x14ac:dyDescent="0.2">
      <c r="A59" s="272" t="s">
        <v>247</v>
      </c>
      <c r="B59" s="273">
        <v>315</v>
      </c>
      <c r="C59" s="273">
        <v>200</v>
      </c>
      <c r="D59" s="273">
        <v>200</v>
      </c>
    </row>
    <row r="60" spans="1:4" x14ac:dyDescent="0.2">
      <c r="A60" s="212" t="s">
        <v>17</v>
      </c>
      <c r="B60" s="274">
        <f>SUM(B56:B59)</f>
        <v>78428</v>
      </c>
      <c r="C60" s="274">
        <f>SUM(C56:C59)</f>
        <v>86576</v>
      </c>
      <c r="D60" s="274">
        <f>SUM(D56:D59)</f>
        <v>88035</v>
      </c>
    </row>
    <row r="61" spans="1:4" x14ac:dyDescent="0.2">
      <c r="A61" s="20"/>
      <c r="B61" s="164"/>
      <c r="C61" s="164"/>
      <c r="D61" s="164"/>
    </row>
    <row r="62" spans="1:4" ht="16.5" thickBot="1" x14ac:dyDescent="0.25">
      <c r="A62" s="212" t="s">
        <v>248</v>
      </c>
      <c r="B62" s="275">
        <f>B12+B18+B24+B30+B36+B42+B48+B54+B60</f>
        <v>1351719</v>
      </c>
      <c r="C62" s="275">
        <f t="shared" ref="C62:D62" si="0">C12+C18+C24+C30+C36+C42+C48+C54+C60</f>
        <v>1335147</v>
      </c>
      <c r="D62" s="275">
        <f t="shared" si="0"/>
        <v>1456561</v>
      </c>
    </row>
    <row r="63" spans="1:4" ht="16.5" thickTop="1" x14ac:dyDescent="0.2">
      <c r="A63" s="20"/>
      <c r="B63" s="164"/>
      <c r="C63" s="164"/>
      <c r="D63" s="164"/>
    </row>
    <row r="64" spans="1:4" x14ac:dyDescent="0.2">
      <c r="A64" s="172" t="s">
        <v>53</v>
      </c>
      <c r="B64" s="164" t="s">
        <v>1243</v>
      </c>
      <c r="C64" s="164"/>
      <c r="D64" s="164"/>
    </row>
    <row r="66" spans="1:4" x14ac:dyDescent="0.2">
      <c r="A66" s="34" t="s">
        <v>242</v>
      </c>
      <c r="B66" s="269"/>
      <c r="C66" s="269"/>
      <c r="D66" s="269"/>
    </row>
    <row r="67" spans="1:4" x14ac:dyDescent="0.2">
      <c r="A67" s="268" t="s">
        <v>41</v>
      </c>
      <c r="B67" s="552" t="s">
        <v>792</v>
      </c>
      <c r="C67" s="135" t="s">
        <v>793</v>
      </c>
      <c r="D67" s="135" t="s">
        <v>794</v>
      </c>
    </row>
    <row r="68" spans="1:4" x14ac:dyDescent="0.2">
      <c r="A68" s="45" t="s">
        <v>243</v>
      </c>
      <c r="B68" s="270" t="s">
        <v>1026</v>
      </c>
      <c r="C68" s="270" t="s">
        <v>1027</v>
      </c>
      <c r="D68" s="270" t="s">
        <v>1028</v>
      </c>
    </row>
    <row r="69" spans="1:4" x14ac:dyDescent="0.2">
      <c r="A69" s="212" t="s">
        <v>49</v>
      </c>
      <c r="B69" s="59"/>
      <c r="C69" s="59"/>
      <c r="D69" s="59"/>
    </row>
    <row r="70" spans="1:4" x14ac:dyDescent="0.2">
      <c r="A70" s="271" t="s">
        <v>1011</v>
      </c>
      <c r="B70" s="59"/>
      <c r="C70" s="59"/>
      <c r="D70" s="59"/>
    </row>
    <row r="71" spans="1:4" x14ac:dyDescent="0.2">
      <c r="A71" s="272" t="s">
        <v>244</v>
      </c>
      <c r="B71" s="273">
        <v>88311</v>
      </c>
      <c r="C71" s="273">
        <v>106315</v>
      </c>
      <c r="D71" s="273">
        <v>111294</v>
      </c>
    </row>
    <row r="72" spans="1:4" x14ac:dyDescent="0.2">
      <c r="A72" s="272" t="s">
        <v>245</v>
      </c>
      <c r="B72" s="273">
        <v>76065</v>
      </c>
      <c r="C72" s="273">
        <v>75455</v>
      </c>
      <c r="D72" s="273">
        <v>77202</v>
      </c>
    </row>
    <row r="73" spans="1:4" x14ac:dyDescent="0.2">
      <c r="A73" s="272" t="s">
        <v>246</v>
      </c>
      <c r="B73" s="273">
        <v>26471</v>
      </c>
      <c r="C73" s="273">
        <v>30050</v>
      </c>
      <c r="D73" s="273">
        <v>30800</v>
      </c>
    </row>
    <row r="74" spans="1:4" x14ac:dyDescent="0.2">
      <c r="A74" s="272" t="s">
        <v>247</v>
      </c>
      <c r="B74" s="273">
        <v>2810</v>
      </c>
      <c r="C74" s="273">
        <v>1000</v>
      </c>
      <c r="D74" s="273">
        <v>1000</v>
      </c>
    </row>
    <row r="75" spans="1:4" ht="15" customHeight="1" x14ac:dyDescent="0.2">
      <c r="A75" s="212" t="s">
        <v>17</v>
      </c>
      <c r="B75" s="274">
        <f>SUM(B71:B74)</f>
        <v>193657</v>
      </c>
      <c r="C75" s="274">
        <f>SUM(C71:C74)</f>
        <v>212820</v>
      </c>
      <c r="D75" s="274">
        <f>SUM(D71:D74)</f>
        <v>220296</v>
      </c>
    </row>
    <row r="76" spans="1:4" ht="15" customHeight="1" x14ac:dyDescent="0.2">
      <c r="A76" s="266" t="s">
        <v>1012</v>
      </c>
      <c r="B76" s="164"/>
      <c r="C76" s="164"/>
      <c r="D76" s="164"/>
    </row>
    <row r="77" spans="1:4" ht="15" customHeight="1" x14ac:dyDescent="0.2">
      <c r="A77" s="272" t="s">
        <v>244</v>
      </c>
      <c r="B77" s="273">
        <v>100558</v>
      </c>
      <c r="C77" s="273">
        <v>102970</v>
      </c>
      <c r="D77" s="273">
        <v>105559</v>
      </c>
    </row>
    <row r="78" spans="1:4" x14ac:dyDescent="0.2">
      <c r="A78" s="272" t="s">
        <v>245</v>
      </c>
      <c r="B78" s="273">
        <v>75408</v>
      </c>
      <c r="C78" s="273">
        <v>86400</v>
      </c>
      <c r="D78" s="273">
        <v>86800</v>
      </c>
    </row>
    <row r="79" spans="1:4" x14ac:dyDescent="0.2">
      <c r="A79" s="272" t="s">
        <v>246</v>
      </c>
      <c r="B79" s="273">
        <v>550</v>
      </c>
      <c r="C79" s="273">
        <v>0</v>
      </c>
      <c r="D79" s="273">
        <v>200</v>
      </c>
    </row>
    <row r="80" spans="1:4" x14ac:dyDescent="0.2">
      <c r="A80" s="272" t="s">
        <v>247</v>
      </c>
      <c r="B80" s="273">
        <v>330</v>
      </c>
      <c r="C80" s="273">
        <v>0</v>
      </c>
      <c r="D80" s="273">
        <v>1000</v>
      </c>
    </row>
    <row r="81" spans="1:4" x14ac:dyDescent="0.2">
      <c r="A81" s="212" t="s">
        <v>17</v>
      </c>
      <c r="B81" s="274">
        <f>SUM(B77:B80)</f>
        <v>176846</v>
      </c>
      <c r="C81" s="274">
        <f>SUM(C77:C80)</f>
        <v>189370</v>
      </c>
      <c r="D81" s="274">
        <f>SUM(D77:D80)</f>
        <v>193559</v>
      </c>
    </row>
    <row r="82" spans="1:4" x14ac:dyDescent="0.2">
      <c r="A82" s="266" t="s">
        <v>1029</v>
      </c>
      <c r="B82" s="164"/>
      <c r="C82" s="164"/>
      <c r="D82" s="164"/>
    </row>
    <row r="83" spans="1:4" x14ac:dyDescent="0.2">
      <c r="A83" s="272" t="s">
        <v>244</v>
      </c>
      <c r="B83" s="273">
        <v>357649</v>
      </c>
      <c r="C83" s="273">
        <v>422651</v>
      </c>
      <c r="D83" s="273">
        <v>425060</v>
      </c>
    </row>
    <row r="84" spans="1:4" x14ac:dyDescent="0.2">
      <c r="A84" s="272" t="s">
        <v>245</v>
      </c>
      <c r="B84" s="273">
        <v>108978</v>
      </c>
      <c r="C84" s="273">
        <v>148294</v>
      </c>
      <c r="D84" s="273">
        <v>120326</v>
      </c>
    </row>
    <row r="85" spans="1:4" x14ac:dyDescent="0.2">
      <c r="A85" s="272" t="s">
        <v>246</v>
      </c>
      <c r="B85" s="273">
        <v>40498</v>
      </c>
      <c r="C85" s="273">
        <v>33200</v>
      </c>
      <c r="D85" s="273">
        <v>32400</v>
      </c>
    </row>
    <row r="86" spans="1:4" x14ac:dyDescent="0.2">
      <c r="A86" s="272" t="s">
        <v>247</v>
      </c>
      <c r="B86" s="273">
        <v>8894</v>
      </c>
      <c r="C86" s="273">
        <v>44500</v>
      </c>
      <c r="D86" s="273">
        <v>165650</v>
      </c>
    </row>
    <row r="87" spans="1:4" x14ac:dyDescent="0.2">
      <c r="A87" s="212" t="s">
        <v>17</v>
      </c>
      <c r="B87" s="274">
        <f>SUM(B83:B86)</f>
        <v>516019</v>
      </c>
      <c r="C87" s="274">
        <f t="shared" ref="C87:D87" si="1">SUM(C83:C86)</f>
        <v>648645</v>
      </c>
      <c r="D87" s="274">
        <f t="shared" si="1"/>
        <v>743436</v>
      </c>
    </row>
    <row r="88" spans="1:4" x14ac:dyDescent="0.2">
      <c r="A88" s="266" t="s">
        <v>1013</v>
      </c>
      <c r="B88" s="164"/>
      <c r="C88" s="164"/>
      <c r="D88" s="164"/>
    </row>
    <row r="89" spans="1:4" x14ac:dyDescent="0.2">
      <c r="A89" s="272" t="s">
        <v>244</v>
      </c>
      <c r="B89" s="273">
        <v>102585</v>
      </c>
      <c r="C89" s="273">
        <v>108957</v>
      </c>
      <c r="D89" s="273">
        <v>103207</v>
      </c>
    </row>
    <row r="90" spans="1:4" x14ac:dyDescent="0.2">
      <c r="A90" s="272" t="s">
        <v>245</v>
      </c>
      <c r="B90" s="273">
        <v>8858</v>
      </c>
      <c r="C90" s="273">
        <v>8781</v>
      </c>
      <c r="D90" s="273">
        <v>9353</v>
      </c>
    </row>
    <row r="91" spans="1:4" x14ac:dyDescent="0.2">
      <c r="A91" s="272" t="s">
        <v>246</v>
      </c>
      <c r="B91" s="273">
        <v>1765</v>
      </c>
      <c r="C91" s="273">
        <v>2200</v>
      </c>
      <c r="D91" s="273">
        <v>1900</v>
      </c>
    </row>
    <row r="92" spans="1:4" x14ac:dyDescent="0.2">
      <c r="A92" s="212" t="s">
        <v>17</v>
      </c>
      <c r="B92" s="274">
        <f>SUM(B89:B91)</f>
        <v>113208</v>
      </c>
      <c r="C92" s="274">
        <f>SUM(C89:C91)</f>
        <v>119938</v>
      </c>
      <c r="D92" s="274">
        <f>SUM(D89:D91)</f>
        <v>114460</v>
      </c>
    </row>
    <row r="93" spans="1:4" x14ac:dyDescent="0.2">
      <c r="A93" s="266" t="s">
        <v>1014</v>
      </c>
      <c r="B93" s="164"/>
      <c r="C93" s="164"/>
      <c r="D93" s="164"/>
    </row>
    <row r="94" spans="1:4" x14ac:dyDescent="0.2">
      <c r="A94" s="272" t="s">
        <v>244</v>
      </c>
      <c r="B94" s="273">
        <v>2048611</v>
      </c>
      <c r="C94" s="273">
        <v>2303581</v>
      </c>
      <c r="D94" s="273">
        <v>2338760</v>
      </c>
    </row>
    <row r="95" spans="1:4" x14ac:dyDescent="0.2">
      <c r="A95" s="272" t="s">
        <v>245</v>
      </c>
      <c r="B95" s="273">
        <v>253898</v>
      </c>
      <c r="C95" s="273">
        <v>221320</v>
      </c>
      <c r="D95" s="273">
        <v>259131</v>
      </c>
    </row>
    <row r="96" spans="1:4" x14ac:dyDescent="0.2">
      <c r="A96" s="272" t="s">
        <v>246</v>
      </c>
      <c r="B96" s="273">
        <v>113808</v>
      </c>
      <c r="C96" s="273">
        <v>110000</v>
      </c>
      <c r="D96" s="273">
        <v>109500</v>
      </c>
    </row>
    <row r="97" spans="1:4" x14ac:dyDescent="0.2">
      <c r="A97" s="272" t="s">
        <v>247</v>
      </c>
      <c r="B97" s="273">
        <v>908</v>
      </c>
      <c r="C97" s="273">
        <v>0</v>
      </c>
      <c r="D97" s="273">
        <v>0</v>
      </c>
    </row>
    <row r="98" spans="1:4" x14ac:dyDescent="0.2">
      <c r="A98" s="212" t="s">
        <v>17</v>
      </c>
      <c r="B98" s="274">
        <f>SUM(B94:B97)</f>
        <v>2417225</v>
      </c>
      <c r="C98" s="274">
        <f>SUM(C94:C97)</f>
        <v>2634901</v>
      </c>
      <c r="D98" s="274">
        <f>SUM(D94:D97)</f>
        <v>2707391</v>
      </c>
    </row>
    <row r="99" spans="1:4" x14ac:dyDescent="0.2">
      <c r="A99" s="266" t="s">
        <v>1015</v>
      </c>
      <c r="B99" s="164"/>
      <c r="C99" s="164"/>
      <c r="D99" s="164"/>
    </row>
    <row r="100" spans="1:4" x14ac:dyDescent="0.2">
      <c r="A100" s="272" t="s">
        <v>244</v>
      </c>
      <c r="B100" s="273">
        <v>82876</v>
      </c>
      <c r="C100" s="273">
        <v>86912</v>
      </c>
      <c r="D100" s="273">
        <v>97337</v>
      </c>
    </row>
    <row r="101" spans="1:4" x14ac:dyDescent="0.2">
      <c r="A101" s="272" t="s">
        <v>245</v>
      </c>
      <c r="B101" s="273">
        <v>6398</v>
      </c>
      <c r="C101" s="273">
        <v>9407</v>
      </c>
      <c r="D101" s="273">
        <v>9408</v>
      </c>
    </row>
    <row r="102" spans="1:4" x14ac:dyDescent="0.2">
      <c r="A102" s="272" t="s">
        <v>246</v>
      </c>
      <c r="B102" s="273">
        <v>392</v>
      </c>
      <c r="C102" s="273">
        <v>1980</v>
      </c>
      <c r="D102" s="273">
        <v>1980</v>
      </c>
    </row>
    <row r="103" spans="1:4" x14ac:dyDescent="0.2">
      <c r="A103" s="272" t="s">
        <v>247</v>
      </c>
      <c r="B103" s="273">
        <v>232</v>
      </c>
      <c r="C103" s="273">
        <v>0</v>
      </c>
      <c r="D103" s="273">
        <v>0</v>
      </c>
    </row>
    <row r="104" spans="1:4" x14ac:dyDescent="0.2">
      <c r="A104" s="212" t="s">
        <v>17</v>
      </c>
      <c r="B104" s="274">
        <f>SUM(B100:B103)</f>
        <v>89898</v>
      </c>
      <c r="C104" s="274">
        <f>SUM(C100:C103)</f>
        <v>98299</v>
      </c>
      <c r="D104" s="274">
        <f>SUM(D100:D103)</f>
        <v>108725</v>
      </c>
    </row>
    <row r="105" spans="1:4" x14ac:dyDescent="0.2">
      <c r="A105" s="266" t="s">
        <v>1016</v>
      </c>
      <c r="B105" s="164"/>
      <c r="C105" s="164"/>
      <c r="D105" s="164"/>
    </row>
    <row r="106" spans="1:4" x14ac:dyDescent="0.2">
      <c r="A106" s="272" t="s">
        <v>244</v>
      </c>
      <c r="B106" s="273">
        <v>57822</v>
      </c>
      <c r="C106" s="273">
        <v>60981</v>
      </c>
      <c r="D106" s="273">
        <v>63702</v>
      </c>
    </row>
    <row r="107" spans="1:4" x14ac:dyDescent="0.2">
      <c r="A107" s="272" t="s">
        <v>245</v>
      </c>
      <c r="B107" s="273">
        <v>6646</v>
      </c>
      <c r="C107" s="273">
        <v>7461</v>
      </c>
      <c r="D107" s="273">
        <v>7293</v>
      </c>
    </row>
    <row r="108" spans="1:4" x14ac:dyDescent="0.2">
      <c r="A108" s="272" t="s">
        <v>246</v>
      </c>
      <c r="B108" s="273">
        <v>1543</v>
      </c>
      <c r="C108" s="273">
        <v>2200</v>
      </c>
      <c r="D108" s="273">
        <v>2360</v>
      </c>
    </row>
    <row r="109" spans="1:4" x14ac:dyDescent="0.2">
      <c r="A109" s="212" t="s">
        <v>17</v>
      </c>
      <c r="B109" s="274">
        <f>SUM(B106:B108)</f>
        <v>66011</v>
      </c>
      <c r="C109" s="274">
        <f>SUM(C106:C108)</f>
        <v>70642</v>
      </c>
      <c r="D109" s="274">
        <f>SUM(D106:D108)</f>
        <v>73355</v>
      </c>
    </row>
    <row r="110" spans="1:4" x14ac:dyDescent="0.2">
      <c r="A110" s="266" t="s">
        <v>1017</v>
      </c>
      <c r="B110" s="164"/>
      <c r="C110" s="164"/>
      <c r="D110" s="164"/>
    </row>
    <row r="111" spans="1:4" x14ac:dyDescent="0.2">
      <c r="A111" s="272" t="s">
        <v>244</v>
      </c>
      <c r="B111" s="273">
        <v>506556</v>
      </c>
      <c r="C111" s="273">
        <v>560126</v>
      </c>
      <c r="D111" s="273">
        <v>582639</v>
      </c>
    </row>
    <row r="112" spans="1:4" x14ac:dyDescent="0.2">
      <c r="A112" s="272" t="s">
        <v>245</v>
      </c>
      <c r="B112" s="273">
        <v>89018</v>
      </c>
      <c r="C112" s="273">
        <v>81303</v>
      </c>
      <c r="D112" s="273">
        <v>86662</v>
      </c>
    </row>
    <row r="113" spans="1:4" x14ac:dyDescent="0.2">
      <c r="A113" s="272" t="s">
        <v>246</v>
      </c>
      <c r="B113" s="273">
        <v>108178</v>
      </c>
      <c r="C113" s="273">
        <v>165000</v>
      </c>
      <c r="D113" s="273">
        <v>158000</v>
      </c>
    </row>
    <row r="114" spans="1:4" x14ac:dyDescent="0.2">
      <c r="A114" s="272" t="s">
        <v>247</v>
      </c>
      <c r="B114" s="273">
        <v>107953</v>
      </c>
      <c r="C114" s="273">
        <v>200573</v>
      </c>
      <c r="D114" s="273">
        <v>65250</v>
      </c>
    </row>
    <row r="115" spans="1:4" x14ac:dyDescent="0.2">
      <c r="A115" s="212" t="s">
        <v>17</v>
      </c>
      <c r="B115" s="274">
        <f>SUM(B111:B114)</f>
        <v>811705</v>
      </c>
      <c r="C115" s="274">
        <f>SUM(C111:C114)</f>
        <v>1007002</v>
      </c>
      <c r="D115" s="274">
        <f>SUM(D111:D114)</f>
        <v>892551</v>
      </c>
    </row>
    <row r="116" spans="1:4" x14ac:dyDescent="0.2">
      <c r="A116" s="266" t="s">
        <v>1018</v>
      </c>
      <c r="B116" s="164"/>
      <c r="C116" s="164"/>
      <c r="D116" s="164"/>
    </row>
    <row r="117" spans="1:4" x14ac:dyDescent="0.2">
      <c r="A117" s="272" t="s">
        <v>1019</v>
      </c>
      <c r="B117" s="273">
        <v>0</v>
      </c>
      <c r="C117" s="273">
        <v>0</v>
      </c>
      <c r="D117" s="273">
        <v>30000</v>
      </c>
    </row>
    <row r="118" spans="1:4" x14ac:dyDescent="0.2">
      <c r="A118" s="272" t="s">
        <v>1020</v>
      </c>
      <c r="B118" s="273">
        <v>11033</v>
      </c>
      <c r="C118" s="273">
        <v>4000</v>
      </c>
      <c r="D118" s="273">
        <v>40000</v>
      </c>
    </row>
    <row r="119" spans="1:4" x14ac:dyDescent="0.2">
      <c r="A119" s="272" t="s">
        <v>1021</v>
      </c>
      <c r="B119" s="273">
        <v>812749</v>
      </c>
      <c r="C119" s="273">
        <v>775235</v>
      </c>
      <c r="D119" s="273">
        <v>1098753</v>
      </c>
    </row>
    <row r="120" spans="1:4" x14ac:dyDescent="0.2">
      <c r="A120" s="212" t="s">
        <v>17</v>
      </c>
      <c r="B120" s="274">
        <f>SUM(B116:B119)</f>
        <v>823782</v>
      </c>
      <c r="C120" s="274">
        <f t="shared" ref="C120:D120" si="2">SUM(C116:C119)</f>
        <v>779235</v>
      </c>
      <c r="D120" s="274">
        <f t="shared" si="2"/>
        <v>1168753</v>
      </c>
    </row>
    <row r="121" spans="1:4" x14ac:dyDescent="0.2">
      <c r="A121" s="272" t="s">
        <v>1022</v>
      </c>
      <c r="B121" s="273">
        <v>0</v>
      </c>
      <c r="C121" s="273">
        <v>370220</v>
      </c>
      <c r="D121" s="273">
        <v>632462</v>
      </c>
    </row>
    <row r="122" spans="1:4" x14ac:dyDescent="0.2">
      <c r="A122" s="212" t="s">
        <v>17</v>
      </c>
      <c r="B122" s="274">
        <f>B121</f>
        <v>0</v>
      </c>
      <c r="C122" s="274">
        <f t="shared" ref="C122:D122" si="3">C121</f>
        <v>370220</v>
      </c>
      <c r="D122" s="274">
        <f t="shared" si="3"/>
        <v>632462</v>
      </c>
    </row>
    <row r="123" spans="1:4" x14ac:dyDescent="0.2">
      <c r="A123" s="272" t="s">
        <v>18</v>
      </c>
      <c r="B123" s="273" t="s">
        <v>18</v>
      </c>
      <c r="C123" s="273" t="s">
        <v>18</v>
      </c>
      <c r="D123" s="273" t="s">
        <v>18</v>
      </c>
    </row>
    <row r="124" spans="1:4" x14ac:dyDescent="0.2">
      <c r="A124" s="212" t="s">
        <v>1023</v>
      </c>
      <c r="B124" s="274">
        <f>B62</f>
        <v>1351719</v>
      </c>
      <c r="C124" s="274">
        <f t="shared" ref="C124:D124" si="4">C62</f>
        <v>1335147</v>
      </c>
      <c r="D124" s="274">
        <f t="shared" si="4"/>
        <v>1456561</v>
      </c>
    </row>
    <row r="125" spans="1:4" ht="16.5" thickBot="1" x14ac:dyDescent="0.25">
      <c r="A125" s="20" t="s">
        <v>1024</v>
      </c>
      <c r="B125" s="275">
        <f>B75+B81+B87+B92+B98+B104+B109+B115+B120+B122</f>
        <v>5208351</v>
      </c>
      <c r="C125" s="275">
        <f t="shared" ref="C125" si="5">C75+C81+C87+C92+C98+C104+C109+C115+C120+C122</f>
        <v>6131072</v>
      </c>
      <c r="D125" s="275">
        <f>D75+D81+D87+D92+D98+D104+D109+D115+D120+D122</f>
        <v>6854988</v>
      </c>
    </row>
    <row r="126" spans="1:4" ht="17.25" thickTop="1" thickBot="1" x14ac:dyDescent="0.25">
      <c r="A126" s="212" t="s">
        <v>1025</v>
      </c>
      <c r="B126" s="275">
        <f>B124+B125</f>
        <v>6560070</v>
      </c>
      <c r="C126" s="275">
        <f t="shared" ref="C126:D126" si="6">C124+C125</f>
        <v>7466219</v>
      </c>
      <c r="D126" s="275">
        <f t="shared" si="6"/>
        <v>8311549</v>
      </c>
    </row>
    <row r="127" spans="1:4" ht="16.5" thickTop="1" x14ac:dyDescent="0.2">
      <c r="A127" s="20"/>
      <c r="B127" s="164"/>
      <c r="C127" s="164"/>
      <c r="D127" s="164"/>
    </row>
    <row r="128" spans="1:4" x14ac:dyDescent="0.2">
      <c r="A128" s="672" t="s">
        <v>53</v>
      </c>
      <c r="B128" s="164" t="s">
        <v>1032</v>
      </c>
      <c r="C128" s="164"/>
      <c r="D128" s="164"/>
    </row>
  </sheetData>
  <sheetProtection sheet="1" objects="1" scenarios="1"/>
  <phoneticPr fontId="10" type="noConversion"/>
  <pageMargins left="0.75" right="0.75" top="1" bottom="1" header="0.5" footer="0.5"/>
  <pageSetup scale="31"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6"/>
  <sheetViews>
    <sheetView workbookViewId="0">
      <selection activeCell="F3" sqref="F3"/>
    </sheetView>
  </sheetViews>
  <sheetFormatPr defaultColWidth="8.88671875" defaultRowHeight="15.75" x14ac:dyDescent="0.2"/>
  <cols>
    <col min="1" max="1" width="2.44140625" style="16" customWidth="1"/>
    <col min="2" max="2" width="31.109375" style="16" customWidth="1"/>
    <col min="3" max="4" width="15.77734375" style="16" customWidth="1"/>
    <col min="5" max="5" width="16.109375" style="16" customWidth="1"/>
    <col min="6" max="6" width="8.109375" style="16" customWidth="1"/>
    <col min="7" max="7" width="10.21875" style="16" customWidth="1"/>
    <col min="8" max="8" width="8.88671875" style="16"/>
    <col min="9" max="9" width="5" style="16" customWidth="1"/>
    <col min="10" max="10" width="10" style="16" customWidth="1"/>
    <col min="11" max="16384" width="8.88671875" style="16"/>
  </cols>
  <sheetData>
    <row r="1" spans="2:10" x14ac:dyDescent="0.2">
      <c r="B1" s="164" t="str">
        <f>(inputPrYr!D3)</f>
        <v>City of Bonner Springs</v>
      </c>
      <c r="C1" s="20"/>
      <c r="D1" s="20"/>
      <c r="E1" s="125">
        <f>inputPrYr!$C$10</f>
        <v>2015</v>
      </c>
    </row>
    <row r="2" spans="2:10" x14ac:dyDescent="0.2">
      <c r="B2" s="34" t="s">
        <v>95</v>
      </c>
      <c r="C2" s="185"/>
      <c r="D2" s="185"/>
      <c r="E2" s="127"/>
    </row>
    <row r="3" spans="2:10" x14ac:dyDescent="0.2">
      <c r="B3" s="22" t="s">
        <v>41</v>
      </c>
      <c r="C3" s="553" t="s">
        <v>792</v>
      </c>
      <c r="D3" s="554" t="s">
        <v>793</v>
      </c>
      <c r="E3" s="135" t="s">
        <v>794</v>
      </c>
    </row>
    <row r="4" spans="2:10" x14ac:dyDescent="0.2">
      <c r="B4" s="484" t="str">
        <f>+(inputPrYr!B23)</f>
        <v>Debt Service</v>
      </c>
      <c r="C4" s="519" t="str">
        <f>CONCATENATE("Actual for ",E1-2,"")</f>
        <v>Actual for 2013</v>
      </c>
      <c r="D4" s="519" t="str">
        <f>CONCATENATE("Estimate for ",E1-1,"")</f>
        <v>Estimate for 2014</v>
      </c>
      <c r="E4" s="192" t="str">
        <f>CONCATENATE("Year for ",E1,"")</f>
        <v>Year for 2015</v>
      </c>
    </row>
    <row r="5" spans="2:10" x14ac:dyDescent="0.2">
      <c r="B5" s="100" t="s">
        <v>134</v>
      </c>
      <c r="C5" s="362">
        <v>326169</v>
      </c>
      <c r="D5" s="363">
        <f>C36</f>
        <v>365518</v>
      </c>
      <c r="E5" s="245">
        <f>D36</f>
        <v>224390</v>
      </c>
    </row>
    <row r="6" spans="2:10" x14ac:dyDescent="0.2">
      <c r="B6" s="246" t="s">
        <v>136</v>
      </c>
      <c r="C6" s="364"/>
      <c r="D6" s="363"/>
      <c r="E6" s="245"/>
      <c r="G6" s="715" t="str">
        <f>CONCATENATE("Desired Carryover Into ",E1+1,"")</f>
        <v>Desired Carryover Into 2016</v>
      </c>
      <c r="H6" s="716"/>
      <c r="I6" s="716"/>
      <c r="J6" s="717"/>
    </row>
    <row r="7" spans="2:10" x14ac:dyDescent="0.2">
      <c r="B7" s="100" t="s">
        <v>42</v>
      </c>
      <c r="C7" s="369">
        <v>430640</v>
      </c>
      <c r="D7" s="364">
        <v>353911</v>
      </c>
      <c r="E7" s="247" t="s">
        <v>30</v>
      </c>
      <c r="G7" s="465"/>
      <c r="H7" s="449"/>
      <c r="I7" s="456"/>
      <c r="J7" s="466"/>
    </row>
    <row r="8" spans="2:10" x14ac:dyDescent="0.2">
      <c r="B8" s="100" t="s">
        <v>43</v>
      </c>
      <c r="C8" s="369">
        <v>17067</v>
      </c>
      <c r="D8" s="369">
        <v>0</v>
      </c>
      <c r="E8" s="248">
        <v>0</v>
      </c>
      <c r="G8" s="462" t="s">
        <v>699</v>
      </c>
      <c r="H8" s="456"/>
      <c r="I8" s="456"/>
      <c r="J8" s="450">
        <v>0</v>
      </c>
    </row>
    <row r="9" spans="2:10" x14ac:dyDescent="0.2">
      <c r="B9" s="100" t="s">
        <v>44</v>
      </c>
      <c r="C9" s="369">
        <v>56295</v>
      </c>
      <c r="D9" s="369">
        <v>56433</v>
      </c>
      <c r="E9" s="249">
        <f>Mvalloc!D9</f>
        <v>45515</v>
      </c>
      <c r="G9" s="465" t="s">
        <v>700</v>
      </c>
      <c r="H9" s="449"/>
      <c r="I9" s="449"/>
      <c r="J9" s="577" t="str">
        <f>IF(J8=0,"",ROUND((J8+E42-G20)/inputOth!B14*1000,3)-G25)</f>
        <v/>
      </c>
    </row>
    <row r="10" spans="2:10" x14ac:dyDescent="0.2">
      <c r="B10" s="100" t="s">
        <v>45</v>
      </c>
      <c r="C10" s="369">
        <v>374</v>
      </c>
      <c r="D10" s="369">
        <v>361</v>
      </c>
      <c r="E10" s="249">
        <f>Mvalloc!E9</f>
        <v>220</v>
      </c>
      <c r="G10" s="578" t="str">
        <f>CONCATENATE("",E1," Tot Exp/Non-Appr Must Be:")</f>
        <v>2015 Tot Exp/Non-Appr Must Be:</v>
      </c>
      <c r="H10" s="521"/>
      <c r="I10" s="579"/>
      <c r="J10" s="580">
        <f>IF(J8&gt;0,IF(E39&lt;E27,IF(J8=G20,E39,((J8-G20)*(1-D41))+E27),E39+(J8-G20)),0)</f>
        <v>0</v>
      </c>
    </row>
    <row r="11" spans="2:10" x14ac:dyDescent="0.2">
      <c r="B11" s="250" t="s">
        <v>91</v>
      </c>
      <c r="C11" s="369">
        <v>397</v>
      </c>
      <c r="D11" s="369">
        <v>375</v>
      </c>
      <c r="E11" s="249">
        <f>Mvalloc!F9</f>
        <v>254</v>
      </c>
      <c r="G11" s="581" t="s">
        <v>816</v>
      </c>
      <c r="H11" s="582"/>
      <c r="I11" s="582"/>
      <c r="J11" s="583">
        <f>IF(J8&gt;0,J10-E39,0)</f>
        <v>0</v>
      </c>
    </row>
    <row r="12" spans="2:10" x14ac:dyDescent="0.2">
      <c r="B12" s="683" t="s">
        <v>1132</v>
      </c>
      <c r="C12" s="369">
        <v>13295</v>
      </c>
      <c r="D12" s="369">
        <v>11324</v>
      </c>
      <c r="E12" s="248">
        <v>5482</v>
      </c>
      <c r="G12" s="715" t="str">
        <f>CONCATENATE("Projected Carryover Into ",E1+1,"")</f>
        <v>Projected Carryover Into 2016</v>
      </c>
      <c r="H12" s="718"/>
      <c r="I12" s="718"/>
      <c r="J12" s="719"/>
    </row>
    <row r="13" spans="2:10" x14ac:dyDescent="0.2">
      <c r="B13" s="251" t="s">
        <v>236</v>
      </c>
      <c r="C13" s="369">
        <v>0</v>
      </c>
      <c r="D13" s="369">
        <v>-20276</v>
      </c>
      <c r="E13" s="248">
        <v>-15129</v>
      </c>
      <c r="G13" s="465"/>
      <c r="H13" s="456"/>
      <c r="I13" s="456"/>
      <c r="J13" s="585"/>
    </row>
    <row r="14" spans="2:10" x14ac:dyDescent="0.2">
      <c r="B14" s="251" t="s">
        <v>1137</v>
      </c>
      <c r="C14" s="369">
        <v>189824</v>
      </c>
      <c r="D14" s="369">
        <v>125000</v>
      </c>
      <c r="E14" s="248">
        <v>125000</v>
      </c>
      <c r="G14" s="453">
        <f>D36</f>
        <v>224390</v>
      </c>
      <c r="H14" s="454" t="str">
        <f>CONCATENATE("",E1-1," Ending Cash Balance (est.)")</f>
        <v>2014 Ending Cash Balance (est.)</v>
      </c>
      <c r="I14" s="455"/>
      <c r="J14" s="585"/>
    </row>
    <row r="15" spans="2:10" x14ac:dyDescent="0.2">
      <c r="B15" s="251" t="s">
        <v>82</v>
      </c>
      <c r="C15" s="369">
        <v>1631</v>
      </c>
      <c r="D15" s="369">
        <v>1300</v>
      </c>
      <c r="E15" s="248">
        <v>1300</v>
      </c>
      <c r="G15" s="453">
        <f>E26</f>
        <v>1847400</v>
      </c>
      <c r="H15" s="456" t="str">
        <f>CONCATENATE("",E1," Non-AV Receipts (est.)")</f>
        <v>2015 Non-AV Receipts (est.)</v>
      </c>
      <c r="I15" s="455"/>
      <c r="J15" s="585"/>
    </row>
    <row r="16" spans="2:10" x14ac:dyDescent="0.2">
      <c r="B16" s="251" t="s">
        <v>1138</v>
      </c>
      <c r="C16" s="369">
        <v>523705</v>
      </c>
      <c r="D16" s="369">
        <v>566169</v>
      </c>
      <c r="E16" s="248">
        <v>589461</v>
      </c>
      <c r="G16" s="457">
        <f>IF(D41&gt;0,E40,E42)</f>
        <v>293578</v>
      </c>
      <c r="H16" s="456" t="str">
        <f>CONCATENATE("",E1," Ad Valorem Tax (est.)")</f>
        <v>2015 Ad Valorem Tax (est.)</v>
      </c>
      <c r="I16" s="455"/>
      <c r="J16" s="585"/>
    </row>
    <row r="17" spans="2:11" x14ac:dyDescent="0.2">
      <c r="B17" s="251" t="s">
        <v>1139</v>
      </c>
      <c r="C17" s="369">
        <v>313001</v>
      </c>
      <c r="D17" s="369">
        <v>371257</v>
      </c>
      <c r="E17" s="248">
        <v>387799</v>
      </c>
      <c r="G17" s="453">
        <f>SUM(G14:G16)</f>
        <v>2365368</v>
      </c>
      <c r="H17" s="456" t="str">
        <f>CONCATENATE("Total ",E1," Resources Available")</f>
        <v>Total 2015 Resources Available</v>
      </c>
      <c r="I17" s="455"/>
      <c r="J17" s="585"/>
    </row>
    <row r="18" spans="2:11" x14ac:dyDescent="0.2">
      <c r="B18" s="251" t="s">
        <v>1140</v>
      </c>
      <c r="C18" s="369">
        <v>387471</v>
      </c>
      <c r="D18" s="369">
        <v>837280</v>
      </c>
      <c r="E18" s="248">
        <v>423825</v>
      </c>
      <c r="G18" s="458"/>
      <c r="H18" s="456"/>
      <c r="I18" s="456"/>
      <c r="J18" s="585"/>
    </row>
    <row r="19" spans="2:11" x14ac:dyDescent="0.2">
      <c r="B19" s="251" t="s">
        <v>1141</v>
      </c>
      <c r="C19" s="369">
        <v>49060</v>
      </c>
      <c r="D19" s="369">
        <v>0</v>
      </c>
      <c r="E19" s="248">
        <v>0</v>
      </c>
      <c r="G19" s="457">
        <f>ROUND(C35*0.05+C35,0)</f>
        <v>3716551</v>
      </c>
      <c r="H19" s="456" t="str">
        <f>CONCATENATE("Less ",E1-2," Expenditures + 5%")</f>
        <v>Less 2013 Expenditures + 5%</v>
      </c>
      <c r="I19" s="455"/>
      <c r="J19" s="585"/>
    </row>
    <row r="20" spans="2:11" x14ac:dyDescent="0.25">
      <c r="B20" s="251" t="s">
        <v>1142</v>
      </c>
      <c r="C20" s="369">
        <v>13614</v>
      </c>
      <c r="D20" s="369">
        <v>0</v>
      </c>
      <c r="E20" s="248">
        <v>0</v>
      </c>
      <c r="G20" s="587">
        <f>G17-G19</f>
        <v>-1351183</v>
      </c>
      <c r="H20" s="468" t="str">
        <f>CONCATENATE("Projected ",E1+1," carryover (est.)")</f>
        <v>Projected 2016 carryover (est.)</v>
      </c>
      <c r="I20" s="460"/>
      <c r="J20" s="588"/>
    </row>
    <row r="21" spans="2:11" x14ac:dyDescent="0.2">
      <c r="B21" s="251" t="s">
        <v>1143</v>
      </c>
      <c r="C21" s="369">
        <v>19743</v>
      </c>
      <c r="D21" s="369">
        <v>19828</v>
      </c>
      <c r="E21" s="248">
        <v>19851</v>
      </c>
    </row>
    <row r="22" spans="2:11" x14ac:dyDescent="0.2">
      <c r="B22" s="251" t="s">
        <v>1144</v>
      </c>
      <c r="C22" s="369">
        <v>268044</v>
      </c>
      <c r="D22" s="369">
        <v>268501</v>
      </c>
      <c r="E22" s="248">
        <v>263822</v>
      </c>
      <c r="G22" s="792" t="s">
        <v>817</v>
      </c>
      <c r="H22" s="793"/>
      <c r="I22" s="793"/>
      <c r="J22" s="794"/>
    </row>
    <row r="23" spans="2:11" x14ac:dyDescent="0.2">
      <c r="B23" s="251" t="s">
        <v>1145</v>
      </c>
      <c r="C23" s="369">
        <v>1294760</v>
      </c>
      <c r="D23" s="369">
        <v>0</v>
      </c>
      <c r="E23" s="248">
        <v>0</v>
      </c>
      <c r="G23" s="589"/>
      <c r="H23" s="454"/>
      <c r="I23" s="590"/>
      <c r="J23" s="591"/>
    </row>
    <row r="24" spans="2:11" x14ac:dyDescent="0.2">
      <c r="B24" s="150" t="s">
        <v>127</v>
      </c>
      <c r="C24" s="369"/>
      <c r="D24" s="369"/>
      <c r="E24" s="248"/>
      <c r="G24" s="592">
        <f>summ!H18</f>
        <v>4.4779999999999998</v>
      </c>
      <c r="H24" s="454" t="str">
        <f>CONCATENATE("",E1," Fund Mill Rate")</f>
        <v>2015 Fund Mill Rate</v>
      </c>
      <c r="I24" s="590"/>
      <c r="J24" s="591"/>
    </row>
    <row r="25" spans="2:11" x14ac:dyDescent="0.2">
      <c r="B25" s="150" t="s">
        <v>609</v>
      </c>
      <c r="C25" s="365" t="str">
        <f>IF(C26*0.1&lt;C24,"Exceed 10% Rule","")</f>
        <v/>
      </c>
      <c r="D25" s="365" t="str">
        <f>IF(D26*0.1&lt;D24,"Exceed 10% Rule","")</f>
        <v/>
      </c>
      <c r="E25" s="255" t="str">
        <f>IF(E26*0.1+E42&lt;E24,"Exceed 10% Rule","")</f>
        <v/>
      </c>
      <c r="G25" s="593">
        <f>summ!E18</f>
        <v>5.6859999999999999</v>
      </c>
      <c r="H25" s="454" t="str">
        <f>CONCATENATE("",E1-1," Fund Mill Rate")</f>
        <v>2014 Fund Mill Rate</v>
      </c>
      <c r="I25" s="590"/>
      <c r="J25" s="591"/>
    </row>
    <row r="26" spans="2:11" x14ac:dyDescent="0.2">
      <c r="B26" s="256" t="s">
        <v>47</v>
      </c>
      <c r="C26" s="366">
        <f>SUM(C7:C24)</f>
        <v>3578921</v>
      </c>
      <c r="D26" s="367">
        <f>SUM(D7:D24)</f>
        <v>2591463</v>
      </c>
      <c r="E26" s="257">
        <f>SUM(E7:E24)</f>
        <v>1847400</v>
      </c>
      <c r="G26" s="594">
        <f>summ!H50</f>
        <v>33.634</v>
      </c>
      <c r="H26" s="454" t="str">
        <f>CONCATENATE("Total ",E1," Mill Rate")</f>
        <v>Total 2015 Mill Rate</v>
      </c>
      <c r="I26" s="590"/>
      <c r="J26" s="591"/>
    </row>
    <row r="27" spans="2:11" x14ac:dyDescent="0.2">
      <c r="B27" s="256" t="s">
        <v>48</v>
      </c>
      <c r="C27" s="367">
        <f>C5+C26</f>
        <v>3905090</v>
      </c>
      <c r="D27" s="367">
        <f>D5+D26</f>
        <v>2956981</v>
      </c>
      <c r="E27" s="258">
        <f>E5+E26</f>
        <v>2071790</v>
      </c>
      <c r="G27" s="593">
        <f>summ!E50</f>
        <v>33.635000000000005</v>
      </c>
      <c r="H27" s="595" t="str">
        <f>CONCATENATE("Total ",E1-1," Mill Rate")</f>
        <v>Total 2014 Mill Rate</v>
      </c>
      <c r="I27" s="596"/>
      <c r="J27" s="597"/>
    </row>
    <row r="28" spans="2:11" x14ac:dyDescent="0.2">
      <c r="B28" s="246" t="s">
        <v>49</v>
      </c>
      <c r="C28" s="364"/>
      <c r="D28" s="364"/>
      <c r="E28" s="249"/>
      <c r="K28" s="586" t="str">
        <f>IF(G16=E42,"","Note: Does not include Delinquent Taxes")</f>
        <v>Note: Does not include Delinquent Taxes</v>
      </c>
    </row>
    <row r="29" spans="2:11" x14ac:dyDescent="0.2">
      <c r="B29" s="259" t="s">
        <v>1135</v>
      </c>
      <c r="C29" s="369">
        <v>2825000</v>
      </c>
      <c r="D29" s="369">
        <v>2069552</v>
      </c>
      <c r="E29" s="248">
        <v>1618150</v>
      </c>
      <c r="G29" s="651" t="s">
        <v>938</v>
      </c>
      <c r="H29" s="622"/>
      <c r="I29" s="621" t="str">
        <f>cert!F54</f>
        <v>Yes</v>
      </c>
    </row>
    <row r="30" spans="2:11" x14ac:dyDescent="0.2">
      <c r="B30" s="259" t="s">
        <v>1136</v>
      </c>
      <c r="C30" s="369">
        <v>714572</v>
      </c>
      <c r="D30" s="369">
        <v>591733</v>
      </c>
      <c r="E30" s="248">
        <v>579168</v>
      </c>
    </row>
    <row r="31" spans="2:11" x14ac:dyDescent="0.2">
      <c r="B31" s="259" t="s">
        <v>1146</v>
      </c>
      <c r="C31" s="369">
        <v>0</v>
      </c>
      <c r="D31" s="369">
        <v>71306</v>
      </c>
      <c r="E31" s="248">
        <v>0</v>
      </c>
    </row>
    <row r="32" spans="2:11" x14ac:dyDescent="0.2">
      <c r="B32" s="259"/>
      <c r="C32" s="369"/>
      <c r="D32" s="369"/>
      <c r="E32" s="248"/>
    </row>
    <row r="33" spans="2:10" x14ac:dyDescent="0.2">
      <c r="B33" s="150" t="s">
        <v>1147</v>
      </c>
      <c r="C33" s="369">
        <v>0</v>
      </c>
      <c r="D33" s="369">
        <v>0</v>
      </c>
      <c r="E33" s="248">
        <v>50000</v>
      </c>
    </row>
    <row r="34" spans="2:10" x14ac:dyDescent="0.2">
      <c r="B34" s="150" t="s">
        <v>610</v>
      </c>
      <c r="C34" s="365" t="str">
        <f>IF(C35*0.1&lt;C33,"Exceed 10% Rule","")</f>
        <v/>
      </c>
      <c r="D34" s="365" t="str">
        <f>IF(D35*0.1&lt;D33,"Exceed 10% Rule","")</f>
        <v/>
      </c>
      <c r="E34" s="255" t="str">
        <f>IF(E35*0.1&lt;E33,"Exceed 10% Rule","")</f>
        <v/>
      </c>
    </row>
    <row r="35" spans="2:10" x14ac:dyDescent="0.2">
      <c r="B35" s="256" t="s">
        <v>50</v>
      </c>
      <c r="C35" s="366">
        <f>SUM(C29:C33)</f>
        <v>3539572</v>
      </c>
      <c r="D35" s="367">
        <f>SUM(D29:D33)</f>
        <v>2732591</v>
      </c>
      <c r="E35" s="257">
        <f>SUM(E29:E33)</f>
        <v>2247318</v>
      </c>
    </row>
    <row r="36" spans="2:10" x14ac:dyDescent="0.2">
      <c r="B36" s="100" t="s">
        <v>135</v>
      </c>
      <c r="C36" s="368">
        <f>C27-C35</f>
        <v>365518</v>
      </c>
      <c r="D36" s="368">
        <f>D27-D35</f>
        <v>224390</v>
      </c>
      <c r="E36" s="247" t="s">
        <v>30</v>
      </c>
    </row>
    <row r="37" spans="2:10" x14ac:dyDescent="0.2">
      <c r="B37" s="268" t="str">
        <f>CONCATENATE("",E1-2,"/",E1-1,"/",E1," Budget Authority Amount:")</f>
        <v>2013/2014/2015 Budget Authority Amount:</v>
      </c>
      <c r="C37" s="249">
        <f>inputOth!B73</f>
        <v>3576632</v>
      </c>
      <c r="D37" s="249">
        <f>inputPrYr!D23</f>
        <v>3293392</v>
      </c>
      <c r="E37" s="148">
        <f>E35</f>
        <v>2247318</v>
      </c>
      <c r="F37" s="261"/>
    </row>
    <row r="38" spans="2:10" x14ac:dyDescent="0.2">
      <c r="B38" s="172"/>
      <c r="C38" s="799" t="s">
        <v>689</v>
      </c>
      <c r="D38" s="800"/>
      <c r="E38" s="40">
        <v>118050</v>
      </c>
      <c r="F38" s="614" t="str">
        <f>IF(E35/0.95-E35&lt;E38,"Exceeds 5%","")</f>
        <v/>
      </c>
    </row>
    <row r="39" spans="2:10" x14ac:dyDescent="0.2">
      <c r="B39" s="443" t="str">
        <f>CONCATENATE(C83,"     ",D83)</f>
        <v xml:space="preserve">     </v>
      </c>
      <c r="C39" s="801" t="s">
        <v>690</v>
      </c>
      <c r="D39" s="802"/>
      <c r="E39" s="148">
        <f>E35+E38</f>
        <v>2365368</v>
      </c>
    </row>
    <row r="40" spans="2:10" x14ac:dyDescent="0.2">
      <c r="B40" s="443" t="str">
        <f>CONCATENATE(C84,"     ",D84)</f>
        <v xml:space="preserve">     </v>
      </c>
      <c r="C40" s="262"/>
      <c r="D40" s="178" t="s">
        <v>51</v>
      </c>
      <c r="E40" s="47">
        <f>IF(E39-E27&gt;0,E39-E27,0)</f>
        <v>293578</v>
      </c>
    </row>
    <row r="41" spans="2:10" x14ac:dyDescent="0.2">
      <c r="B41" s="178"/>
      <c r="C41" s="428" t="s">
        <v>691</v>
      </c>
      <c r="D41" s="604">
        <f>inputOth!$E$58</f>
        <v>5.2631400000000002E-2</v>
      </c>
      <c r="E41" s="148">
        <f>ROUND(IF(D41&gt;0,(E40*D41),0),0)</f>
        <v>15451</v>
      </c>
    </row>
    <row r="42" spans="2:10" ht="16.5" thickBot="1" x14ac:dyDescent="0.3">
      <c r="B42" s="20"/>
      <c r="C42" s="797" t="str">
        <f>CONCATENATE("Amount of  ",$E$1-1," Ad Valorem Tax")</f>
        <v>Amount of  2014 Ad Valorem Tax</v>
      </c>
      <c r="D42" s="798"/>
      <c r="E42" s="520">
        <f>E40+E41</f>
        <v>309029</v>
      </c>
      <c r="G42" s="584"/>
      <c r="H42" s="584"/>
      <c r="I42" s="584"/>
      <c r="J42" s="584"/>
    </row>
    <row r="43" spans="2:10" ht="16.5" thickTop="1" x14ac:dyDescent="0.2">
      <c r="B43" s="22"/>
      <c r="C43" s="244"/>
      <c r="D43" s="244"/>
      <c r="E43" s="244"/>
    </row>
    <row r="44" spans="2:10" x14ac:dyDescent="0.2">
      <c r="B44" s="22" t="s">
        <v>41</v>
      </c>
      <c r="C44" s="491" t="str">
        <f t="shared" ref="C44:E45" si="0">C3</f>
        <v xml:space="preserve">Prior Year </v>
      </c>
      <c r="D44" s="492" t="str">
        <f t="shared" si="0"/>
        <v xml:space="preserve">Current Year </v>
      </c>
      <c r="E44" s="313" t="str">
        <f t="shared" si="0"/>
        <v xml:space="preserve">Proposed Budget </v>
      </c>
    </row>
    <row r="45" spans="2:10" x14ac:dyDescent="0.2">
      <c r="B45" s="484" t="str">
        <f>inputPrYr!B24</f>
        <v>Library</v>
      </c>
      <c r="C45" s="519" t="str">
        <f t="shared" si="0"/>
        <v>Actual for 2013</v>
      </c>
      <c r="D45" s="519" t="str">
        <f t="shared" si="0"/>
        <v>Estimate for 2014</v>
      </c>
      <c r="E45" s="192" t="str">
        <f t="shared" si="0"/>
        <v>Year for 2015</v>
      </c>
    </row>
    <row r="46" spans="2:10" x14ac:dyDescent="0.2">
      <c r="B46" s="100" t="s">
        <v>134</v>
      </c>
      <c r="C46" s="369">
        <v>0</v>
      </c>
      <c r="D46" s="370">
        <f>C65</f>
        <v>0</v>
      </c>
      <c r="E46" s="148">
        <f>D65</f>
        <v>0</v>
      </c>
    </row>
    <row r="47" spans="2:10" x14ac:dyDescent="0.2">
      <c r="B47" s="246" t="s">
        <v>136</v>
      </c>
      <c r="C47" s="370"/>
      <c r="D47" s="370"/>
      <c r="E47" s="148"/>
    </row>
    <row r="48" spans="2:10" x14ac:dyDescent="0.2">
      <c r="B48" s="100" t="s">
        <v>42</v>
      </c>
      <c r="C48" s="369">
        <f>310316-11600</f>
        <v>298716</v>
      </c>
      <c r="D48" s="370">
        <v>321210</v>
      </c>
      <c r="E48" s="247" t="s">
        <v>30</v>
      </c>
    </row>
    <row r="49" spans="2:10" x14ac:dyDescent="0.2">
      <c r="B49" s="100" t="s">
        <v>43</v>
      </c>
      <c r="C49" s="369">
        <v>11600</v>
      </c>
      <c r="D49" s="369">
        <v>0</v>
      </c>
      <c r="E49" s="40">
        <v>0</v>
      </c>
    </row>
    <row r="50" spans="2:10" x14ac:dyDescent="0.2">
      <c r="B50" s="100" t="s">
        <v>44</v>
      </c>
      <c r="C50" s="369">
        <v>38768</v>
      </c>
      <c r="D50" s="369">
        <v>39152</v>
      </c>
      <c r="E50" s="148">
        <f>Mvalloc!D10</f>
        <v>41310</v>
      </c>
    </row>
    <row r="51" spans="2:10" x14ac:dyDescent="0.2">
      <c r="B51" s="100" t="s">
        <v>45</v>
      </c>
      <c r="C51" s="369">
        <v>258</v>
      </c>
      <c r="D51" s="369">
        <v>260</v>
      </c>
      <c r="E51" s="148">
        <f>Mvalloc!E10</f>
        <v>200</v>
      </c>
    </row>
    <row r="52" spans="2:10" x14ac:dyDescent="0.2">
      <c r="B52" s="150" t="s">
        <v>91</v>
      </c>
      <c r="C52" s="369">
        <v>273</v>
      </c>
      <c r="D52" s="369">
        <v>250</v>
      </c>
      <c r="E52" s="148">
        <f>Mvalloc!F10</f>
        <v>230</v>
      </c>
    </row>
    <row r="53" spans="2:10" x14ac:dyDescent="0.2">
      <c r="B53" s="683" t="s">
        <v>1132</v>
      </c>
      <c r="C53" s="369">
        <v>9224</v>
      </c>
      <c r="D53" s="369">
        <v>10278</v>
      </c>
      <c r="E53" s="248">
        <v>6304</v>
      </c>
    </row>
    <row r="54" spans="2:10" x14ac:dyDescent="0.2">
      <c r="B54" s="259" t="s">
        <v>236</v>
      </c>
      <c r="C54" s="369">
        <v>0</v>
      </c>
      <c r="D54" s="369">
        <v>-18402</v>
      </c>
      <c r="E54" s="40">
        <v>-17395</v>
      </c>
    </row>
    <row r="55" spans="2:10" x14ac:dyDescent="0.2">
      <c r="B55" s="259" t="s">
        <v>1133</v>
      </c>
      <c r="C55" s="369">
        <v>3462</v>
      </c>
      <c r="D55" s="369">
        <v>0</v>
      </c>
      <c r="E55" s="40">
        <v>0</v>
      </c>
    </row>
    <row r="56" spans="2:10" x14ac:dyDescent="0.2">
      <c r="B56" s="150" t="s">
        <v>127</v>
      </c>
      <c r="C56" s="369">
        <v>0</v>
      </c>
      <c r="D56" s="369">
        <v>20000</v>
      </c>
      <c r="E56" s="40">
        <v>20000</v>
      </c>
    </row>
    <row r="57" spans="2:10" x14ac:dyDescent="0.2">
      <c r="B57" s="150" t="s">
        <v>609</v>
      </c>
      <c r="C57" s="365" t="str">
        <f>IF(C58*0.1&lt;C56,"Exceed 10% Rule","")</f>
        <v/>
      </c>
      <c r="D57" s="365" t="str">
        <f>IF(D58*0.1&lt;D56,"Exceed 10% Rule","")</f>
        <v/>
      </c>
      <c r="E57" s="255" t="str">
        <f>IF(E58*0.1+E71&lt;E56,"Exceed 10% Rule","")</f>
        <v/>
      </c>
    </row>
    <row r="58" spans="2:10" x14ac:dyDescent="0.2">
      <c r="B58" s="256" t="s">
        <v>47</v>
      </c>
      <c r="C58" s="371">
        <f>SUM(C48:C56)</f>
        <v>362301</v>
      </c>
      <c r="D58" s="371">
        <f>SUM(D48:D56)</f>
        <v>372748</v>
      </c>
      <c r="E58" s="279">
        <f>SUM(E48:E56)</f>
        <v>50649</v>
      </c>
    </row>
    <row r="59" spans="2:10" x14ac:dyDescent="0.2">
      <c r="B59" s="256" t="s">
        <v>48</v>
      </c>
      <c r="C59" s="371">
        <f>C46+C58</f>
        <v>362301</v>
      </c>
      <c r="D59" s="371">
        <f>D46+D58</f>
        <v>372748</v>
      </c>
      <c r="E59" s="279">
        <f>E46+E58</f>
        <v>50649</v>
      </c>
    </row>
    <row r="60" spans="2:10" x14ac:dyDescent="0.2">
      <c r="B60" s="100" t="s">
        <v>49</v>
      </c>
      <c r="C60" s="370"/>
      <c r="D60" s="370"/>
      <c r="E60" s="148"/>
    </row>
    <row r="61" spans="2:10" x14ac:dyDescent="0.2">
      <c r="B61" s="259" t="s">
        <v>1134</v>
      </c>
      <c r="C61" s="369">
        <v>362301</v>
      </c>
      <c r="D61" s="369">
        <v>352748</v>
      </c>
      <c r="E61" s="40">
        <v>368200</v>
      </c>
    </row>
    <row r="62" spans="2:10" x14ac:dyDescent="0.2">
      <c r="B62" s="150" t="s">
        <v>127</v>
      </c>
      <c r="C62" s="369">
        <v>0</v>
      </c>
      <c r="D62" s="369">
        <v>20000</v>
      </c>
      <c r="E62" s="40">
        <v>20000</v>
      </c>
      <c r="G62" s="789" t="str">
        <f>CONCATENATE("Projected Carryover Into ",E1+1,"")</f>
        <v>Projected Carryover Into 2016</v>
      </c>
      <c r="H62" s="803"/>
      <c r="I62" s="803"/>
      <c r="J62" s="804"/>
    </row>
    <row r="63" spans="2:10" x14ac:dyDescent="0.2">
      <c r="B63" s="150" t="s">
        <v>610</v>
      </c>
      <c r="C63" s="365" t="str">
        <f>IF(C64*0.1&lt;C62,"Exceed 10% Rule","")</f>
        <v/>
      </c>
      <c r="D63" s="365" t="str">
        <f>IF(D64*0.1&lt;D62,"Exceed 10% Rule","")</f>
        <v/>
      </c>
      <c r="E63" s="255" t="str">
        <f>IF(E64*0.1&lt;E62,"Exceed 10% Rule","")</f>
        <v/>
      </c>
      <c r="G63" s="451"/>
      <c r="H63" s="449"/>
      <c r="I63" s="449"/>
      <c r="J63" s="585"/>
    </row>
    <row r="64" spans="2:10" x14ac:dyDescent="0.2">
      <c r="B64" s="256" t="s">
        <v>50</v>
      </c>
      <c r="C64" s="371">
        <f>SUM(C61:C62)</f>
        <v>362301</v>
      </c>
      <c r="D64" s="371">
        <f>SUM(D61:D62)</f>
        <v>372748</v>
      </c>
      <c r="E64" s="279">
        <f>SUM(E61:E62)</f>
        <v>388200</v>
      </c>
      <c r="G64" s="453">
        <f>D65</f>
        <v>0</v>
      </c>
      <c r="H64" s="454" t="str">
        <f>CONCATENATE("",E1-1," Ending Cash Balance (est.)")</f>
        <v>2014 Ending Cash Balance (est.)</v>
      </c>
      <c r="I64" s="455"/>
      <c r="J64" s="585"/>
    </row>
    <row r="65" spans="2:11" x14ac:dyDescent="0.2">
      <c r="B65" s="100" t="s">
        <v>135</v>
      </c>
      <c r="C65" s="372">
        <f>C59-C64</f>
        <v>0</v>
      </c>
      <c r="D65" s="372">
        <f>D59-D64</f>
        <v>0</v>
      </c>
      <c r="E65" s="247" t="s">
        <v>30</v>
      </c>
      <c r="G65" s="453">
        <f>E58</f>
        <v>50649</v>
      </c>
      <c r="H65" s="456" t="str">
        <f>CONCATENATE("",E1," Non-AV Receipts (est.)")</f>
        <v>2015 Non-AV Receipts (est.)</v>
      </c>
      <c r="I65" s="455"/>
      <c r="J65" s="585"/>
    </row>
    <row r="66" spans="2:11" x14ac:dyDescent="0.2">
      <c r="B66" s="268" t="str">
        <f>CONCATENATE("",E1-2,"/",E1-1,"/",E1," Budget Authority Amount:")</f>
        <v>2013/2014/2015 Budget Authority Amount:</v>
      </c>
      <c r="C66" s="249">
        <f>inputOth!B74</f>
        <v>363331</v>
      </c>
      <c r="D66" s="249">
        <f>inputPrYr!D24</f>
        <v>372748</v>
      </c>
      <c r="E66" s="148">
        <f>E64</f>
        <v>388200</v>
      </c>
      <c r="F66" s="261"/>
      <c r="G66" s="457">
        <f>IF(D70&gt;0,E69,E71)</f>
        <v>337551</v>
      </c>
      <c r="H66" s="456" t="str">
        <f>CONCATENATE("",E1," Ad Valorem Tax (est.)")</f>
        <v>2015 Ad Valorem Tax (est.)</v>
      </c>
      <c r="I66" s="455"/>
      <c r="J66" s="585"/>
      <c r="K66" s="586" t="str">
        <f>IF(G66=E71,"","Note: Does not include Delinquent Taxes")</f>
        <v>Note: Does not include Delinquent Taxes</v>
      </c>
    </row>
    <row r="67" spans="2:11" x14ac:dyDescent="0.2">
      <c r="B67" s="172"/>
      <c r="C67" s="799" t="s">
        <v>689</v>
      </c>
      <c r="D67" s="800"/>
      <c r="E67" s="40">
        <v>0</v>
      </c>
      <c r="F67" s="614" t="str">
        <f>IF(E64/0.95-E64&lt;E67,"Exceeds 5%","")</f>
        <v/>
      </c>
      <c r="G67" s="469">
        <f>SUM(G64:G66)</f>
        <v>388200</v>
      </c>
      <c r="H67" s="456" t="str">
        <f>CONCATENATE("Total ",E1," Resources Available")</f>
        <v>Total 2015 Resources Available</v>
      </c>
      <c r="I67" s="452"/>
      <c r="J67" s="585"/>
    </row>
    <row r="68" spans="2:11" x14ac:dyDescent="0.2">
      <c r="B68" s="443" t="str">
        <f>CONCATENATE(C85,"     ",D85)</f>
        <v xml:space="preserve">     </v>
      </c>
      <c r="C68" s="801" t="s">
        <v>690</v>
      </c>
      <c r="D68" s="802"/>
      <c r="E68" s="148">
        <f>E64+E67</f>
        <v>388200</v>
      </c>
      <c r="G68" s="472"/>
      <c r="H68" s="470"/>
      <c r="I68" s="449"/>
      <c r="J68" s="585"/>
    </row>
    <row r="69" spans="2:11" x14ac:dyDescent="0.2">
      <c r="B69" s="443" t="str">
        <f>CONCATENATE(C86,"     ",D86)</f>
        <v xml:space="preserve">     </v>
      </c>
      <c r="C69" s="262"/>
      <c r="D69" s="178" t="s">
        <v>51</v>
      </c>
      <c r="E69" s="47">
        <f>IF(E68-E59&gt;0,E68-E59,0)</f>
        <v>337551</v>
      </c>
      <c r="G69" s="471">
        <f>ROUND(C64*0.05+C64,0)</f>
        <v>380416</v>
      </c>
      <c r="H69" s="470" t="str">
        <f>CONCATENATE("Less ",E1-2," Expenditures + 5%")</f>
        <v>Less 2013 Expenditures + 5%</v>
      </c>
      <c r="I69" s="452"/>
      <c r="J69" s="585"/>
    </row>
    <row r="70" spans="2:11" x14ac:dyDescent="0.25">
      <c r="B70" s="178"/>
      <c r="C70" s="428" t="s">
        <v>691</v>
      </c>
      <c r="D70" s="604">
        <f>inputOth!$E$58</f>
        <v>5.2631400000000002E-2</v>
      </c>
      <c r="E70" s="148">
        <f>ROUND(IF(D70&gt;0,(E69*D70),0),0)</f>
        <v>17766</v>
      </c>
      <c r="G70" s="473">
        <f>G67-G69</f>
        <v>7784</v>
      </c>
      <c r="H70" s="474" t="str">
        <f>CONCATENATE("Projected ",E1+1," carryover (est.)")</f>
        <v>Projected 2016 carryover (est.)</v>
      </c>
      <c r="I70" s="461"/>
      <c r="J70" s="588"/>
    </row>
    <row r="71" spans="2:11" ht="16.5" thickBot="1" x14ac:dyDescent="0.3">
      <c r="B71" s="20"/>
      <c r="C71" s="797" t="str">
        <f>CONCATENATE("Amount of  ",$E$1-1," Ad Valorem Tax")</f>
        <v>Amount of  2014 Ad Valorem Tax</v>
      </c>
      <c r="D71" s="798"/>
      <c r="E71" s="520">
        <f>E69+E70</f>
        <v>355317</v>
      </c>
      <c r="G71" s="584"/>
      <c r="H71" s="584"/>
      <c r="I71" s="584"/>
    </row>
    <row r="72" spans="2:11" ht="16.5" thickTop="1" x14ac:dyDescent="0.2">
      <c r="B72" s="172" t="s">
        <v>53</v>
      </c>
      <c r="C72" s="266">
        <v>9</v>
      </c>
      <c r="D72" s="267"/>
      <c r="E72" s="20"/>
      <c r="G72" s="792" t="s">
        <v>817</v>
      </c>
      <c r="H72" s="793"/>
      <c r="I72" s="793"/>
      <c r="J72" s="794"/>
    </row>
    <row r="73" spans="2:11" x14ac:dyDescent="0.2">
      <c r="G73" s="589"/>
      <c r="H73" s="454"/>
      <c r="I73" s="590"/>
      <c r="J73" s="591"/>
    </row>
    <row r="74" spans="2:11" x14ac:dyDescent="0.2">
      <c r="G74" s="592">
        <f>summ!H19</f>
        <v>5.149</v>
      </c>
      <c r="H74" s="454" t="str">
        <f>CONCATENATE("",E1," Fund Mill Rate")</f>
        <v>2015 Fund Mill Rate</v>
      </c>
      <c r="I74" s="590"/>
      <c r="J74" s="591"/>
    </row>
    <row r="75" spans="2:11" x14ac:dyDescent="0.2">
      <c r="G75" s="593">
        <f>summ!E19</f>
        <v>5.16</v>
      </c>
      <c r="H75" s="454" t="str">
        <f>CONCATENATE("",E1-1," Fund Mill Rate")</f>
        <v>2014 Fund Mill Rate</v>
      </c>
      <c r="I75" s="590"/>
      <c r="J75" s="591"/>
    </row>
    <row r="76" spans="2:11" x14ac:dyDescent="0.2">
      <c r="G76" s="594">
        <f>summ!H50</f>
        <v>33.634</v>
      </c>
      <c r="H76" s="454" t="str">
        <f>CONCATENATE("Total ",E1," Mill Rate")</f>
        <v>Total 2015 Mill Rate</v>
      </c>
      <c r="I76" s="590"/>
      <c r="J76" s="591"/>
    </row>
    <row r="77" spans="2:11" x14ac:dyDescent="0.2">
      <c r="G77" s="593">
        <f>summ!E50</f>
        <v>33.635000000000005</v>
      </c>
      <c r="H77" s="595" t="str">
        <f>CONCATENATE("Total ",E1-1," Mill Rate")</f>
        <v>Total 2014 Mill Rate</v>
      </c>
      <c r="I77" s="596"/>
      <c r="J77" s="597"/>
    </row>
    <row r="79" spans="2:11" x14ac:dyDescent="0.2">
      <c r="G79" s="652" t="s">
        <v>938</v>
      </c>
      <c r="H79" s="624"/>
      <c r="I79" s="623" t="str">
        <f>cert!F54</f>
        <v>Yes</v>
      </c>
    </row>
    <row r="83" spans="3:4" hidden="1" x14ac:dyDescent="0.2">
      <c r="C83" s="16" t="str">
        <f>IF(C35&gt;C37,"See Tab A","")</f>
        <v/>
      </c>
      <c r="D83" s="16" t="str">
        <f>IF(D35&gt;D37,"See Tab C","")</f>
        <v/>
      </c>
    </row>
    <row r="84" spans="3:4" hidden="1" x14ac:dyDescent="0.2">
      <c r="C84" s="16" t="str">
        <f>IF(C36&lt;0,"See Tab B","")</f>
        <v/>
      </c>
      <c r="D84" s="16" t="str">
        <f>IF(D36&lt;0,"See Tab D","")</f>
        <v/>
      </c>
    </row>
    <row r="85" spans="3:4" hidden="1" x14ac:dyDescent="0.2">
      <c r="C85" s="16" t="str">
        <f>IF(C64&gt;C66,"See Tab A","")</f>
        <v/>
      </c>
      <c r="D85" s="16" t="str">
        <f>IF(D64&gt;D66,"See Tab C","")</f>
        <v/>
      </c>
    </row>
    <row r="86" spans="3:4" hidden="1" x14ac:dyDescent="0.2">
      <c r="C86" s="16" t="str">
        <f>IF(C65&lt;0,"See Tab B","")</f>
        <v/>
      </c>
      <c r="D86" s="16" t="str">
        <f>IF(D65&lt;0,"See Tab D","")</f>
        <v/>
      </c>
    </row>
  </sheetData>
  <sheetProtection sheet="1" objects="1" scenarios="1"/>
  <mergeCells count="9">
    <mergeCell ref="G22:J22"/>
    <mergeCell ref="G62:J62"/>
    <mergeCell ref="C38:D38"/>
    <mergeCell ref="C39:D39"/>
    <mergeCell ref="G72:J72"/>
    <mergeCell ref="C71:D71"/>
    <mergeCell ref="C42:D42"/>
    <mergeCell ref="C67:D67"/>
    <mergeCell ref="C68:D68"/>
  </mergeCells>
  <phoneticPr fontId="10" type="noConversion"/>
  <conditionalFormatting sqref="E33">
    <cfRule type="cellIs" dxfId="298" priority="13" stopIfTrue="1" operator="greaterThan">
      <formula>$E$35*0.1</formula>
    </cfRule>
  </conditionalFormatting>
  <conditionalFormatting sqref="E38">
    <cfRule type="cellIs" dxfId="297" priority="14" stopIfTrue="1" operator="greaterThan">
      <formula>$E$35/0.95-$E$35</formula>
    </cfRule>
  </conditionalFormatting>
  <conditionalFormatting sqref="D33">
    <cfRule type="cellIs" dxfId="296" priority="15" stopIfTrue="1" operator="greaterThan">
      <formula>$D$35*0.1</formula>
    </cfRule>
  </conditionalFormatting>
  <conditionalFormatting sqref="C33">
    <cfRule type="cellIs" dxfId="295" priority="16" stopIfTrue="1" operator="greaterThan">
      <formula>$C$35*0.1</formula>
    </cfRule>
  </conditionalFormatting>
  <conditionalFormatting sqref="D35">
    <cfRule type="cellIs" dxfId="294" priority="17" stopIfTrue="1" operator="greaterThan">
      <formula>$D$37</formula>
    </cfRule>
  </conditionalFormatting>
  <conditionalFormatting sqref="C35">
    <cfRule type="cellIs" dxfId="293" priority="18" stopIfTrue="1" operator="greaterThan">
      <formula>$C$37</formula>
    </cfRule>
  </conditionalFormatting>
  <conditionalFormatting sqref="C36">
    <cfRule type="cellIs" dxfId="292" priority="19" stopIfTrue="1" operator="lessThan">
      <formula>0</formula>
    </cfRule>
  </conditionalFormatting>
  <conditionalFormatting sqref="D24">
    <cfRule type="cellIs" dxfId="291" priority="20" stopIfTrue="1" operator="greaterThan">
      <formula>$D$26*0.1</formula>
    </cfRule>
  </conditionalFormatting>
  <conditionalFormatting sqref="C24">
    <cfRule type="cellIs" dxfId="290" priority="21" stopIfTrue="1" operator="greaterThan">
      <formula>$C$26*0.1</formula>
    </cfRule>
  </conditionalFormatting>
  <conditionalFormatting sqref="E24">
    <cfRule type="cellIs" dxfId="289" priority="22" stopIfTrue="1" operator="greaterThan">
      <formula>$C$26*0.1+E42</formula>
    </cfRule>
  </conditionalFormatting>
  <conditionalFormatting sqref="D36">
    <cfRule type="cellIs" dxfId="288" priority="12" stopIfTrue="1" operator="lessThan">
      <formula>0</formula>
    </cfRule>
  </conditionalFormatting>
  <conditionalFormatting sqref="E62">
    <cfRule type="cellIs" dxfId="287" priority="11" stopIfTrue="1" operator="greaterThan">
      <formula>$E$64*0.1</formula>
    </cfRule>
  </conditionalFormatting>
  <conditionalFormatting sqref="E67">
    <cfRule type="cellIs" dxfId="286" priority="10" stopIfTrue="1" operator="greaterThan">
      <formula>$E$64/0.95-$E$64</formula>
    </cfRule>
  </conditionalFormatting>
  <conditionalFormatting sqref="C62">
    <cfRule type="cellIs" dxfId="285" priority="9" stopIfTrue="1" operator="greaterThan">
      <formula>$C$64*0.1</formula>
    </cfRule>
  </conditionalFormatting>
  <conditionalFormatting sqref="D62">
    <cfRule type="cellIs" dxfId="284" priority="8" stopIfTrue="1" operator="greaterThan">
      <formula>$D$64*0.1</formula>
    </cfRule>
  </conditionalFormatting>
  <conditionalFormatting sqref="C64">
    <cfRule type="cellIs" dxfId="283" priority="7" stopIfTrue="1" operator="greaterThan">
      <formula>$C$66</formula>
    </cfRule>
  </conditionalFormatting>
  <conditionalFormatting sqref="D64">
    <cfRule type="cellIs" dxfId="282" priority="6" stopIfTrue="1" operator="greaterThan">
      <formula>$D$66</formula>
    </cfRule>
  </conditionalFormatting>
  <conditionalFormatting sqref="C65">
    <cfRule type="cellIs" dxfId="281" priority="5" stopIfTrue="1" operator="lessThan">
      <formula>0</formula>
    </cfRule>
  </conditionalFormatting>
  <conditionalFormatting sqref="D56">
    <cfRule type="cellIs" dxfId="280" priority="4" stopIfTrue="1" operator="greaterThan">
      <formula>$D$58*0.1</formula>
    </cfRule>
  </conditionalFormatting>
  <conditionalFormatting sqref="C56">
    <cfRule type="cellIs" dxfId="279" priority="3" stopIfTrue="1" operator="greaterThan">
      <formula>$C$58*0.1</formula>
    </cfRule>
  </conditionalFormatting>
  <conditionalFormatting sqref="E56">
    <cfRule type="cellIs" dxfId="278" priority="2" stopIfTrue="1" operator="greaterThan">
      <formula>$E$58*0.1+E71</formula>
    </cfRule>
  </conditionalFormatting>
  <conditionalFormatting sqref="D65">
    <cfRule type="cellIs" dxfId="277" priority="1" stopIfTrue="1" operator="lessThan">
      <formula>0</formula>
    </cfRule>
  </conditionalFormatting>
  <pageMargins left="0.75" right="0.75" top="0.5" bottom="0.5" header="0.5" footer="0.5"/>
  <pageSetup scale="60"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5"/>
  <sheetViews>
    <sheetView topLeftCell="A39" workbookViewId="0">
      <selection activeCell="F8" sqref="F8"/>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(inputPrYr!B30)</f>
        <v>Spec. Rev. Aquatic Park Facility Sales Tax</v>
      </c>
      <c r="C5" s="673" t="str">
        <f>CONCATENATE("Actual for ",E1-2,"")</f>
        <v>Actual for 2013</v>
      </c>
      <c r="D5" s="673" t="str">
        <f>CONCATENATE("Estimate for ",E1-1,"")</f>
        <v>Estimate for 2014</v>
      </c>
      <c r="E5" s="192" t="str">
        <f>CONCATENATE("Year for ",E1,"")</f>
        <v>Year for 2015</v>
      </c>
    </row>
    <row r="6" spans="2:5" x14ac:dyDescent="0.2">
      <c r="B6" s="100" t="s">
        <v>134</v>
      </c>
      <c r="C6" s="40">
        <v>838683</v>
      </c>
      <c r="D6" s="148">
        <f>C25</f>
        <v>17115</v>
      </c>
      <c r="E6" s="148">
        <f>D25</f>
        <v>0</v>
      </c>
    </row>
    <row r="7" spans="2:5" x14ac:dyDescent="0.2">
      <c r="B7" s="246" t="s">
        <v>136</v>
      </c>
      <c r="C7" s="148"/>
      <c r="D7" s="148"/>
      <c r="E7" s="148"/>
    </row>
    <row r="8" spans="2:5" x14ac:dyDescent="0.2">
      <c r="B8" s="259" t="s">
        <v>1046</v>
      </c>
      <c r="C8" s="40">
        <v>471746</v>
      </c>
      <c r="D8" s="40">
        <v>84291</v>
      </c>
      <c r="E8" s="40">
        <v>0</v>
      </c>
    </row>
    <row r="9" spans="2:5" x14ac:dyDescent="0.2">
      <c r="B9" s="259" t="s">
        <v>82</v>
      </c>
      <c r="C9" s="40">
        <v>1446</v>
      </c>
      <c r="D9" s="40">
        <v>88</v>
      </c>
      <c r="E9" s="40">
        <v>0</v>
      </c>
    </row>
    <row r="10" spans="2:5" x14ac:dyDescent="0.2">
      <c r="B10" s="259"/>
      <c r="C10" s="40"/>
      <c r="D10" s="40"/>
      <c r="E10" s="40"/>
    </row>
    <row r="11" spans="2:5" x14ac:dyDescent="0.2">
      <c r="B11" s="259"/>
      <c r="C11" s="40"/>
      <c r="D11" s="40"/>
      <c r="E11" s="40"/>
    </row>
    <row r="12" spans="2:5" x14ac:dyDescent="0.2">
      <c r="B12" s="277" t="s">
        <v>18</v>
      </c>
      <c r="C12" s="40"/>
      <c r="D12" s="40"/>
      <c r="E12" s="40"/>
    </row>
    <row r="13" spans="2:5" x14ac:dyDescent="0.2">
      <c r="B13" s="150" t="s">
        <v>127</v>
      </c>
      <c r="C13" s="40"/>
      <c r="D13" s="276"/>
      <c r="E13" s="276"/>
    </row>
    <row r="14" spans="2:5" x14ac:dyDescent="0.2">
      <c r="B14" s="150" t="s">
        <v>609</v>
      </c>
      <c r="C14" s="475" t="str">
        <f>IF(C15*0.1&lt;C13,"Exceed 10% Rule","")</f>
        <v/>
      </c>
      <c r="D14" s="278" t="str">
        <f>IF(D15*0.1&lt;D13,"Exceed 10% Rule","")</f>
        <v/>
      </c>
      <c r="E14" s="278" t="str">
        <f>IF(E15*0.1&lt;E13,"Exceed 10% Rule","")</f>
        <v/>
      </c>
    </row>
    <row r="15" spans="2:5" x14ac:dyDescent="0.2">
      <c r="B15" s="256" t="s">
        <v>47</v>
      </c>
      <c r="C15" s="279">
        <f>SUM(C8:C13)</f>
        <v>473192</v>
      </c>
      <c r="D15" s="279">
        <f>SUM(D8:D13)</f>
        <v>84379</v>
      </c>
      <c r="E15" s="279">
        <f>SUM(E8:E13)</f>
        <v>0</v>
      </c>
    </row>
    <row r="16" spans="2:5" x14ac:dyDescent="0.2">
      <c r="B16" s="256" t="s">
        <v>48</v>
      </c>
      <c r="C16" s="279">
        <f>C6+C15</f>
        <v>1311875</v>
      </c>
      <c r="D16" s="279">
        <f>D6+D15</f>
        <v>101494</v>
      </c>
      <c r="E16" s="279">
        <f>E6+E15</f>
        <v>0</v>
      </c>
    </row>
    <row r="17" spans="2:5" x14ac:dyDescent="0.2">
      <c r="B17" s="100" t="s">
        <v>49</v>
      </c>
      <c r="C17" s="148"/>
      <c r="D17" s="148"/>
      <c r="E17" s="148"/>
    </row>
    <row r="18" spans="2:5" x14ac:dyDescent="0.2">
      <c r="B18" s="259" t="s">
        <v>1164</v>
      </c>
      <c r="C18" s="40">
        <v>0</v>
      </c>
      <c r="D18" s="40">
        <v>101494</v>
      </c>
      <c r="E18" s="40">
        <v>0</v>
      </c>
    </row>
    <row r="19" spans="2:5" x14ac:dyDescent="0.2">
      <c r="B19" s="259" t="s">
        <v>1165</v>
      </c>
      <c r="C19" s="40">
        <v>1294760</v>
      </c>
      <c r="D19" s="40">
        <v>0</v>
      </c>
      <c r="E19" s="40">
        <v>0</v>
      </c>
    </row>
    <row r="20" spans="2:5" x14ac:dyDescent="0.2">
      <c r="B20" s="259"/>
      <c r="C20" s="40"/>
      <c r="D20" s="40"/>
      <c r="E20" s="40"/>
    </row>
    <row r="21" spans="2:5" x14ac:dyDescent="0.2">
      <c r="B21" s="259"/>
      <c r="C21" s="40"/>
      <c r="D21" s="40"/>
      <c r="E21" s="40"/>
    </row>
    <row r="22" spans="2:5" x14ac:dyDescent="0.2">
      <c r="B22" s="150" t="s">
        <v>127</v>
      </c>
      <c r="C22" s="40"/>
      <c r="D22" s="276"/>
      <c r="E22" s="276"/>
    </row>
    <row r="23" spans="2:5" x14ac:dyDescent="0.2">
      <c r="B23" s="150" t="s">
        <v>610</v>
      </c>
      <c r="C23" s="475" t="str">
        <f>IF(C24*0.1&lt;C22,"Exceed 10% Rule","")</f>
        <v/>
      </c>
      <c r="D23" s="278" t="str">
        <f>IF(D24*0.1&lt;D22,"Exceed 10% Rule","")</f>
        <v/>
      </c>
      <c r="E23" s="278" t="str">
        <f>IF(E24*0.1&lt;E22,"Exceed 10% Rule","")</f>
        <v/>
      </c>
    </row>
    <row r="24" spans="2:5" x14ac:dyDescent="0.2">
      <c r="B24" s="256" t="s">
        <v>50</v>
      </c>
      <c r="C24" s="279">
        <f>SUM(C18:C22)</f>
        <v>1294760</v>
      </c>
      <c r="D24" s="279">
        <f>SUM(D18:D22)</f>
        <v>101494</v>
      </c>
      <c r="E24" s="279">
        <f>SUM(E18:E22)</f>
        <v>0</v>
      </c>
    </row>
    <row r="25" spans="2:5" x14ac:dyDescent="0.2">
      <c r="B25" s="100" t="s">
        <v>135</v>
      </c>
      <c r="C25" s="47">
        <f>C16-C24</f>
        <v>17115</v>
      </c>
      <c r="D25" s="47">
        <f>D16-D24</f>
        <v>0</v>
      </c>
      <c r="E25" s="47">
        <f>E16-E24</f>
        <v>0</v>
      </c>
    </row>
    <row r="26" spans="2:5" x14ac:dyDescent="0.2">
      <c r="B26" s="625" t="str">
        <f>CONCATENATE("",E1-2,"/",E1-1,"/",E1," Budget Authority Amount:")</f>
        <v>2013/2014/2015 Budget Authority Amount:</v>
      </c>
      <c r="C26" s="249">
        <f>inputOth!B75</f>
        <v>1294761</v>
      </c>
      <c r="D26" s="249">
        <f>inputPrYr!D30</f>
        <v>926065</v>
      </c>
      <c r="E26" s="626">
        <f>E24</f>
        <v>0</v>
      </c>
    </row>
    <row r="27" spans="2:5" x14ac:dyDescent="0.2">
      <c r="B27" s="675"/>
      <c r="C27" s="262" t="str">
        <f>IF(C24&gt;C26,"See Tab A","")</f>
        <v/>
      </c>
      <c r="D27" s="262" t="str">
        <f>IF(D24&gt;D26,"See Tab C","")</f>
        <v/>
      </c>
      <c r="E27" s="627" t="str">
        <f>IF(E25&lt;0,"See Tab E","")</f>
        <v/>
      </c>
    </row>
    <row r="28" spans="2:5" x14ac:dyDescent="0.2">
      <c r="B28" s="675"/>
      <c r="C28" s="262" t="str">
        <f>IF(C25&lt;0,"See Tab B","")</f>
        <v/>
      </c>
      <c r="D28" s="262" t="str">
        <f>IF(D25&lt;0,"See Tab D","")</f>
        <v/>
      </c>
      <c r="E28" s="281"/>
    </row>
    <row r="29" spans="2:5" x14ac:dyDescent="0.2">
      <c r="B29" s="20"/>
      <c r="C29" s="281"/>
      <c r="D29" s="281"/>
      <c r="E29" s="281"/>
    </row>
    <row r="30" spans="2:5" x14ac:dyDescent="0.2">
      <c r="B30" s="22" t="s">
        <v>41</v>
      </c>
      <c r="C30" s="552" t="s">
        <v>792</v>
      </c>
      <c r="D30" s="135" t="s">
        <v>793</v>
      </c>
      <c r="E30" s="135" t="s">
        <v>794</v>
      </c>
    </row>
    <row r="31" spans="2:5" x14ac:dyDescent="0.2">
      <c r="B31" s="484" t="str">
        <f>(inputPrYr!B31)</f>
        <v>Spec. Rev. CIP Sales Tax</v>
      </c>
      <c r="C31" s="192" t="str">
        <f>C5</f>
        <v>Actual for 2013</v>
      </c>
      <c r="D31" s="192" t="str">
        <f>D5</f>
        <v>Estimate for 2014</v>
      </c>
      <c r="E31" s="192" t="str">
        <f>E5</f>
        <v>Year for 2015</v>
      </c>
    </row>
    <row r="32" spans="2:5" x14ac:dyDescent="0.2">
      <c r="B32" s="100" t="s">
        <v>134</v>
      </c>
      <c r="C32" s="40">
        <v>0</v>
      </c>
      <c r="D32" s="148">
        <f>C50</f>
        <v>0</v>
      </c>
      <c r="E32" s="148">
        <f>D50</f>
        <v>0</v>
      </c>
    </row>
    <row r="33" spans="2:5" x14ac:dyDescent="0.2">
      <c r="B33" s="246" t="s">
        <v>136</v>
      </c>
      <c r="C33" s="148"/>
      <c r="D33" s="148"/>
      <c r="E33" s="148"/>
    </row>
    <row r="34" spans="2:5" x14ac:dyDescent="0.2">
      <c r="B34" s="259" t="s">
        <v>1046</v>
      </c>
      <c r="C34" s="40">
        <v>0</v>
      </c>
      <c r="D34" s="40">
        <v>350000</v>
      </c>
      <c r="E34" s="40">
        <v>450000</v>
      </c>
    </row>
    <row r="35" spans="2:5" x14ac:dyDescent="0.2">
      <c r="B35" s="259" t="s">
        <v>82</v>
      </c>
      <c r="C35" s="40"/>
      <c r="D35" s="40">
        <v>100</v>
      </c>
      <c r="E35" s="40">
        <v>600</v>
      </c>
    </row>
    <row r="36" spans="2:5" x14ac:dyDescent="0.2">
      <c r="B36" s="259"/>
      <c r="C36" s="40"/>
      <c r="D36" s="40"/>
      <c r="E36" s="40"/>
    </row>
    <row r="37" spans="2:5" x14ac:dyDescent="0.2">
      <c r="B37" s="259"/>
      <c r="C37" s="40"/>
      <c r="D37" s="40"/>
      <c r="E37" s="40"/>
    </row>
    <row r="38" spans="2:5" x14ac:dyDescent="0.2">
      <c r="B38" s="277" t="s">
        <v>18</v>
      </c>
      <c r="C38" s="40"/>
      <c r="D38" s="40"/>
      <c r="E38" s="40"/>
    </row>
    <row r="39" spans="2:5" x14ac:dyDescent="0.2">
      <c r="B39" s="150" t="s">
        <v>127</v>
      </c>
      <c r="C39" s="40"/>
      <c r="D39" s="40"/>
      <c r="E39" s="40"/>
    </row>
    <row r="40" spans="2:5" x14ac:dyDescent="0.2">
      <c r="B40" s="150" t="s">
        <v>609</v>
      </c>
      <c r="C40" s="475" t="str">
        <f>IF(C41*0.1&lt;C39,"Exceed 10% Rule","")</f>
        <v/>
      </c>
      <c r="D40" s="278" t="str">
        <f>IF(D41*0.1&lt;D39,"Exceed 10% Rule","")</f>
        <v/>
      </c>
      <c r="E40" s="278" t="str">
        <f>IF(E41*0.1&lt;E39,"Exceed 10% Rule","")</f>
        <v/>
      </c>
    </row>
    <row r="41" spans="2:5" x14ac:dyDescent="0.2">
      <c r="B41" s="256" t="s">
        <v>47</v>
      </c>
      <c r="C41" s="279">
        <f>SUM(C34:C39)</f>
        <v>0</v>
      </c>
      <c r="D41" s="279">
        <f>SUM(D34:D39)</f>
        <v>350100</v>
      </c>
      <c r="E41" s="279">
        <f>SUM(E34:E39)</f>
        <v>450600</v>
      </c>
    </row>
    <row r="42" spans="2:5" x14ac:dyDescent="0.2">
      <c r="B42" s="256" t="s">
        <v>48</v>
      </c>
      <c r="C42" s="279">
        <f>C32+C41</f>
        <v>0</v>
      </c>
      <c r="D42" s="279">
        <f>D32+D41</f>
        <v>350100</v>
      </c>
      <c r="E42" s="279">
        <f>E32+E41</f>
        <v>450600</v>
      </c>
    </row>
    <row r="43" spans="2:5" x14ac:dyDescent="0.2">
      <c r="B43" s="100" t="s">
        <v>49</v>
      </c>
      <c r="C43" s="148"/>
      <c r="D43" s="148"/>
      <c r="E43" s="148"/>
    </row>
    <row r="44" spans="2:5" x14ac:dyDescent="0.2">
      <c r="B44" s="259" t="s">
        <v>1076</v>
      </c>
      <c r="C44" s="40">
        <v>0</v>
      </c>
      <c r="D44" s="40">
        <v>50100</v>
      </c>
      <c r="E44" s="40">
        <v>150600</v>
      </c>
    </row>
    <row r="45" spans="2:5" x14ac:dyDescent="0.2">
      <c r="B45" s="259" t="s">
        <v>1167</v>
      </c>
      <c r="C45" s="40">
        <v>0</v>
      </c>
      <c r="D45" s="40">
        <v>300000</v>
      </c>
      <c r="E45" s="40">
        <v>300000</v>
      </c>
    </row>
    <row r="46" spans="2:5" x14ac:dyDescent="0.2">
      <c r="B46" s="259"/>
      <c r="C46" s="40"/>
      <c r="D46" s="40"/>
      <c r="E46" s="40"/>
    </row>
    <row r="47" spans="2:5" x14ac:dyDescent="0.2">
      <c r="B47" s="150" t="s">
        <v>127</v>
      </c>
      <c r="C47" s="40"/>
      <c r="D47" s="276"/>
      <c r="E47" s="276"/>
    </row>
    <row r="48" spans="2:5" x14ac:dyDescent="0.2">
      <c r="B48" s="150" t="s">
        <v>610</v>
      </c>
      <c r="C48" s="475" t="str">
        <f>IF(C49*0.1&lt;C47,"Exceed 10% Rule","")</f>
        <v/>
      </c>
      <c r="D48" s="278" t="str">
        <f>IF(D49*0.1&lt;D47,"Exceed 10% Rule","")</f>
        <v/>
      </c>
      <c r="E48" s="278" t="str">
        <f>IF(E49*0.1&lt;E47,"Exceed 10% Rule","")</f>
        <v/>
      </c>
    </row>
    <row r="49" spans="2:5" x14ac:dyDescent="0.2">
      <c r="B49" s="256" t="s">
        <v>50</v>
      </c>
      <c r="C49" s="279">
        <f>SUM(C44:C47)</f>
        <v>0</v>
      </c>
      <c r="D49" s="279">
        <f>SUM(D44:D47)</f>
        <v>350100</v>
      </c>
      <c r="E49" s="279">
        <f>SUM(E44:E47)</f>
        <v>450600</v>
      </c>
    </row>
    <row r="50" spans="2:5" x14ac:dyDescent="0.2">
      <c r="B50" s="100" t="s">
        <v>135</v>
      </c>
      <c r="C50" s="47">
        <f>C42-C49</f>
        <v>0</v>
      </c>
      <c r="D50" s="47">
        <f>D42-D49</f>
        <v>0</v>
      </c>
      <c r="E50" s="47">
        <f>E42-E49</f>
        <v>0</v>
      </c>
    </row>
    <row r="51" spans="2:5" x14ac:dyDescent="0.2">
      <c r="B51" s="625" t="str">
        <f>CONCATENATE("",E1-2,"/",E1-1,"/",E1," Budget Authority Amount:")</f>
        <v>2013/2014/2015 Budget Authority Amount:</v>
      </c>
      <c r="C51" s="249">
        <f>inputOth!B76</f>
        <v>0</v>
      </c>
      <c r="D51" s="249">
        <f>inputPrYr!D31</f>
        <v>350100</v>
      </c>
      <c r="E51" s="626">
        <f>E49</f>
        <v>450600</v>
      </c>
    </row>
    <row r="52" spans="2:5" x14ac:dyDescent="0.2">
      <c r="B52" s="675"/>
      <c r="C52" s="262" t="str">
        <f>IF(C49&gt;C51,"See Tab A","")</f>
        <v/>
      </c>
      <c r="D52" s="262" t="str">
        <f>IF(D49&gt;D51,"See Tab C","")</f>
        <v/>
      </c>
      <c r="E52" s="627" t="str">
        <f>IF(E50&lt;0,"See Tab E","")</f>
        <v/>
      </c>
    </row>
    <row r="53" spans="2:5" x14ac:dyDescent="0.2">
      <c r="B53" s="675"/>
      <c r="C53" s="262" t="str">
        <f>IF(C50&lt;0,"See Tab B","")</f>
        <v/>
      </c>
      <c r="D53" s="262" t="str">
        <f>IF(D50&lt;0,"See Tab D","")</f>
        <v/>
      </c>
      <c r="E53" s="20"/>
    </row>
    <row r="54" spans="2:5" x14ac:dyDescent="0.2">
      <c r="B54" s="20"/>
      <c r="C54" s="20"/>
      <c r="D54" s="20"/>
      <c r="E54" s="20"/>
    </row>
    <row r="55" spans="2:5" x14ac:dyDescent="0.2">
      <c r="B55" s="675" t="s">
        <v>53</v>
      </c>
      <c r="C55" s="266">
        <v>10</v>
      </c>
      <c r="D55" s="20"/>
      <c r="E55" s="20"/>
    </row>
  </sheetData>
  <sheetProtection sheet="1" objects="1" scenarios="1"/>
  <conditionalFormatting sqref="C47">
    <cfRule type="cellIs" dxfId="276" priority="3" stopIfTrue="1" operator="greaterThan">
      <formula>$C$49*0.1</formula>
    </cfRule>
  </conditionalFormatting>
  <conditionalFormatting sqref="D47">
    <cfRule type="cellIs" dxfId="275" priority="4" stopIfTrue="1" operator="greaterThan">
      <formula>$D$49*0.1</formula>
    </cfRule>
  </conditionalFormatting>
  <conditionalFormatting sqref="E47">
    <cfRule type="cellIs" dxfId="274" priority="5" stopIfTrue="1" operator="greaterThan">
      <formula>$E$49*0.1</formula>
    </cfRule>
  </conditionalFormatting>
  <conditionalFormatting sqref="C39">
    <cfRule type="cellIs" dxfId="273" priority="6" stopIfTrue="1" operator="greaterThan">
      <formula>$C$41*0.1</formula>
    </cfRule>
  </conditionalFormatting>
  <conditionalFormatting sqref="C22">
    <cfRule type="cellIs" dxfId="272" priority="7" stopIfTrue="1" operator="greaterThan">
      <formula>$C$24*0.1</formula>
    </cfRule>
  </conditionalFormatting>
  <conditionalFormatting sqref="D22">
    <cfRule type="cellIs" dxfId="271" priority="8" stopIfTrue="1" operator="greaterThan">
      <formula>$D$24*0.1</formula>
    </cfRule>
  </conditionalFormatting>
  <conditionalFormatting sqref="E22">
    <cfRule type="cellIs" dxfId="270" priority="9" stopIfTrue="1" operator="greaterThan">
      <formula>$E$24*0.1</formula>
    </cfRule>
  </conditionalFormatting>
  <conditionalFormatting sqref="C13">
    <cfRule type="cellIs" dxfId="269" priority="10" stopIfTrue="1" operator="greaterThan">
      <formula>$C$15*0.1</formula>
    </cfRule>
  </conditionalFormatting>
  <conditionalFormatting sqref="D13">
    <cfRule type="cellIs" dxfId="268" priority="11" stopIfTrue="1" operator="greaterThan">
      <formula>$D$15*0.1</formula>
    </cfRule>
  </conditionalFormatting>
  <conditionalFormatting sqref="E13">
    <cfRule type="cellIs" dxfId="267" priority="12" stopIfTrue="1" operator="greaterThan">
      <formula>$E$15*0.1</formula>
    </cfRule>
  </conditionalFormatting>
  <conditionalFormatting sqref="E25 C25 E50 C50">
    <cfRule type="cellIs" dxfId="266" priority="13" stopIfTrue="1" operator="lessThan">
      <formula>0</formula>
    </cfRule>
  </conditionalFormatting>
  <conditionalFormatting sqref="C24">
    <cfRule type="cellIs" dxfId="265" priority="14" stopIfTrue="1" operator="greaterThan">
      <formula>$C$26</formula>
    </cfRule>
  </conditionalFormatting>
  <conditionalFormatting sqref="D24">
    <cfRule type="cellIs" dxfId="264" priority="15" stopIfTrue="1" operator="greaterThan">
      <formula>$D$26</formula>
    </cfRule>
  </conditionalFormatting>
  <conditionalFormatting sqref="C49">
    <cfRule type="cellIs" dxfId="263" priority="16" stopIfTrue="1" operator="greaterThan">
      <formula>$C$51</formula>
    </cfRule>
  </conditionalFormatting>
  <conditionalFormatting sqref="D49">
    <cfRule type="cellIs" dxfId="262" priority="17" stopIfTrue="1" operator="greaterThan">
      <formula>$D$51</formula>
    </cfRule>
  </conditionalFormatting>
  <conditionalFormatting sqref="D39">
    <cfRule type="cellIs" dxfId="261" priority="18" stopIfTrue="1" operator="greaterThan">
      <formula>$D$41*0.1</formula>
    </cfRule>
  </conditionalFormatting>
  <conditionalFormatting sqref="E39">
    <cfRule type="cellIs" dxfId="260" priority="19" stopIfTrue="1" operator="greaterThan">
      <formula>$E$41*0.1</formula>
    </cfRule>
  </conditionalFormatting>
  <conditionalFormatting sqref="D50">
    <cfRule type="cellIs" dxfId="259" priority="2" stopIfTrue="1" operator="lessThan">
      <formula>0</formula>
    </cfRule>
  </conditionalFormatting>
  <conditionalFormatting sqref="D25">
    <cfRule type="cellIs" dxfId="258" priority="1" stopIfTrue="1" operator="lessThan">
      <formula>0</formula>
    </cfRule>
  </conditionalFormatting>
  <printOptions horizontalCentered="1" verticalCentered="1"/>
  <pageMargins left="0.7" right="0.7" top="0.5" bottom="0.5" header="0.3" footer="0.3"/>
  <pageSetup paperSize="17" scale="8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topLeftCell="A41" workbookViewId="0">
      <selection activeCell="H7" sqref="H7"/>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(inputPrYr!B32)</f>
        <v>Spec. Rev. County Infrastructure</v>
      </c>
      <c r="C5" s="673" t="str">
        <f>CONCATENATE("Actual for ",E1-2,"")</f>
        <v>Actual for 2013</v>
      </c>
      <c r="D5" s="673" t="str">
        <f>CONCATENATE("Estimate for ",E1-1,"")</f>
        <v>Estimate for 2014</v>
      </c>
      <c r="E5" s="192" t="str">
        <f>CONCATENATE("Year for ",E1,"")</f>
        <v>Year for 2015</v>
      </c>
    </row>
    <row r="6" spans="2:5" x14ac:dyDescent="0.2">
      <c r="B6" s="100" t="s">
        <v>134</v>
      </c>
      <c r="C6" s="40"/>
      <c r="D6" s="148">
        <f>C21</f>
        <v>0</v>
      </c>
      <c r="E6" s="148">
        <f>D21</f>
        <v>0</v>
      </c>
    </row>
    <row r="7" spans="2:5" x14ac:dyDescent="0.2">
      <c r="B7" s="246" t="s">
        <v>136</v>
      </c>
      <c r="C7" s="148"/>
      <c r="D7" s="148"/>
      <c r="E7" s="148"/>
    </row>
    <row r="8" spans="2:5" x14ac:dyDescent="0.2">
      <c r="B8" s="259"/>
      <c r="C8" s="40"/>
      <c r="D8" s="40"/>
      <c r="E8" s="40"/>
    </row>
    <row r="9" spans="2:5" x14ac:dyDescent="0.2">
      <c r="B9" s="277" t="s">
        <v>46</v>
      </c>
      <c r="C9" s="40"/>
      <c r="D9" s="40"/>
      <c r="E9" s="40"/>
    </row>
    <row r="10" spans="2:5" x14ac:dyDescent="0.2">
      <c r="B10" s="150" t="s">
        <v>127</v>
      </c>
      <c r="C10" s="40"/>
      <c r="D10" s="276"/>
      <c r="E10" s="276"/>
    </row>
    <row r="11" spans="2:5" x14ac:dyDescent="0.2">
      <c r="B11" s="150" t="s">
        <v>609</v>
      </c>
      <c r="C11" s="475" t="str">
        <f>IF(C12*0.1&lt;C10,"Exceed 10% Rule","")</f>
        <v/>
      </c>
      <c r="D11" s="278" t="str">
        <f>IF(D12*0.1&lt;D10,"Exceed 10% Rule","")</f>
        <v/>
      </c>
      <c r="E11" s="278" t="str">
        <f>IF(E12*0.1&lt;E10,"Exceed 10% Rule","")</f>
        <v/>
      </c>
    </row>
    <row r="12" spans="2:5" x14ac:dyDescent="0.2">
      <c r="B12" s="256" t="s">
        <v>47</v>
      </c>
      <c r="C12" s="279">
        <f>SUM(C8:C10)</f>
        <v>0</v>
      </c>
      <c r="D12" s="279">
        <f>SUM(D8:D10)</f>
        <v>0</v>
      </c>
      <c r="E12" s="279">
        <f>SUM(E8:E10)</f>
        <v>0</v>
      </c>
    </row>
    <row r="13" spans="2:5" x14ac:dyDescent="0.2">
      <c r="B13" s="256" t="s">
        <v>48</v>
      </c>
      <c r="C13" s="279">
        <f>C6+C12</f>
        <v>0</v>
      </c>
      <c r="D13" s="279">
        <f>D6+D12</f>
        <v>0</v>
      </c>
      <c r="E13" s="279">
        <f>E6+E12</f>
        <v>0</v>
      </c>
    </row>
    <row r="14" spans="2:5" x14ac:dyDescent="0.2">
      <c r="B14" s="100" t="s">
        <v>49</v>
      </c>
      <c r="C14" s="148"/>
      <c r="D14" s="148"/>
      <c r="E14" s="148"/>
    </row>
    <row r="15" spans="2:5" x14ac:dyDescent="0.2">
      <c r="B15" s="259" t="s">
        <v>144</v>
      </c>
      <c r="C15" s="40"/>
      <c r="D15" s="40"/>
      <c r="E15" s="40"/>
    </row>
    <row r="16" spans="2:5" x14ac:dyDescent="0.2">
      <c r="B16" s="259" t="s">
        <v>146</v>
      </c>
      <c r="C16" s="40"/>
      <c r="D16" s="40"/>
      <c r="E16" s="40"/>
    </row>
    <row r="17" spans="2:5" x14ac:dyDescent="0.2">
      <c r="B17" s="259"/>
      <c r="C17" s="40"/>
      <c r="D17" s="40"/>
      <c r="E17" s="40"/>
    </row>
    <row r="18" spans="2:5" x14ac:dyDescent="0.2">
      <c r="B18" s="150" t="s">
        <v>127</v>
      </c>
      <c r="C18" s="40"/>
      <c r="D18" s="276"/>
      <c r="E18" s="276"/>
    </row>
    <row r="19" spans="2:5" x14ac:dyDescent="0.2">
      <c r="B19" s="150" t="s">
        <v>610</v>
      </c>
      <c r="C19" s="475" t="str">
        <f>IF(C20*0.1&lt;C18,"Exceed 10% Rule","")</f>
        <v/>
      </c>
      <c r="D19" s="278" t="str">
        <f>IF(D20*0.1&lt;D18,"Exceed 10% Rule","")</f>
        <v/>
      </c>
      <c r="E19" s="278" t="str">
        <f>IF(E20*0.1&lt;E18,"Exceed 10% Rule","")</f>
        <v/>
      </c>
    </row>
    <row r="20" spans="2:5" x14ac:dyDescent="0.2">
      <c r="B20" s="256" t="s">
        <v>50</v>
      </c>
      <c r="C20" s="279">
        <f>SUM(C15:C18)</f>
        <v>0</v>
      </c>
      <c r="D20" s="279">
        <f>SUM(D15:D18)</f>
        <v>0</v>
      </c>
      <c r="E20" s="279">
        <f>SUM(E15:E18)</f>
        <v>0</v>
      </c>
    </row>
    <row r="21" spans="2:5" x14ac:dyDescent="0.2">
      <c r="B21" s="100" t="s">
        <v>135</v>
      </c>
      <c r="C21" s="47">
        <f>C13-C20</f>
        <v>0</v>
      </c>
      <c r="D21" s="47">
        <f>D13-D20</f>
        <v>0</v>
      </c>
      <c r="E21" s="47">
        <f>E13-E20</f>
        <v>0</v>
      </c>
    </row>
    <row r="22" spans="2:5" x14ac:dyDescent="0.2">
      <c r="B22" s="625" t="str">
        <f>CONCATENATE("",E1-2,"/",E1-1,"/",E1," Budget Authority Amount:")</f>
        <v>2013/2014/2015 Budget Authority Amount:</v>
      </c>
      <c r="C22" s="249">
        <f>inputOth!B77</f>
        <v>0</v>
      </c>
      <c r="D22" s="249">
        <f>inputPrYr!D32</f>
        <v>1315</v>
      </c>
      <c r="E22" s="626">
        <f>E20</f>
        <v>0</v>
      </c>
    </row>
    <row r="23" spans="2:5" x14ac:dyDescent="0.2">
      <c r="B23" s="675"/>
      <c r="C23" s="262" t="str">
        <f>IF(C20&gt;C22,"See Tab A","")</f>
        <v/>
      </c>
      <c r="D23" s="262" t="str">
        <f>IF(D20&gt;D22,"See Tab C","")</f>
        <v/>
      </c>
      <c r="E23" s="627" t="str">
        <f>IF(E21&lt;0,"See Tab E","")</f>
        <v/>
      </c>
    </row>
    <row r="24" spans="2:5" x14ac:dyDescent="0.2">
      <c r="B24" s="675"/>
      <c r="C24" s="262" t="str">
        <f>IF(C21&lt;0,"See Tab B","")</f>
        <v/>
      </c>
      <c r="D24" s="262" t="str">
        <f>IF(D21&lt;0,"See Tab D","")</f>
        <v/>
      </c>
      <c r="E24" s="281"/>
    </row>
    <row r="25" spans="2:5" x14ac:dyDescent="0.2">
      <c r="B25" s="20"/>
      <c r="C25" s="281"/>
      <c r="D25" s="281"/>
      <c r="E25" s="281"/>
    </row>
    <row r="26" spans="2:5" x14ac:dyDescent="0.2">
      <c r="B26" s="22" t="s">
        <v>41</v>
      </c>
      <c r="C26" s="552" t="s">
        <v>792</v>
      </c>
      <c r="D26" s="135" t="s">
        <v>793</v>
      </c>
      <c r="E26" s="135" t="s">
        <v>794</v>
      </c>
    </row>
    <row r="27" spans="2:5" x14ac:dyDescent="0.2">
      <c r="B27" s="484" t="str">
        <f>(inputPrYr!B33)</f>
        <v>Spec. Rev. Tourism</v>
      </c>
      <c r="C27" s="192" t="str">
        <f>C5</f>
        <v>Actual for 2013</v>
      </c>
      <c r="D27" s="192" t="str">
        <f>D5</f>
        <v>Estimate for 2014</v>
      </c>
      <c r="E27" s="192" t="str">
        <f>E5</f>
        <v>Year for 2015</v>
      </c>
    </row>
    <row r="28" spans="2:5" x14ac:dyDescent="0.2">
      <c r="B28" s="100" t="s">
        <v>134</v>
      </c>
      <c r="C28" s="40">
        <v>156348</v>
      </c>
      <c r="D28" s="148">
        <f>C48</f>
        <v>167121</v>
      </c>
      <c r="E28" s="148">
        <f>D48</f>
        <v>149105</v>
      </c>
    </row>
    <row r="29" spans="2:5" x14ac:dyDescent="0.2">
      <c r="B29" s="246" t="s">
        <v>136</v>
      </c>
      <c r="C29" s="148"/>
      <c r="D29" s="148"/>
      <c r="E29" s="148"/>
    </row>
    <row r="30" spans="2:5" x14ac:dyDescent="0.2">
      <c r="B30" s="259" t="s">
        <v>1148</v>
      </c>
      <c r="C30" s="40">
        <v>88300</v>
      </c>
      <c r="D30" s="40">
        <v>85000</v>
      </c>
      <c r="E30" s="40">
        <v>85000</v>
      </c>
    </row>
    <row r="31" spans="2:5" x14ac:dyDescent="0.2">
      <c r="B31" s="259" t="s">
        <v>82</v>
      </c>
      <c r="C31" s="40">
        <v>334</v>
      </c>
      <c r="D31" s="40">
        <v>350</v>
      </c>
      <c r="E31" s="40">
        <v>350</v>
      </c>
    </row>
    <row r="32" spans="2:5" x14ac:dyDescent="0.2">
      <c r="B32" s="259" t="s">
        <v>1149</v>
      </c>
      <c r="C32" s="40">
        <v>1894</v>
      </c>
      <c r="D32" s="40">
        <v>0</v>
      </c>
      <c r="E32" s="40">
        <v>0</v>
      </c>
    </row>
    <row r="33" spans="2:5" x14ac:dyDescent="0.2">
      <c r="B33" s="259"/>
      <c r="C33" s="40"/>
      <c r="D33" s="40"/>
      <c r="E33" s="40"/>
    </row>
    <row r="34" spans="2:5" x14ac:dyDescent="0.2">
      <c r="B34" s="277" t="s">
        <v>18</v>
      </c>
      <c r="C34" s="40"/>
      <c r="D34" s="40"/>
      <c r="E34" s="40"/>
    </row>
    <row r="35" spans="2:5" x14ac:dyDescent="0.2">
      <c r="B35" s="150" t="s">
        <v>127</v>
      </c>
      <c r="C35" s="40"/>
      <c r="D35" s="40"/>
      <c r="E35" s="40"/>
    </row>
    <row r="36" spans="2:5" x14ac:dyDescent="0.2">
      <c r="B36" s="150" t="s">
        <v>609</v>
      </c>
      <c r="C36" s="475" t="str">
        <f>IF(C37*0.1&lt;C35,"Exceed 10% Rule","")</f>
        <v/>
      </c>
      <c r="D36" s="278" t="str">
        <f>IF(D37*0.1&lt;D35,"Exceed 10% Rule","")</f>
        <v/>
      </c>
      <c r="E36" s="278" t="str">
        <f>IF(E37*0.1&lt;E35,"Exceed 10% Rule","")</f>
        <v/>
      </c>
    </row>
    <row r="37" spans="2:5" x14ac:dyDescent="0.2">
      <c r="B37" s="256" t="s">
        <v>47</v>
      </c>
      <c r="C37" s="279">
        <f>SUM(C30:C35)</f>
        <v>90528</v>
      </c>
      <c r="D37" s="279">
        <f>SUM(D30:D35)</f>
        <v>85350</v>
      </c>
      <c r="E37" s="279">
        <f>SUM(E30:E35)</f>
        <v>85350</v>
      </c>
    </row>
    <row r="38" spans="2:5" x14ac:dyDescent="0.2">
      <c r="B38" s="256" t="s">
        <v>48</v>
      </c>
      <c r="C38" s="279">
        <f>C28+C37</f>
        <v>246876</v>
      </c>
      <c r="D38" s="279">
        <f>D28+D37</f>
        <v>252471</v>
      </c>
      <c r="E38" s="279">
        <f>E28+E37</f>
        <v>234455</v>
      </c>
    </row>
    <row r="39" spans="2:5" x14ac:dyDescent="0.2">
      <c r="B39" s="100" t="s">
        <v>49</v>
      </c>
      <c r="C39" s="148"/>
      <c r="D39" s="148"/>
      <c r="E39" s="148"/>
    </row>
    <row r="40" spans="2:5" x14ac:dyDescent="0.2">
      <c r="B40" s="259" t="s">
        <v>1080</v>
      </c>
      <c r="C40" s="40">
        <v>23088</v>
      </c>
      <c r="D40" s="40">
        <v>47536</v>
      </c>
      <c r="E40" s="40">
        <v>48455</v>
      </c>
    </row>
    <row r="41" spans="2:5" x14ac:dyDescent="0.2">
      <c r="B41" s="259" t="s">
        <v>1075</v>
      </c>
      <c r="C41" s="40">
        <v>54919</v>
      </c>
      <c r="D41" s="40">
        <v>50630</v>
      </c>
      <c r="E41" s="40">
        <v>61510</v>
      </c>
    </row>
    <row r="42" spans="2:5" x14ac:dyDescent="0.2">
      <c r="B42" s="259" t="s">
        <v>1081</v>
      </c>
      <c r="C42" s="40">
        <v>1748</v>
      </c>
      <c r="D42" s="40">
        <v>1700</v>
      </c>
      <c r="E42" s="40">
        <v>2000</v>
      </c>
    </row>
    <row r="43" spans="2:5" x14ac:dyDescent="0.2">
      <c r="B43" s="259" t="s">
        <v>1082</v>
      </c>
      <c r="C43" s="40">
        <v>0</v>
      </c>
      <c r="D43" s="40">
        <v>3500</v>
      </c>
      <c r="E43" s="40">
        <v>0</v>
      </c>
    </row>
    <row r="44" spans="2:5" x14ac:dyDescent="0.2">
      <c r="B44" s="259"/>
      <c r="C44" s="40"/>
      <c r="D44" s="40"/>
      <c r="E44" s="40"/>
    </row>
    <row r="45" spans="2:5" x14ac:dyDescent="0.2">
      <c r="B45" s="150" t="s">
        <v>127</v>
      </c>
      <c r="C45" s="40"/>
      <c r="D45" s="276"/>
      <c r="E45" s="276"/>
    </row>
    <row r="46" spans="2:5" x14ac:dyDescent="0.2">
      <c r="B46" s="150" t="s">
        <v>610</v>
      </c>
      <c r="C46" s="475" t="str">
        <f>IF(C47*0.1&lt;C45,"Exceed 10% Rule","")</f>
        <v/>
      </c>
      <c r="D46" s="278" t="str">
        <f>IF(D47*0.1&lt;D45,"Exceed 10% Rule","")</f>
        <v/>
      </c>
      <c r="E46" s="278" t="str">
        <f>IF(E47*0.1&lt;E45,"Exceed 10% Rule","")</f>
        <v/>
      </c>
    </row>
    <row r="47" spans="2:5" x14ac:dyDescent="0.2">
      <c r="B47" s="256" t="s">
        <v>50</v>
      </c>
      <c r="C47" s="279">
        <f>SUM(C40:C45)</f>
        <v>79755</v>
      </c>
      <c r="D47" s="279">
        <f>SUM(D40:D45)</f>
        <v>103366</v>
      </c>
      <c r="E47" s="279">
        <f>SUM(E40:E45)</f>
        <v>111965</v>
      </c>
    </row>
    <row r="48" spans="2:5" x14ac:dyDescent="0.2">
      <c r="B48" s="100" t="s">
        <v>135</v>
      </c>
      <c r="C48" s="47">
        <f>C38-C47</f>
        <v>167121</v>
      </c>
      <c r="D48" s="47">
        <f>D38-D47</f>
        <v>149105</v>
      </c>
      <c r="E48" s="47">
        <f>E38-E47</f>
        <v>122490</v>
      </c>
    </row>
    <row r="49" spans="2:5" x14ac:dyDescent="0.2">
      <c r="B49" s="625" t="str">
        <f>CONCATENATE("",E1-2,"/",E1-1,"/",E1," Budget Authority Amount:")</f>
        <v>2013/2014/2015 Budget Authority Amount:</v>
      </c>
      <c r="C49" s="249">
        <f>inputOth!B78</f>
        <v>80196</v>
      </c>
      <c r="D49" s="249">
        <f>inputPrYr!D33</f>
        <v>103366</v>
      </c>
      <c r="E49" s="626">
        <f>E47</f>
        <v>111965</v>
      </c>
    </row>
    <row r="50" spans="2:5" x14ac:dyDescent="0.2">
      <c r="B50" s="675"/>
      <c r="C50" s="262" t="str">
        <f>IF(C47&gt;C49,"See Tab A","")</f>
        <v/>
      </c>
      <c r="D50" s="262" t="str">
        <f>IF(D47&gt;D49,"See Tab C","")</f>
        <v/>
      </c>
      <c r="E50" s="627" t="str">
        <f>IF(E48&lt;0,"See Tab E","")</f>
        <v/>
      </c>
    </row>
    <row r="51" spans="2:5" x14ac:dyDescent="0.2">
      <c r="B51" s="675"/>
      <c r="C51" s="262" t="str">
        <f>IF(C48&lt;0,"See Tab B","")</f>
        <v/>
      </c>
      <c r="D51" s="262" t="str">
        <f>IF(D48&lt;0,"See Tab D","")</f>
        <v/>
      </c>
      <c r="E51" s="20"/>
    </row>
    <row r="52" spans="2:5" x14ac:dyDescent="0.2">
      <c r="B52" s="20"/>
      <c r="C52" s="20"/>
      <c r="D52" s="20"/>
      <c r="E52" s="20"/>
    </row>
    <row r="53" spans="2:5" x14ac:dyDescent="0.2">
      <c r="B53" s="675" t="s">
        <v>53</v>
      </c>
      <c r="C53" s="266">
        <v>11</v>
      </c>
      <c r="D53" s="20"/>
      <c r="E53" s="20"/>
    </row>
  </sheetData>
  <sheetProtection sheet="1" objects="1" scenarios="1"/>
  <conditionalFormatting sqref="C45">
    <cfRule type="cellIs" dxfId="257" priority="3" stopIfTrue="1" operator="greaterThan">
      <formula>$C$47*0.1</formula>
    </cfRule>
  </conditionalFormatting>
  <conditionalFormatting sqref="D45">
    <cfRule type="cellIs" dxfId="256" priority="4" stopIfTrue="1" operator="greaterThan">
      <formula>$D$47*0.1</formula>
    </cfRule>
  </conditionalFormatting>
  <conditionalFormatting sqref="E45">
    <cfRule type="cellIs" dxfId="255" priority="5" stopIfTrue="1" operator="greaterThan">
      <formula>$E$47*0.1</formula>
    </cfRule>
  </conditionalFormatting>
  <conditionalFormatting sqref="C35">
    <cfRule type="cellIs" dxfId="254" priority="6" stopIfTrue="1" operator="greaterThan">
      <formula>$C$37*0.1</formula>
    </cfRule>
  </conditionalFormatting>
  <conditionalFormatting sqref="C18">
    <cfRule type="cellIs" dxfId="253" priority="7" stopIfTrue="1" operator="greaterThan">
      <formula>$C$20*0.1</formula>
    </cfRule>
  </conditionalFormatting>
  <conditionalFormatting sqref="D18">
    <cfRule type="cellIs" dxfId="252" priority="8" stopIfTrue="1" operator="greaterThan">
      <formula>$D$20*0.1</formula>
    </cfRule>
  </conditionalFormatting>
  <conditionalFormatting sqref="E18">
    <cfRule type="cellIs" dxfId="251" priority="9" stopIfTrue="1" operator="greaterThan">
      <formula>$E$20*0.1</formula>
    </cfRule>
  </conditionalFormatting>
  <conditionalFormatting sqref="C10">
    <cfRule type="cellIs" dxfId="250" priority="10" stopIfTrue="1" operator="greaterThan">
      <formula>$C$12*0.1</formula>
    </cfRule>
  </conditionalFormatting>
  <conditionalFormatting sqref="D10">
    <cfRule type="cellIs" dxfId="249" priority="11" stopIfTrue="1" operator="greaterThan">
      <formula>$D$12*0.1</formula>
    </cfRule>
  </conditionalFormatting>
  <conditionalFormatting sqref="E10">
    <cfRule type="cellIs" dxfId="248" priority="12" stopIfTrue="1" operator="greaterThan">
      <formula>$E$12*0.1</formula>
    </cfRule>
  </conditionalFormatting>
  <conditionalFormatting sqref="E21 C21 E48 C48">
    <cfRule type="cellIs" dxfId="247" priority="13" stopIfTrue="1" operator="lessThan">
      <formula>0</formula>
    </cfRule>
  </conditionalFormatting>
  <conditionalFormatting sqref="C20">
    <cfRule type="cellIs" dxfId="246" priority="14" stopIfTrue="1" operator="greaterThan">
      <formula>$C$22</formula>
    </cfRule>
  </conditionalFormatting>
  <conditionalFormatting sqref="D20">
    <cfRule type="cellIs" dxfId="245" priority="15" stopIfTrue="1" operator="greaterThan">
      <formula>$D$22</formula>
    </cfRule>
  </conditionalFormatting>
  <conditionalFormatting sqref="C47">
    <cfRule type="cellIs" dxfId="244" priority="16" stopIfTrue="1" operator="greaterThan">
      <formula>$C$49</formula>
    </cfRule>
  </conditionalFormatting>
  <conditionalFormatting sqref="D47">
    <cfRule type="cellIs" dxfId="243" priority="17" stopIfTrue="1" operator="greaterThan">
      <formula>$D$49</formula>
    </cfRule>
  </conditionalFormatting>
  <conditionalFormatting sqref="D35">
    <cfRule type="cellIs" dxfId="242" priority="18" stopIfTrue="1" operator="greaterThan">
      <formula>$D$37*0.1</formula>
    </cfRule>
  </conditionalFormatting>
  <conditionalFormatting sqref="E35">
    <cfRule type="cellIs" dxfId="241" priority="19" stopIfTrue="1" operator="greaterThan">
      <formula>$E$37*0.1</formula>
    </cfRule>
  </conditionalFormatting>
  <conditionalFormatting sqref="D48">
    <cfRule type="cellIs" dxfId="240" priority="2" stopIfTrue="1" operator="lessThan">
      <formula>0</formula>
    </cfRule>
  </conditionalFormatting>
  <conditionalFormatting sqref="D21">
    <cfRule type="cellIs" dxfId="239"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workbookViewId="0">
      <selection activeCell="G3" sqref="G3"/>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(inputPrYr!B34)</f>
        <v>Spec. Rev. Drug &amp; Alcohol</v>
      </c>
      <c r="C5" s="673" t="str">
        <f>CONCATENATE("Actual for ",E1-2,"")</f>
        <v>Actual for 2013</v>
      </c>
      <c r="D5" s="673" t="str">
        <f>CONCATENATE("Estimate for ",E1-1,"")</f>
        <v>Estimate for 2014</v>
      </c>
      <c r="E5" s="192" t="str">
        <f>CONCATENATE("Year for ",E1,"")</f>
        <v>Year for 2015</v>
      </c>
    </row>
    <row r="6" spans="2:5" x14ac:dyDescent="0.2">
      <c r="B6" s="100" t="s">
        <v>134</v>
      </c>
      <c r="C6" s="40">
        <v>145193</v>
      </c>
      <c r="D6" s="148">
        <f>C24</f>
        <v>129508</v>
      </c>
      <c r="E6" s="148">
        <f>D24</f>
        <v>112478</v>
      </c>
    </row>
    <row r="7" spans="2:5" x14ac:dyDescent="0.2">
      <c r="B7" s="246" t="s">
        <v>136</v>
      </c>
      <c r="C7" s="148"/>
      <c r="D7" s="148"/>
      <c r="E7" s="148"/>
    </row>
    <row r="8" spans="2:5" x14ac:dyDescent="0.2">
      <c r="B8" s="259" t="s">
        <v>1054</v>
      </c>
      <c r="C8" s="40">
        <v>56525</v>
      </c>
      <c r="D8" s="40">
        <v>50000</v>
      </c>
      <c r="E8" s="40">
        <v>50000</v>
      </c>
    </row>
    <row r="9" spans="2:5" x14ac:dyDescent="0.2">
      <c r="B9" s="259" t="s">
        <v>82</v>
      </c>
      <c r="C9" s="40">
        <v>252</v>
      </c>
      <c r="D9" s="40">
        <v>250</v>
      </c>
      <c r="E9" s="40">
        <v>250</v>
      </c>
    </row>
    <row r="10" spans="2:5" x14ac:dyDescent="0.2">
      <c r="B10" s="277" t="s">
        <v>18</v>
      </c>
      <c r="C10" s="40"/>
      <c r="D10" s="40"/>
      <c r="E10" s="40"/>
    </row>
    <row r="11" spans="2:5" x14ac:dyDescent="0.2">
      <c r="B11" s="150" t="s">
        <v>127</v>
      </c>
      <c r="C11" s="40"/>
      <c r="D11" s="276"/>
      <c r="E11" s="276"/>
    </row>
    <row r="12" spans="2:5" x14ac:dyDescent="0.2">
      <c r="B12" s="150" t="s">
        <v>609</v>
      </c>
      <c r="C12" s="475" t="str">
        <f>IF(C13*0.1&lt;C11,"Exceed 10% Rule","")</f>
        <v/>
      </c>
      <c r="D12" s="278" t="str">
        <f>IF(D13*0.1&lt;D11,"Exceed 10% Rule","")</f>
        <v/>
      </c>
      <c r="E12" s="278" t="str">
        <f>IF(E13*0.1&lt;E11,"Exceed 10% Rule","")</f>
        <v/>
      </c>
    </row>
    <row r="13" spans="2:5" x14ac:dyDescent="0.2">
      <c r="B13" s="256" t="s">
        <v>47</v>
      </c>
      <c r="C13" s="279">
        <f>SUM(C8:C11)</f>
        <v>56777</v>
      </c>
      <c r="D13" s="279">
        <f>SUM(D8:D11)</f>
        <v>50250</v>
      </c>
      <c r="E13" s="279">
        <f>SUM(E8:E11)</f>
        <v>50250</v>
      </c>
    </row>
    <row r="14" spans="2:5" x14ac:dyDescent="0.2">
      <c r="B14" s="256" t="s">
        <v>48</v>
      </c>
      <c r="C14" s="279">
        <f>C6+C13</f>
        <v>201970</v>
      </c>
      <c r="D14" s="279">
        <f>D6+D13</f>
        <v>179758</v>
      </c>
      <c r="E14" s="279">
        <f>E6+E13</f>
        <v>162728</v>
      </c>
    </row>
    <row r="15" spans="2:5" x14ac:dyDescent="0.2">
      <c r="B15" s="100" t="s">
        <v>49</v>
      </c>
      <c r="C15" s="148"/>
      <c r="D15" s="148"/>
      <c r="E15" s="148"/>
    </row>
    <row r="16" spans="2:5" x14ac:dyDescent="0.2">
      <c r="B16" s="259" t="s">
        <v>1075</v>
      </c>
      <c r="C16" s="40">
        <v>13497</v>
      </c>
      <c r="D16" s="40">
        <v>6030</v>
      </c>
      <c r="E16" s="40">
        <v>25000</v>
      </c>
    </row>
    <row r="17" spans="2:5" x14ac:dyDescent="0.2">
      <c r="B17" s="259" t="s">
        <v>1150</v>
      </c>
      <c r="C17" s="40">
        <v>4640</v>
      </c>
      <c r="D17" s="40">
        <v>5000</v>
      </c>
      <c r="E17" s="40">
        <v>0</v>
      </c>
    </row>
    <row r="18" spans="2:5" x14ac:dyDescent="0.2">
      <c r="B18" s="259" t="s">
        <v>1151</v>
      </c>
      <c r="C18" s="40">
        <v>54325</v>
      </c>
      <c r="D18" s="40">
        <v>56250</v>
      </c>
      <c r="E18" s="40">
        <v>60400</v>
      </c>
    </row>
    <row r="19" spans="2:5" x14ac:dyDescent="0.2">
      <c r="B19" s="259"/>
      <c r="C19" s="40"/>
      <c r="D19" s="40"/>
      <c r="E19" s="40"/>
    </row>
    <row r="20" spans="2:5" x14ac:dyDescent="0.2">
      <c r="B20" s="259"/>
      <c r="C20" s="40"/>
      <c r="D20" s="40"/>
      <c r="E20" s="40"/>
    </row>
    <row r="21" spans="2:5" x14ac:dyDescent="0.2">
      <c r="B21" s="150" t="s">
        <v>127</v>
      </c>
      <c r="C21" s="40"/>
      <c r="D21" s="276"/>
      <c r="E21" s="276"/>
    </row>
    <row r="22" spans="2:5" x14ac:dyDescent="0.2">
      <c r="B22" s="150" t="s">
        <v>610</v>
      </c>
      <c r="C22" s="475" t="str">
        <f>IF(C23*0.1&lt;C21,"Exceed 10% Rule","")</f>
        <v/>
      </c>
      <c r="D22" s="278" t="str">
        <f>IF(D23*0.1&lt;D21,"Exceed 10% Rule","")</f>
        <v/>
      </c>
      <c r="E22" s="278" t="str">
        <f>IF(E23*0.1&lt;E21,"Exceed 10% Rule","")</f>
        <v/>
      </c>
    </row>
    <row r="23" spans="2:5" x14ac:dyDescent="0.2">
      <c r="B23" s="256" t="s">
        <v>50</v>
      </c>
      <c r="C23" s="279">
        <f>SUM(C16:C21)</f>
        <v>72462</v>
      </c>
      <c r="D23" s="279">
        <f>SUM(D16:D21)</f>
        <v>67280</v>
      </c>
      <c r="E23" s="279">
        <f>SUM(E16:E21)</f>
        <v>85400</v>
      </c>
    </row>
    <row r="24" spans="2:5" x14ac:dyDescent="0.2">
      <c r="B24" s="100" t="s">
        <v>135</v>
      </c>
      <c r="C24" s="47">
        <f>C14-C23</f>
        <v>129508</v>
      </c>
      <c r="D24" s="47">
        <f>D14-D23</f>
        <v>112478</v>
      </c>
      <c r="E24" s="47">
        <f>E14-E23</f>
        <v>77328</v>
      </c>
    </row>
    <row r="25" spans="2:5" x14ac:dyDescent="0.2">
      <c r="B25" s="625" t="str">
        <f>CONCATENATE("",E1-2,"/",E1-1,"/",E1," Budget Authority Amount:")</f>
        <v>2013/2014/2015 Budget Authority Amount:</v>
      </c>
      <c r="C25" s="249">
        <f>inputOth!B79</f>
        <v>79325</v>
      </c>
      <c r="D25" s="249">
        <f>inputPrYr!D34</f>
        <v>81250</v>
      </c>
      <c r="E25" s="626">
        <v>145</v>
      </c>
    </row>
    <row r="26" spans="2:5" x14ac:dyDescent="0.2">
      <c r="B26" s="675"/>
      <c r="C26" s="262" t="str">
        <f>IF(C23&gt;C25,"See Tab A","")</f>
        <v/>
      </c>
      <c r="D26" s="262" t="str">
        <f>IF(D23&gt;D25,"See Tab C","")</f>
        <v/>
      </c>
      <c r="E26" s="627" t="str">
        <f>IF(E24&lt;0,"See Tab E","")</f>
        <v/>
      </c>
    </row>
    <row r="27" spans="2:5" x14ac:dyDescent="0.2">
      <c r="B27" s="675"/>
      <c r="C27" s="262" t="str">
        <f>IF(C24&lt;0,"See Tab B","")</f>
        <v/>
      </c>
      <c r="D27" s="262" t="str">
        <f>IF(D24&lt;0,"See Tab D","")</f>
        <v/>
      </c>
      <c r="E27" s="281"/>
    </row>
    <row r="28" spans="2:5" x14ac:dyDescent="0.2">
      <c r="B28" s="20"/>
      <c r="C28" s="281"/>
      <c r="D28" s="281"/>
      <c r="E28" s="281"/>
    </row>
    <row r="29" spans="2:5" x14ac:dyDescent="0.2">
      <c r="B29" s="22" t="s">
        <v>41</v>
      </c>
      <c r="C29" s="552" t="s">
        <v>792</v>
      </c>
      <c r="D29" s="135" t="s">
        <v>793</v>
      </c>
      <c r="E29" s="135" t="s">
        <v>794</v>
      </c>
    </row>
    <row r="30" spans="2:5" x14ac:dyDescent="0.2">
      <c r="B30" s="484" t="str">
        <f>(inputPrYr!B35)</f>
        <v>Spec. Rev. Economic Development</v>
      </c>
      <c r="C30" s="192" t="str">
        <f>C5</f>
        <v>Actual for 2013</v>
      </c>
      <c r="D30" s="192" t="str">
        <f>D5</f>
        <v>Estimate for 2014</v>
      </c>
      <c r="E30" s="192" t="str">
        <f>E5</f>
        <v>Year for 2015</v>
      </c>
    </row>
    <row r="31" spans="2:5" x14ac:dyDescent="0.2">
      <c r="B31" s="100" t="s">
        <v>134</v>
      </c>
      <c r="C31" s="40">
        <v>11946</v>
      </c>
      <c r="D31" s="148">
        <f>C49</f>
        <v>15138</v>
      </c>
      <c r="E31" s="148">
        <f>D49</f>
        <v>2564</v>
      </c>
    </row>
    <row r="32" spans="2:5" x14ac:dyDescent="0.2">
      <c r="B32" s="246" t="s">
        <v>136</v>
      </c>
      <c r="C32" s="148"/>
      <c r="D32" s="148"/>
      <c r="E32" s="148"/>
    </row>
    <row r="33" spans="2:5" x14ac:dyDescent="0.2">
      <c r="B33" s="259" t="s">
        <v>1162</v>
      </c>
      <c r="C33" s="40">
        <v>750</v>
      </c>
      <c r="D33" s="40">
        <v>0</v>
      </c>
      <c r="E33" s="40">
        <v>0</v>
      </c>
    </row>
    <row r="34" spans="2:5" x14ac:dyDescent="0.2">
      <c r="B34" s="259" t="s">
        <v>82</v>
      </c>
      <c r="C34" s="40">
        <v>34</v>
      </c>
      <c r="D34" s="40">
        <v>0</v>
      </c>
      <c r="E34" s="40">
        <v>0</v>
      </c>
    </row>
    <row r="35" spans="2:5" x14ac:dyDescent="0.2">
      <c r="B35" s="259" t="s">
        <v>1094</v>
      </c>
      <c r="C35" s="40">
        <v>0</v>
      </c>
      <c r="D35" s="40">
        <v>0</v>
      </c>
      <c r="E35" s="40">
        <v>9688</v>
      </c>
    </row>
    <row r="36" spans="2:5" x14ac:dyDescent="0.2">
      <c r="B36" s="259" t="s">
        <v>1163</v>
      </c>
      <c r="C36" s="40">
        <v>13500</v>
      </c>
      <c r="D36" s="40">
        <v>0</v>
      </c>
      <c r="E36" s="40">
        <v>0</v>
      </c>
    </row>
    <row r="37" spans="2:5" x14ac:dyDescent="0.2">
      <c r="B37" s="277" t="s">
        <v>18</v>
      </c>
      <c r="C37" s="40"/>
      <c r="D37" s="40"/>
      <c r="E37" s="40"/>
    </row>
    <row r="38" spans="2:5" x14ac:dyDescent="0.2">
      <c r="B38" s="150" t="s">
        <v>127</v>
      </c>
      <c r="C38" s="40"/>
      <c r="D38" s="40"/>
      <c r="E38" s="40"/>
    </row>
    <row r="39" spans="2:5" x14ac:dyDescent="0.2">
      <c r="B39" s="150" t="s">
        <v>609</v>
      </c>
      <c r="C39" s="475" t="str">
        <f>IF(C40*0.1&lt;C38,"Exceed 10% Rule","")</f>
        <v/>
      </c>
      <c r="D39" s="278" t="str">
        <f>IF(D40*0.1&lt;D38,"Exceed 10% Rule","")</f>
        <v/>
      </c>
      <c r="E39" s="278" t="str">
        <f>IF(E40*0.1&lt;E38,"Exceed 10% Rule","")</f>
        <v/>
      </c>
    </row>
    <row r="40" spans="2:5" x14ac:dyDescent="0.2">
      <c r="B40" s="256" t="s">
        <v>47</v>
      </c>
      <c r="C40" s="279">
        <f>SUM(C33:C38)</f>
        <v>14284</v>
      </c>
      <c r="D40" s="279">
        <f>SUM(D33:D38)</f>
        <v>0</v>
      </c>
      <c r="E40" s="279">
        <f>SUM(E33:E38)</f>
        <v>9688</v>
      </c>
    </row>
    <row r="41" spans="2:5" x14ac:dyDescent="0.2">
      <c r="B41" s="256" t="s">
        <v>48</v>
      </c>
      <c r="C41" s="279">
        <f>C31+C40</f>
        <v>26230</v>
      </c>
      <c r="D41" s="279">
        <f>D31+D40</f>
        <v>15138</v>
      </c>
      <c r="E41" s="279">
        <f>E31+E40</f>
        <v>12252</v>
      </c>
    </row>
    <row r="42" spans="2:5" x14ac:dyDescent="0.2">
      <c r="B42" s="100" t="s">
        <v>49</v>
      </c>
      <c r="C42" s="148"/>
      <c r="D42" s="148"/>
      <c r="E42" s="148"/>
    </row>
    <row r="43" spans="2:5" x14ac:dyDescent="0.2">
      <c r="B43" s="259" t="s">
        <v>1075</v>
      </c>
      <c r="C43" s="40">
        <v>10475</v>
      </c>
      <c r="D43" s="40">
        <v>11774</v>
      </c>
      <c r="E43" s="40">
        <v>11452</v>
      </c>
    </row>
    <row r="44" spans="2:5" x14ac:dyDescent="0.2">
      <c r="B44" s="259" t="s">
        <v>1081</v>
      </c>
      <c r="C44" s="40">
        <v>617</v>
      </c>
      <c r="D44" s="40">
        <v>800</v>
      </c>
      <c r="E44" s="40">
        <v>800</v>
      </c>
    </row>
    <row r="45" spans="2:5" x14ac:dyDescent="0.2">
      <c r="B45" s="259"/>
      <c r="C45" s="40"/>
      <c r="D45" s="40"/>
      <c r="E45" s="40"/>
    </row>
    <row r="46" spans="2:5" x14ac:dyDescent="0.2">
      <c r="B46" s="150" t="s">
        <v>127</v>
      </c>
      <c r="C46" s="40"/>
      <c r="D46" s="276"/>
      <c r="E46" s="276"/>
    </row>
    <row r="47" spans="2:5" x14ac:dyDescent="0.2">
      <c r="B47" s="150" t="s">
        <v>610</v>
      </c>
      <c r="C47" s="475" t="str">
        <f>IF(C48*0.1&lt;C46,"Exceed 10% Rule","")</f>
        <v/>
      </c>
      <c r="D47" s="278" t="str">
        <f>IF(D48*0.1&lt;D46,"Exceed 10% Rule","")</f>
        <v/>
      </c>
      <c r="E47" s="278" t="str">
        <f>IF(E48*0.1&lt;E46,"Exceed 10% Rule","")</f>
        <v/>
      </c>
    </row>
    <row r="48" spans="2:5" x14ac:dyDescent="0.2">
      <c r="B48" s="256" t="s">
        <v>50</v>
      </c>
      <c r="C48" s="279">
        <f>SUM(C43:C46)</f>
        <v>11092</v>
      </c>
      <c r="D48" s="279">
        <f>SUM(D43:D46)</f>
        <v>12574</v>
      </c>
      <c r="E48" s="279">
        <f>SUM(E43:E46)</f>
        <v>12252</v>
      </c>
    </row>
    <row r="49" spans="2:5" x14ac:dyDescent="0.2">
      <c r="B49" s="100" t="s">
        <v>135</v>
      </c>
      <c r="C49" s="47">
        <f>C41-C48</f>
        <v>15138</v>
      </c>
      <c r="D49" s="47">
        <f>D41-D48</f>
        <v>2564</v>
      </c>
      <c r="E49" s="47">
        <f>E41-E48</f>
        <v>0</v>
      </c>
    </row>
    <row r="50" spans="2:5" x14ac:dyDescent="0.2">
      <c r="B50" s="625" t="str">
        <f>CONCATENATE("",E1-2,"/",E1-1,"/",E1," Budget Authority Amount:")</f>
        <v>2013/2014/2015 Budget Authority Amount:</v>
      </c>
      <c r="C50" s="249">
        <f>inputOth!B80</f>
        <v>11417</v>
      </c>
      <c r="D50" s="249">
        <f>inputPrYr!D35</f>
        <v>12574</v>
      </c>
      <c r="E50" s="148">
        <f>E48</f>
        <v>12252</v>
      </c>
    </row>
    <row r="51" spans="2:5" x14ac:dyDescent="0.2">
      <c r="B51" s="675"/>
      <c r="C51" s="262" t="str">
        <f>IF(C49&lt;0,"See Tab B","")</f>
        <v/>
      </c>
      <c r="D51" s="262" t="str">
        <f>IF(D49&lt;0,"See Tab D","")</f>
        <v/>
      </c>
      <c r="E51" s="20"/>
    </row>
    <row r="52" spans="2:5" x14ac:dyDescent="0.2">
      <c r="B52" s="20"/>
      <c r="C52" s="20"/>
      <c r="D52" s="20"/>
      <c r="E52" s="20"/>
    </row>
    <row r="53" spans="2:5" x14ac:dyDescent="0.2">
      <c r="B53" s="675" t="s">
        <v>53</v>
      </c>
      <c r="C53" s="266">
        <v>12</v>
      </c>
      <c r="D53" s="20"/>
      <c r="E53" s="20"/>
    </row>
  </sheetData>
  <sheetProtection sheet="1" objects="1" scenarios="1"/>
  <conditionalFormatting sqref="C46">
    <cfRule type="cellIs" dxfId="238" priority="3" stopIfTrue="1" operator="greaterThan">
      <formula>$C$48*0.1</formula>
    </cfRule>
  </conditionalFormatting>
  <conditionalFormatting sqref="D46">
    <cfRule type="cellIs" dxfId="237" priority="4" stopIfTrue="1" operator="greaterThan">
      <formula>$D$48*0.1</formula>
    </cfRule>
  </conditionalFormatting>
  <conditionalFormatting sqref="E46">
    <cfRule type="cellIs" dxfId="236" priority="5" stopIfTrue="1" operator="greaterThan">
      <formula>$E$48*0.1</formula>
    </cfRule>
  </conditionalFormatting>
  <conditionalFormatting sqref="C38">
    <cfRule type="cellIs" dxfId="235" priority="6" stopIfTrue="1" operator="greaterThan">
      <formula>$C$40*0.1</formula>
    </cfRule>
  </conditionalFormatting>
  <conditionalFormatting sqref="C21">
    <cfRule type="cellIs" dxfId="234" priority="7" stopIfTrue="1" operator="greaterThan">
      <formula>$C$23*0.1</formula>
    </cfRule>
  </conditionalFormatting>
  <conditionalFormatting sqref="D21">
    <cfRule type="cellIs" dxfId="233" priority="8" stopIfTrue="1" operator="greaterThan">
      <formula>$D$23*0.1</formula>
    </cfRule>
  </conditionalFormatting>
  <conditionalFormatting sqref="E21">
    <cfRule type="cellIs" dxfId="232" priority="9" stopIfTrue="1" operator="greaterThan">
      <formula>$E$23*0.1</formula>
    </cfRule>
  </conditionalFormatting>
  <conditionalFormatting sqref="C11">
    <cfRule type="cellIs" dxfId="231" priority="10" stopIfTrue="1" operator="greaterThan">
      <formula>$C$13*0.1</formula>
    </cfRule>
  </conditionalFormatting>
  <conditionalFormatting sqref="D11">
    <cfRule type="cellIs" dxfId="230" priority="11" stopIfTrue="1" operator="greaterThan">
      <formula>$D$13*0.1</formula>
    </cfRule>
  </conditionalFormatting>
  <conditionalFormatting sqref="E11">
    <cfRule type="cellIs" dxfId="229" priority="12" stopIfTrue="1" operator="greaterThan">
      <formula>$E$13*0.1</formula>
    </cfRule>
  </conditionalFormatting>
  <conditionalFormatting sqref="E24 C24 E49 C49">
    <cfRule type="cellIs" dxfId="228" priority="13" stopIfTrue="1" operator="lessThan">
      <formula>0</formula>
    </cfRule>
  </conditionalFormatting>
  <conditionalFormatting sqref="C23">
    <cfRule type="cellIs" dxfId="227" priority="14" stopIfTrue="1" operator="greaterThan">
      <formula>$C$25</formula>
    </cfRule>
  </conditionalFormatting>
  <conditionalFormatting sqref="D23">
    <cfRule type="cellIs" dxfId="226" priority="15" stopIfTrue="1" operator="greaterThan">
      <formula>$D$25</formula>
    </cfRule>
  </conditionalFormatting>
  <conditionalFormatting sqref="C48">
    <cfRule type="cellIs" dxfId="225" priority="16" stopIfTrue="1" operator="greaterThan">
      <formula>$C$50</formula>
    </cfRule>
  </conditionalFormatting>
  <conditionalFormatting sqref="D48">
    <cfRule type="cellIs" dxfId="224" priority="17" stopIfTrue="1" operator="greaterThan">
      <formula>$D$50</formula>
    </cfRule>
  </conditionalFormatting>
  <conditionalFormatting sqref="D38">
    <cfRule type="cellIs" dxfId="223" priority="18" stopIfTrue="1" operator="greaterThan">
      <formula>$D$40*0.1</formula>
    </cfRule>
  </conditionalFormatting>
  <conditionalFormatting sqref="E38">
    <cfRule type="cellIs" dxfId="222" priority="19" stopIfTrue="1" operator="greaterThan">
      <formula>$E$40*0.1</formula>
    </cfRule>
  </conditionalFormatting>
  <conditionalFormatting sqref="D49">
    <cfRule type="cellIs" dxfId="221" priority="2" stopIfTrue="1" operator="lessThan">
      <formula>0</formula>
    </cfRule>
  </conditionalFormatting>
  <conditionalFormatting sqref="D24">
    <cfRule type="cellIs" dxfId="220"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topLeftCell="A32" workbookViewId="0">
      <selection activeCell="G11" sqref="G11"/>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(inputPrYr!B36)</f>
        <v>Spec. Rev. Emergency Services Capital</v>
      </c>
      <c r="C5" s="673" t="str">
        <f>CONCATENATE("Actual for ",E1-2,"")</f>
        <v>Actual for 2013</v>
      </c>
      <c r="D5" s="673" t="str">
        <f>CONCATENATE("Estimate for ",E1-1,"")</f>
        <v>Estimate for 2014</v>
      </c>
      <c r="E5" s="192" t="str">
        <f>CONCATENATE("Year for ",E1,"")</f>
        <v>Year for 2015</v>
      </c>
    </row>
    <row r="6" spans="2:5" x14ac:dyDescent="0.2">
      <c r="B6" s="100" t="s">
        <v>134</v>
      </c>
      <c r="C6" s="40">
        <v>358654</v>
      </c>
      <c r="D6" s="148">
        <f>C23</f>
        <v>249948</v>
      </c>
      <c r="E6" s="148">
        <f>D23</f>
        <v>314852</v>
      </c>
    </row>
    <row r="7" spans="2:5" x14ac:dyDescent="0.2">
      <c r="B7" s="246" t="s">
        <v>136</v>
      </c>
      <c r="C7" s="148"/>
      <c r="D7" s="148"/>
      <c r="E7" s="148"/>
    </row>
    <row r="8" spans="2:5" x14ac:dyDescent="0.2">
      <c r="B8" s="259" t="s">
        <v>1046</v>
      </c>
      <c r="C8" s="40">
        <v>471746</v>
      </c>
      <c r="D8" s="40">
        <v>471750</v>
      </c>
      <c r="E8" s="40">
        <v>450000</v>
      </c>
    </row>
    <row r="9" spans="2:5" x14ac:dyDescent="0.2">
      <c r="B9" s="259" t="s">
        <v>82</v>
      </c>
      <c r="C9" s="40">
        <v>477</v>
      </c>
      <c r="D9" s="40">
        <v>600</v>
      </c>
      <c r="E9" s="40">
        <v>500</v>
      </c>
    </row>
    <row r="10" spans="2:5" x14ac:dyDescent="0.2">
      <c r="B10" s="259" t="s">
        <v>1060</v>
      </c>
      <c r="C10" s="40">
        <v>14408</v>
      </c>
      <c r="D10" s="40">
        <v>0</v>
      </c>
      <c r="E10" s="40">
        <v>0</v>
      </c>
    </row>
    <row r="11" spans="2:5" x14ac:dyDescent="0.2">
      <c r="B11" s="277" t="s">
        <v>18</v>
      </c>
      <c r="C11" s="40"/>
      <c r="D11" s="40"/>
      <c r="E11" s="40"/>
    </row>
    <row r="12" spans="2:5" x14ac:dyDescent="0.2">
      <c r="B12" s="150" t="s">
        <v>127</v>
      </c>
      <c r="C12" s="40"/>
      <c r="D12" s="276"/>
      <c r="E12" s="276"/>
    </row>
    <row r="13" spans="2:5" x14ac:dyDescent="0.2">
      <c r="B13" s="150" t="s">
        <v>609</v>
      </c>
      <c r="C13" s="475" t="str">
        <f>IF(C14*0.1&lt;C12,"Exceed 10% Rule","")</f>
        <v/>
      </c>
      <c r="D13" s="278" t="str">
        <f>IF(D14*0.1&lt;D12,"Exceed 10% Rule","")</f>
        <v/>
      </c>
      <c r="E13" s="278" t="str">
        <f>IF(E14*0.1&lt;E12,"Exceed 10% Rule","")</f>
        <v/>
      </c>
    </row>
    <row r="14" spans="2:5" x14ac:dyDescent="0.2">
      <c r="B14" s="256" t="s">
        <v>47</v>
      </c>
      <c r="C14" s="279">
        <f>SUM(C8:C12)</f>
        <v>486631</v>
      </c>
      <c r="D14" s="279">
        <f>SUM(D8:D12)</f>
        <v>472350</v>
      </c>
      <c r="E14" s="279">
        <f>SUM(E8:E12)</f>
        <v>450500</v>
      </c>
    </row>
    <row r="15" spans="2:5" x14ac:dyDescent="0.2">
      <c r="B15" s="256" t="s">
        <v>48</v>
      </c>
      <c r="C15" s="279">
        <f>C6+C14</f>
        <v>845285</v>
      </c>
      <c r="D15" s="279">
        <f>D6+D14</f>
        <v>722298</v>
      </c>
      <c r="E15" s="279">
        <f>E6+E14</f>
        <v>765352</v>
      </c>
    </row>
    <row r="16" spans="2:5" x14ac:dyDescent="0.2">
      <c r="B16" s="100" t="s">
        <v>49</v>
      </c>
      <c r="C16" s="148"/>
      <c r="D16" s="148"/>
      <c r="E16" s="148"/>
    </row>
    <row r="17" spans="2:5" x14ac:dyDescent="0.2">
      <c r="B17" s="259" t="s">
        <v>1082</v>
      </c>
      <c r="C17" s="40">
        <v>327293</v>
      </c>
      <c r="D17" s="40">
        <v>138945</v>
      </c>
      <c r="E17" s="40">
        <v>448354</v>
      </c>
    </row>
    <row r="18" spans="2:5" x14ac:dyDescent="0.2">
      <c r="B18" s="259" t="s">
        <v>1165</v>
      </c>
      <c r="C18" s="40">
        <v>268044</v>
      </c>
      <c r="D18" s="40">
        <v>268501</v>
      </c>
      <c r="E18" s="40">
        <v>263822</v>
      </c>
    </row>
    <row r="19" spans="2:5" x14ac:dyDescent="0.2">
      <c r="B19" s="259"/>
      <c r="C19" s="40"/>
      <c r="D19" s="40"/>
      <c r="E19" s="40"/>
    </row>
    <row r="20" spans="2:5" x14ac:dyDescent="0.2">
      <c r="B20" s="150" t="s">
        <v>127</v>
      </c>
      <c r="C20" s="40"/>
      <c r="D20" s="276"/>
      <c r="E20" s="276"/>
    </row>
    <row r="21" spans="2:5" x14ac:dyDescent="0.2">
      <c r="B21" s="150" t="s">
        <v>610</v>
      </c>
      <c r="C21" s="475" t="str">
        <f>IF(C22*0.1&lt;C20,"Exceed 10% Rule","")</f>
        <v/>
      </c>
      <c r="D21" s="278" t="str">
        <f>IF(D22*0.1&lt;D20,"Exceed 10% Rule","")</f>
        <v/>
      </c>
      <c r="E21" s="278" t="str">
        <f>IF(E22*0.1&lt;E20,"Exceed 10% Rule","")</f>
        <v/>
      </c>
    </row>
    <row r="22" spans="2:5" x14ac:dyDescent="0.2">
      <c r="B22" s="256" t="s">
        <v>50</v>
      </c>
      <c r="C22" s="279">
        <f>SUM(C17:C20)</f>
        <v>595337</v>
      </c>
      <c r="D22" s="279">
        <f>SUM(D17:D20)</f>
        <v>407446</v>
      </c>
      <c r="E22" s="279">
        <f>SUM(E17:E20)</f>
        <v>712176</v>
      </c>
    </row>
    <row r="23" spans="2:5" x14ac:dyDescent="0.2">
      <c r="B23" s="100" t="s">
        <v>135</v>
      </c>
      <c r="C23" s="47">
        <f>C15-C22</f>
        <v>249948</v>
      </c>
      <c r="D23" s="47">
        <f>D15-D22</f>
        <v>314852</v>
      </c>
      <c r="E23" s="47">
        <f>E15-E22</f>
        <v>53176</v>
      </c>
    </row>
    <row r="24" spans="2:5" x14ac:dyDescent="0.2">
      <c r="B24" s="625" t="str">
        <f>CONCATENATE("",E1-2,"/",E1-1,"/",E1," Budget Authority Amount:")</f>
        <v>2013/2014/2015 Budget Authority Amount:</v>
      </c>
      <c r="C24" s="249">
        <f>inputOth!B81</f>
        <v>714118</v>
      </c>
      <c r="D24" s="249">
        <f>inputPrYr!D36</f>
        <v>703342</v>
      </c>
      <c r="E24" s="626">
        <f>E22</f>
        <v>712176</v>
      </c>
    </row>
    <row r="25" spans="2:5" x14ac:dyDescent="0.2">
      <c r="B25" s="675"/>
      <c r="C25" s="262" t="str">
        <f>IF(C22&gt;C24,"See Tab A","")</f>
        <v/>
      </c>
      <c r="D25" s="262" t="str">
        <f>IF(D22&gt;D24,"See Tab C","")</f>
        <v/>
      </c>
      <c r="E25" s="627" t="str">
        <f>IF(E23&lt;0,"See Tab E","")</f>
        <v/>
      </c>
    </row>
    <row r="26" spans="2:5" x14ac:dyDescent="0.2">
      <c r="B26" s="675"/>
      <c r="C26" s="262" t="str">
        <f>IF(C23&lt;0,"See Tab B","")</f>
        <v/>
      </c>
      <c r="D26" s="262" t="str">
        <f>IF(D23&lt;0,"See Tab D","")</f>
        <v/>
      </c>
      <c r="E26" s="281"/>
    </row>
    <row r="27" spans="2:5" x14ac:dyDescent="0.2">
      <c r="B27" s="20"/>
      <c r="C27" s="281"/>
      <c r="D27" s="281"/>
      <c r="E27" s="281"/>
    </row>
    <row r="28" spans="2:5" x14ac:dyDescent="0.2">
      <c r="B28" s="22" t="s">
        <v>41</v>
      </c>
      <c r="C28" s="552" t="s">
        <v>792</v>
      </c>
      <c r="D28" s="135" t="s">
        <v>793</v>
      </c>
      <c r="E28" s="135" t="s">
        <v>794</v>
      </c>
    </row>
    <row r="29" spans="2:5" x14ac:dyDescent="0.2">
      <c r="B29" s="484" t="str">
        <f>(inputPrYr!B37)</f>
        <v>Spec. Rev. Emergency Medical Services</v>
      </c>
      <c r="C29" s="192" t="str">
        <f>C5</f>
        <v>Actual for 2013</v>
      </c>
      <c r="D29" s="192" t="str">
        <f>D5</f>
        <v>Estimate for 2014</v>
      </c>
      <c r="E29" s="192" t="str">
        <f>E5</f>
        <v>Year for 2015</v>
      </c>
    </row>
    <row r="30" spans="2:5" x14ac:dyDescent="0.2">
      <c r="B30" s="100" t="s">
        <v>134</v>
      </c>
      <c r="C30" s="40">
        <v>-288</v>
      </c>
      <c r="D30" s="148">
        <f>C49</f>
        <v>0</v>
      </c>
      <c r="E30" s="148">
        <f>D49</f>
        <v>0</v>
      </c>
    </row>
    <row r="31" spans="2:5" x14ac:dyDescent="0.2">
      <c r="B31" s="246" t="s">
        <v>136</v>
      </c>
      <c r="C31" s="148"/>
      <c r="D31" s="148"/>
      <c r="E31" s="148"/>
    </row>
    <row r="32" spans="2:5" x14ac:dyDescent="0.2">
      <c r="B32" s="259" t="s">
        <v>1166</v>
      </c>
      <c r="C32" s="40">
        <v>156113</v>
      </c>
      <c r="D32" s="40">
        <v>155000</v>
      </c>
      <c r="E32" s="40">
        <v>175000</v>
      </c>
    </row>
    <row r="33" spans="2:5" x14ac:dyDescent="0.2">
      <c r="B33" s="259" t="s">
        <v>1052</v>
      </c>
      <c r="C33" s="40">
        <v>71</v>
      </c>
      <c r="D33" s="40">
        <v>0</v>
      </c>
      <c r="E33" s="40">
        <v>0</v>
      </c>
    </row>
    <row r="34" spans="2:5" x14ac:dyDescent="0.2">
      <c r="B34" s="259" t="s">
        <v>1094</v>
      </c>
      <c r="C34" s="40">
        <v>368936</v>
      </c>
      <c r="D34" s="40">
        <v>421020</v>
      </c>
      <c r="E34" s="40">
        <v>512130</v>
      </c>
    </row>
    <row r="35" spans="2:5" x14ac:dyDescent="0.2">
      <c r="B35" s="259"/>
      <c r="C35" s="40"/>
      <c r="D35" s="40"/>
      <c r="E35" s="40"/>
    </row>
    <row r="36" spans="2:5" x14ac:dyDescent="0.2">
      <c r="B36" s="277" t="s">
        <v>18</v>
      </c>
      <c r="C36" s="40"/>
      <c r="D36" s="40"/>
      <c r="E36" s="40"/>
    </row>
    <row r="37" spans="2:5" x14ac:dyDescent="0.2">
      <c r="B37" s="150" t="s">
        <v>127</v>
      </c>
      <c r="C37" s="40"/>
      <c r="D37" s="40"/>
      <c r="E37" s="40"/>
    </row>
    <row r="38" spans="2:5" x14ac:dyDescent="0.2">
      <c r="B38" s="150" t="s">
        <v>609</v>
      </c>
      <c r="C38" s="475" t="str">
        <f>IF(C39*0.1&lt;C37,"Exceed 10% Rule","")</f>
        <v/>
      </c>
      <c r="D38" s="278" t="str">
        <f>IF(D39*0.1&lt;D37,"Exceed 10% Rule","")</f>
        <v/>
      </c>
      <c r="E38" s="278" t="str">
        <f>IF(E39*0.1&lt;E37,"Exceed 10% Rule","")</f>
        <v/>
      </c>
    </row>
    <row r="39" spans="2:5" x14ac:dyDescent="0.2">
      <c r="B39" s="256" t="s">
        <v>47</v>
      </c>
      <c r="C39" s="279">
        <f>SUM(C32:C37)</f>
        <v>525120</v>
      </c>
      <c r="D39" s="279">
        <f>SUM(D32:D37)</f>
        <v>576020</v>
      </c>
      <c r="E39" s="279">
        <f>SUM(E32:E37)</f>
        <v>687130</v>
      </c>
    </row>
    <row r="40" spans="2:5" x14ac:dyDescent="0.2">
      <c r="B40" s="256" t="s">
        <v>48</v>
      </c>
      <c r="C40" s="279">
        <f>C30+C39</f>
        <v>524832</v>
      </c>
      <c r="D40" s="279">
        <f>D30+D39</f>
        <v>576020</v>
      </c>
      <c r="E40" s="279">
        <f>E30+E39</f>
        <v>687130</v>
      </c>
    </row>
    <row r="41" spans="2:5" x14ac:dyDescent="0.2">
      <c r="B41" s="100" t="s">
        <v>49</v>
      </c>
      <c r="C41" s="148"/>
      <c r="D41" s="148"/>
      <c r="E41" s="148"/>
    </row>
    <row r="42" spans="2:5" x14ac:dyDescent="0.2">
      <c r="B42" s="259" t="s">
        <v>1080</v>
      </c>
      <c r="C42" s="40">
        <v>402079</v>
      </c>
      <c r="D42" s="40">
        <v>441374</v>
      </c>
      <c r="E42" s="40">
        <v>551544</v>
      </c>
    </row>
    <row r="43" spans="2:5" x14ac:dyDescent="0.2">
      <c r="B43" s="259" t="s">
        <v>1075</v>
      </c>
      <c r="C43" s="40">
        <v>72865</v>
      </c>
      <c r="D43" s="40">
        <v>85096</v>
      </c>
      <c r="E43" s="40">
        <v>84496</v>
      </c>
    </row>
    <row r="44" spans="2:5" x14ac:dyDescent="0.2">
      <c r="B44" s="259" t="s">
        <v>1081</v>
      </c>
      <c r="C44" s="40">
        <v>48412</v>
      </c>
      <c r="D44" s="40">
        <v>49550</v>
      </c>
      <c r="E44" s="40">
        <v>51090</v>
      </c>
    </row>
    <row r="45" spans="2:5" x14ac:dyDescent="0.2">
      <c r="B45" s="259" t="s">
        <v>1076</v>
      </c>
      <c r="C45" s="40">
        <v>1476</v>
      </c>
      <c r="D45" s="40">
        <v>0</v>
      </c>
      <c r="E45" s="40">
        <v>0</v>
      </c>
    </row>
    <row r="46" spans="2:5" x14ac:dyDescent="0.2">
      <c r="B46" s="150" t="s">
        <v>127</v>
      </c>
      <c r="C46" s="40"/>
      <c r="D46" s="276"/>
      <c r="E46" s="276"/>
    </row>
    <row r="47" spans="2:5" x14ac:dyDescent="0.2">
      <c r="B47" s="150" t="s">
        <v>610</v>
      </c>
      <c r="C47" s="475" t="str">
        <f>IF(C48*0.1&lt;C46,"Exceed 10% Rule","")</f>
        <v/>
      </c>
      <c r="D47" s="278" t="str">
        <f>IF(D48*0.1&lt;D46,"Exceed 10% Rule","")</f>
        <v/>
      </c>
      <c r="E47" s="278" t="str">
        <f>IF(E48*0.1&lt;E46,"Exceed 10% Rule","")</f>
        <v/>
      </c>
    </row>
    <row r="48" spans="2:5" x14ac:dyDescent="0.2">
      <c r="B48" s="256" t="s">
        <v>50</v>
      </c>
      <c r="C48" s="279">
        <f>SUM(C42:C46)</f>
        <v>524832</v>
      </c>
      <c r="D48" s="279">
        <f>SUM(D42:D46)</f>
        <v>576020</v>
      </c>
      <c r="E48" s="279">
        <f>SUM(E42:E46)</f>
        <v>687130</v>
      </c>
    </row>
    <row r="49" spans="2:5" x14ac:dyDescent="0.2">
      <c r="B49" s="100" t="s">
        <v>135</v>
      </c>
      <c r="C49" s="47">
        <f>C40-C48</f>
        <v>0</v>
      </c>
      <c r="D49" s="47">
        <f>D40-D48</f>
        <v>0</v>
      </c>
      <c r="E49" s="47">
        <f>E40-E48</f>
        <v>0</v>
      </c>
    </row>
    <row r="50" spans="2:5" x14ac:dyDescent="0.2">
      <c r="B50" s="625" t="str">
        <f>CONCATENATE("",E1-2,"/",E1-1,"/",E1," Budget Authority Amount:")</f>
        <v>2013/2014/2015 Budget Authority Amount:</v>
      </c>
      <c r="C50" s="249">
        <f>inputOth!B82</f>
        <v>554947</v>
      </c>
      <c r="D50" s="249">
        <f>inputPrYr!D37</f>
        <v>576020</v>
      </c>
      <c r="E50" s="148">
        <f>E48</f>
        <v>687130</v>
      </c>
    </row>
    <row r="51" spans="2:5" x14ac:dyDescent="0.2">
      <c r="B51" s="675"/>
      <c r="C51" s="262" t="str">
        <f>IF(C49&lt;0,"See Tab B","")</f>
        <v/>
      </c>
      <c r="D51" s="262" t="str">
        <f>IF(D49&lt;0,"See Tab D","")</f>
        <v/>
      </c>
      <c r="E51" s="20"/>
    </row>
    <row r="52" spans="2:5" x14ac:dyDescent="0.2">
      <c r="B52" s="20"/>
      <c r="C52" s="20"/>
      <c r="D52" s="20"/>
      <c r="E52" s="20"/>
    </row>
    <row r="53" spans="2:5" x14ac:dyDescent="0.2">
      <c r="B53" s="675" t="s">
        <v>53</v>
      </c>
      <c r="C53" s="266">
        <v>13</v>
      </c>
      <c r="D53" s="20"/>
      <c r="E53" s="20"/>
    </row>
  </sheetData>
  <sheetProtection sheet="1" objects="1" scenarios="1"/>
  <conditionalFormatting sqref="C46">
    <cfRule type="cellIs" dxfId="219" priority="3" stopIfTrue="1" operator="greaterThan">
      <formula>$C$48*0.1</formula>
    </cfRule>
  </conditionalFormatting>
  <conditionalFormatting sqref="D46">
    <cfRule type="cellIs" dxfId="218" priority="4" stopIfTrue="1" operator="greaterThan">
      <formula>$D$48*0.1</formula>
    </cfRule>
  </conditionalFormatting>
  <conditionalFormatting sqref="E46">
    <cfRule type="cellIs" dxfId="217" priority="5" stopIfTrue="1" operator="greaterThan">
      <formula>$E$48*0.1</formula>
    </cfRule>
  </conditionalFormatting>
  <conditionalFormatting sqref="C37">
    <cfRule type="cellIs" dxfId="216" priority="6" stopIfTrue="1" operator="greaterThan">
      <formula>$C$39*0.1</formula>
    </cfRule>
  </conditionalFormatting>
  <conditionalFormatting sqref="C20">
    <cfRule type="cellIs" dxfId="215" priority="7" stopIfTrue="1" operator="greaterThan">
      <formula>$C$22*0.1</formula>
    </cfRule>
  </conditionalFormatting>
  <conditionalFormatting sqref="D20">
    <cfRule type="cellIs" dxfId="214" priority="8" stopIfTrue="1" operator="greaterThan">
      <formula>$D$22*0.1</formula>
    </cfRule>
  </conditionalFormatting>
  <conditionalFormatting sqref="E20">
    <cfRule type="cellIs" dxfId="213" priority="9" stopIfTrue="1" operator="greaterThan">
      <formula>$E$22*0.1</formula>
    </cfRule>
  </conditionalFormatting>
  <conditionalFormatting sqref="C12">
    <cfRule type="cellIs" dxfId="212" priority="10" stopIfTrue="1" operator="greaterThan">
      <formula>$C$14*0.1</formula>
    </cfRule>
  </conditionalFormatting>
  <conditionalFormatting sqref="D12">
    <cfRule type="cellIs" dxfId="211" priority="11" stopIfTrue="1" operator="greaterThan">
      <formula>$D$14*0.1</formula>
    </cfRule>
  </conditionalFormatting>
  <conditionalFormatting sqref="E12">
    <cfRule type="cellIs" dxfId="210" priority="12" stopIfTrue="1" operator="greaterThan">
      <formula>$E$14*0.1</formula>
    </cfRule>
  </conditionalFormatting>
  <conditionalFormatting sqref="E23 C23 E49 C49">
    <cfRule type="cellIs" dxfId="209" priority="13" stopIfTrue="1" operator="lessThan">
      <formula>0</formula>
    </cfRule>
  </conditionalFormatting>
  <conditionalFormatting sqref="C22">
    <cfRule type="cellIs" dxfId="208" priority="14" stopIfTrue="1" operator="greaterThan">
      <formula>$C$24</formula>
    </cfRule>
  </conditionalFormatting>
  <conditionalFormatting sqref="D22">
    <cfRule type="cellIs" dxfId="207" priority="15" stopIfTrue="1" operator="greaterThan">
      <formula>$D$24</formula>
    </cfRule>
  </conditionalFormatting>
  <conditionalFormatting sqref="C48">
    <cfRule type="cellIs" dxfId="206" priority="16" stopIfTrue="1" operator="greaterThan">
      <formula>$C$50</formula>
    </cfRule>
  </conditionalFormatting>
  <conditionalFormatting sqref="D48">
    <cfRule type="cellIs" dxfId="205" priority="17" stopIfTrue="1" operator="greaterThan">
      <formula>$D$50</formula>
    </cfRule>
  </conditionalFormatting>
  <conditionalFormatting sqref="D37">
    <cfRule type="cellIs" dxfId="204" priority="18" stopIfTrue="1" operator="greaterThan">
      <formula>$D$39*0.1</formula>
    </cfRule>
  </conditionalFormatting>
  <conditionalFormatting sqref="E37">
    <cfRule type="cellIs" dxfId="203" priority="19" stopIfTrue="1" operator="greaterThan">
      <formula>$E$39*0.1</formula>
    </cfRule>
  </conditionalFormatting>
  <conditionalFormatting sqref="D49">
    <cfRule type="cellIs" dxfId="202" priority="2" stopIfTrue="1" operator="lessThan">
      <formula>0</formula>
    </cfRule>
  </conditionalFormatting>
  <conditionalFormatting sqref="D23">
    <cfRule type="cellIs" dxfId="201"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workbookViewId="0">
      <selection activeCell="G73" sqref="G73"/>
    </sheetView>
  </sheetViews>
  <sheetFormatPr defaultColWidth="8.88671875" defaultRowHeight="15.75" x14ac:dyDescent="0.2"/>
  <cols>
    <col min="1" max="1" width="15.77734375" style="16" customWidth="1"/>
    <col min="2" max="2" width="20.77734375" style="16" customWidth="1"/>
    <col min="3" max="3" width="9.77734375" style="16" customWidth="1"/>
    <col min="4" max="4" width="15.109375" style="16" customWidth="1"/>
    <col min="5" max="5" width="15.77734375" style="16" customWidth="1"/>
    <col min="6" max="6" width="1.77734375" style="16" customWidth="1"/>
    <col min="7" max="7" width="18.6640625" style="16" customWidth="1"/>
    <col min="8" max="16384" width="8.88671875" style="16"/>
  </cols>
  <sheetData>
    <row r="1" spans="1:8" x14ac:dyDescent="0.2">
      <c r="A1" s="722" t="s">
        <v>220</v>
      </c>
      <c r="B1" s="723"/>
      <c r="C1" s="723"/>
      <c r="D1" s="723"/>
      <c r="E1" s="723"/>
    </row>
    <row r="2" spans="1:8" x14ac:dyDescent="0.2">
      <c r="A2" s="17"/>
      <c r="B2" s="18"/>
      <c r="C2" s="18"/>
      <c r="D2" s="15"/>
      <c r="E2" s="18"/>
    </row>
    <row r="3" spans="1:8" x14ac:dyDescent="0.2">
      <c r="A3" s="19" t="s">
        <v>215</v>
      </c>
      <c r="B3" s="20"/>
      <c r="C3" s="20"/>
      <c r="D3" s="629" t="s">
        <v>962</v>
      </c>
      <c r="E3" s="630"/>
    </row>
    <row r="4" spans="1:8" x14ac:dyDescent="0.2">
      <c r="A4" s="19" t="s">
        <v>249</v>
      </c>
      <c r="B4" s="20"/>
      <c r="C4" s="20"/>
      <c r="D4" s="629" t="s">
        <v>963</v>
      </c>
      <c r="E4" s="630"/>
    </row>
    <row r="5" spans="1:8" x14ac:dyDescent="0.2">
      <c r="A5" s="19" t="s">
        <v>216</v>
      </c>
      <c r="B5" s="20"/>
      <c r="C5" s="20"/>
      <c r="D5" s="21"/>
      <c r="E5" s="20"/>
    </row>
    <row r="6" spans="1:8" x14ac:dyDescent="0.2">
      <c r="A6" s="19" t="s">
        <v>217</v>
      </c>
      <c r="B6" s="20"/>
      <c r="C6" s="20"/>
      <c r="D6" s="629" t="s">
        <v>964</v>
      </c>
      <c r="E6" s="630"/>
    </row>
    <row r="7" spans="1:8" x14ac:dyDescent="0.2">
      <c r="A7" s="19" t="s">
        <v>218</v>
      </c>
      <c r="B7" s="20"/>
      <c r="C7" s="20"/>
      <c r="D7" s="629" t="s">
        <v>965</v>
      </c>
      <c r="E7" s="630"/>
    </row>
    <row r="8" spans="1:8" x14ac:dyDescent="0.2">
      <c r="A8" s="19" t="s">
        <v>219</v>
      </c>
      <c r="B8" s="20"/>
      <c r="C8" s="20"/>
      <c r="D8" s="629"/>
      <c r="E8" s="630"/>
    </row>
    <row r="9" spans="1:8" x14ac:dyDescent="0.2">
      <c r="A9" s="22"/>
      <c r="B9" s="20"/>
      <c r="C9" s="20"/>
      <c r="D9" s="21"/>
      <c r="E9" s="20"/>
    </row>
    <row r="10" spans="1:8" x14ac:dyDescent="0.2">
      <c r="A10" s="19" t="s">
        <v>152</v>
      </c>
      <c r="B10" s="20"/>
      <c r="C10" s="23">
        <v>2015</v>
      </c>
      <c r="D10" s="21"/>
      <c r="E10" s="24"/>
    </row>
    <row r="11" spans="1:8" x14ac:dyDescent="0.2">
      <c r="A11" s="20"/>
      <c r="B11" s="20"/>
      <c r="C11" s="20"/>
      <c r="D11" s="20"/>
      <c r="E11" s="20"/>
    </row>
    <row r="12" spans="1:8" x14ac:dyDescent="0.2">
      <c r="A12" s="25" t="s">
        <v>307</v>
      </c>
      <c r="B12" s="26"/>
      <c r="C12" s="26"/>
      <c r="D12" s="26"/>
      <c r="E12" s="26"/>
    </row>
    <row r="13" spans="1:8" x14ac:dyDescent="0.2">
      <c r="A13" s="25" t="s">
        <v>306</v>
      </c>
      <c r="B13" s="26"/>
      <c r="C13" s="26"/>
      <c r="D13" s="26"/>
      <c r="E13" s="26"/>
      <c r="F13" s="20"/>
      <c r="G13" s="724" t="s">
        <v>795</v>
      </c>
      <c r="H13" s="725"/>
    </row>
    <row r="14" spans="1:8" x14ac:dyDescent="0.2">
      <c r="A14" s="27"/>
      <c r="B14" s="26"/>
      <c r="C14" s="26"/>
      <c r="D14" s="26"/>
      <c r="E14" s="26"/>
      <c r="F14" s="20"/>
      <c r="G14" s="726"/>
      <c r="H14" s="725"/>
    </row>
    <row r="15" spans="1:8" x14ac:dyDescent="0.2">
      <c r="A15" s="720" t="s">
        <v>189</v>
      </c>
      <c r="B15" s="721"/>
      <c r="C15" s="721"/>
      <c r="D15" s="721"/>
      <c r="E15" s="721"/>
      <c r="F15" s="20"/>
      <c r="G15" s="726"/>
      <c r="H15" s="725"/>
    </row>
    <row r="16" spans="1:8" x14ac:dyDescent="0.2">
      <c r="A16" s="27"/>
      <c r="B16" s="26"/>
      <c r="C16" s="26"/>
      <c r="D16" s="26"/>
      <c r="E16" s="26"/>
      <c r="F16" s="20"/>
      <c r="G16" s="726"/>
      <c r="H16" s="725"/>
    </row>
    <row r="17" spans="1:8" x14ac:dyDescent="0.2">
      <c r="A17" s="29" t="s">
        <v>190</v>
      </c>
      <c r="B17" s="30"/>
      <c r="C17" s="20"/>
      <c r="D17" s="20"/>
      <c r="E17" s="20"/>
      <c r="F17" s="20"/>
      <c r="G17" s="726"/>
      <c r="H17" s="725"/>
    </row>
    <row r="18" spans="1:8" x14ac:dyDescent="0.2">
      <c r="A18" s="31" t="str">
        <f>CONCATENATE("the ",C10-1," Budget, Certificate Page:")</f>
        <v>the 2014 Budget, Certificate Page:</v>
      </c>
      <c r="B18" s="32"/>
      <c r="C18" s="33"/>
      <c r="D18" s="20"/>
      <c r="E18" s="20"/>
      <c r="F18" s="20"/>
      <c r="G18" s="726"/>
      <c r="H18" s="725"/>
    </row>
    <row r="19" spans="1:8" x14ac:dyDescent="0.2">
      <c r="A19" s="31" t="s">
        <v>309</v>
      </c>
      <c r="B19" s="32"/>
      <c r="C19" s="33"/>
      <c r="D19" s="20"/>
      <c r="E19" s="20"/>
      <c r="F19" s="20"/>
      <c r="G19" s="24"/>
      <c r="H19" s="555"/>
    </row>
    <row r="20" spans="1:8" x14ac:dyDescent="0.2">
      <c r="A20" s="34"/>
      <c r="B20" s="20"/>
      <c r="C20" s="20"/>
      <c r="D20" s="35">
        <f>$C$10-1</f>
        <v>2014</v>
      </c>
      <c r="E20" s="35">
        <f>$C$10-2</f>
        <v>2013</v>
      </c>
      <c r="G20" s="179" t="s">
        <v>796</v>
      </c>
      <c r="H20" s="146" t="s">
        <v>52</v>
      </c>
    </row>
    <row r="21" spans="1:8" x14ac:dyDescent="0.2">
      <c r="A21" s="22" t="s">
        <v>12</v>
      </c>
      <c r="B21" s="20"/>
      <c r="C21" s="36" t="s">
        <v>13</v>
      </c>
      <c r="D21" s="37" t="s">
        <v>308</v>
      </c>
      <c r="E21" s="37" t="s">
        <v>251</v>
      </c>
      <c r="G21" s="213" t="str">
        <f>CONCATENATE("",E20," Ad Valorem Tax")</f>
        <v>2013 Ad Valorem Tax</v>
      </c>
      <c r="H21" s="557">
        <v>0</v>
      </c>
    </row>
    <row r="22" spans="1:8" x14ac:dyDescent="0.2">
      <c r="A22" s="20"/>
      <c r="B22" s="38" t="s">
        <v>14</v>
      </c>
      <c r="C22" s="146" t="s">
        <v>137</v>
      </c>
      <c r="D22" s="40">
        <v>7466219</v>
      </c>
      <c r="E22" s="40">
        <v>1493170</v>
      </c>
      <c r="G22" s="148">
        <f>IF(H21&gt;0,ROUND(E22-(E22*H21),0),0)</f>
        <v>0</v>
      </c>
    </row>
    <row r="23" spans="1:8" x14ac:dyDescent="0.2">
      <c r="A23" s="20"/>
      <c r="B23" s="38" t="s">
        <v>280</v>
      </c>
      <c r="C23" s="146" t="s">
        <v>153</v>
      </c>
      <c r="D23" s="40">
        <v>3293392</v>
      </c>
      <c r="E23" s="40">
        <v>372538</v>
      </c>
      <c r="G23" s="148">
        <f>IF(H21&gt;0,ROUND(E23-(E23*H21),0),0)</f>
        <v>0</v>
      </c>
    </row>
    <row r="24" spans="1:8" x14ac:dyDescent="0.2">
      <c r="A24" s="20"/>
      <c r="B24" s="38" t="s">
        <v>790</v>
      </c>
      <c r="C24" s="146" t="s">
        <v>791</v>
      </c>
      <c r="D24" s="40">
        <v>372748</v>
      </c>
      <c r="E24" s="40">
        <v>338116</v>
      </c>
      <c r="G24" s="148">
        <f>IF(H21&gt;0,ROUND(E24-(E24*H21),0),0)</f>
        <v>0</v>
      </c>
    </row>
    <row r="25" spans="1:8" x14ac:dyDescent="0.2">
      <c r="A25" s="22" t="s">
        <v>15</v>
      </c>
      <c r="B25" s="20"/>
      <c r="C25" s="20"/>
      <c r="D25" s="41"/>
      <c r="E25" s="41"/>
    </row>
    <row r="26" spans="1:8" x14ac:dyDescent="0.2">
      <c r="A26" s="20"/>
      <c r="B26" s="43"/>
      <c r="C26" s="551"/>
      <c r="D26" s="40"/>
      <c r="E26" s="40"/>
      <c r="G26" s="148">
        <f>IF(H21&gt;0,ROUND(E26-(E26*H21),0),0)</f>
        <v>0</v>
      </c>
    </row>
    <row r="27" spans="1:8" x14ac:dyDescent="0.2">
      <c r="A27" s="44" t="str">
        <f>CONCATENATE("Total Tax Levy Funds for ",C10-1," Budgeted Year")</f>
        <v>Total Tax Levy Funds for 2014 Budgeted Year</v>
      </c>
      <c r="B27" s="45"/>
      <c r="C27" s="45"/>
      <c r="D27" s="46"/>
      <c r="E27" s="47">
        <f>SUM(E22:E26)</f>
        <v>2203824</v>
      </c>
    </row>
    <row r="28" spans="1:8" x14ac:dyDescent="0.2">
      <c r="A28" s="52"/>
      <c r="B28" s="24"/>
      <c r="C28" s="24"/>
      <c r="D28" s="170"/>
      <c r="E28" s="20"/>
    </row>
    <row r="29" spans="1:8" x14ac:dyDescent="0.2">
      <c r="A29" s="22" t="s">
        <v>16</v>
      </c>
      <c r="B29" s="20"/>
      <c r="C29" s="20"/>
      <c r="D29" s="20"/>
      <c r="E29" s="20"/>
    </row>
    <row r="30" spans="1:8" x14ac:dyDescent="0.2">
      <c r="A30" s="20"/>
      <c r="B30" s="48" t="s">
        <v>992</v>
      </c>
      <c r="C30" s="24"/>
      <c r="D30" s="49">
        <v>926065</v>
      </c>
      <c r="E30" s="24" t="s">
        <v>18</v>
      </c>
    </row>
    <row r="31" spans="1:8" x14ac:dyDescent="0.2">
      <c r="A31" s="20"/>
      <c r="B31" s="48" t="s">
        <v>996</v>
      </c>
      <c r="C31" s="24"/>
      <c r="D31" s="705">
        <v>350100</v>
      </c>
      <c r="E31" s="24" t="s">
        <v>997</v>
      </c>
    </row>
    <row r="32" spans="1:8" x14ac:dyDescent="0.2">
      <c r="A32" s="20"/>
      <c r="B32" s="48" t="s">
        <v>993</v>
      </c>
      <c r="C32" s="24"/>
      <c r="D32" s="49">
        <v>1315</v>
      </c>
      <c r="E32" s="24"/>
    </row>
    <row r="33" spans="1:5" x14ac:dyDescent="0.2">
      <c r="A33" s="20"/>
      <c r="B33" s="48" t="s">
        <v>1073</v>
      </c>
      <c r="C33" s="24"/>
      <c r="D33" s="49">
        <v>103366</v>
      </c>
      <c r="E33" s="24"/>
    </row>
    <row r="34" spans="1:5" x14ac:dyDescent="0.2">
      <c r="A34" s="20"/>
      <c r="B34" s="43" t="s">
        <v>966</v>
      </c>
      <c r="C34" s="24"/>
      <c r="D34" s="49">
        <v>81250</v>
      </c>
      <c r="E34" s="24"/>
    </row>
    <row r="35" spans="1:5" x14ac:dyDescent="0.2">
      <c r="A35" s="20"/>
      <c r="B35" s="43" t="s">
        <v>967</v>
      </c>
      <c r="C35" s="24"/>
      <c r="D35" s="49">
        <v>12574</v>
      </c>
      <c r="E35" s="24"/>
    </row>
    <row r="36" spans="1:5" x14ac:dyDescent="0.2">
      <c r="A36" s="20"/>
      <c r="B36" s="43" t="s">
        <v>968</v>
      </c>
      <c r="C36" s="24"/>
      <c r="D36" s="49">
        <v>703342</v>
      </c>
      <c r="E36" s="24"/>
    </row>
    <row r="37" spans="1:5" x14ac:dyDescent="0.2">
      <c r="A37" s="20"/>
      <c r="B37" s="43" t="s">
        <v>969</v>
      </c>
      <c r="C37" s="24"/>
      <c r="D37" s="49">
        <v>576020</v>
      </c>
      <c r="E37" s="24"/>
    </row>
    <row r="38" spans="1:5" x14ac:dyDescent="0.2">
      <c r="A38" s="20"/>
      <c r="B38" s="43" t="s">
        <v>970</v>
      </c>
      <c r="C38" s="24"/>
      <c r="D38" s="705">
        <v>837280</v>
      </c>
      <c r="E38" s="24" t="s">
        <v>997</v>
      </c>
    </row>
    <row r="39" spans="1:5" x14ac:dyDescent="0.2">
      <c r="A39" s="20"/>
      <c r="B39" s="43" t="s">
        <v>971</v>
      </c>
      <c r="C39" s="24"/>
      <c r="D39" s="49">
        <v>0</v>
      </c>
      <c r="E39" s="24"/>
    </row>
    <row r="40" spans="1:5" x14ac:dyDescent="0.2">
      <c r="A40" s="20"/>
      <c r="B40" s="43" t="s">
        <v>972</v>
      </c>
      <c r="C40" s="24"/>
      <c r="D40" s="49">
        <v>137195</v>
      </c>
      <c r="E40" s="24"/>
    </row>
    <row r="41" spans="1:5" x14ac:dyDescent="0.2">
      <c r="A41" s="20"/>
      <c r="B41" s="50" t="s">
        <v>973</v>
      </c>
      <c r="C41" s="24"/>
      <c r="D41" s="49">
        <v>141934</v>
      </c>
      <c r="E41" s="24"/>
    </row>
    <row r="42" spans="1:5" x14ac:dyDescent="0.2">
      <c r="A42" s="20"/>
      <c r="B42" s="50" t="s">
        <v>974</v>
      </c>
      <c r="C42" s="24"/>
      <c r="D42" s="49">
        <v>48280</v>
      </c>
      <c r="E42" s="24"/>
    </row>
    <row r="43" spans="1:5" x14ac:dyDescent="0.2">
      <c r="A43" s="20"/>
      <c r="B43" s="50" t="s">
        <v>975</v>
      </c>
      <c r="C43" s="24"/>
      <c r="D43" s="49">
        <v>34396</v>
      </c>
      <c r="E43" s="24"/>
    </row>
    <row r="44" spans="1:5" x14ac:dyDescent="0.2">
      <c r="A44" s="20"/>
      <c r="B44" s="50" t="s">
        <v>976</v>
      </c>
      <c r="C44" s="24"/>
      <c r="D44" s="705">
        <v>15755</v>
      </c>
      <c r="E44" s="24" t="s">
        <v>997</v>
      </c>
    </row>
    <row r="45" spans="1:5" x14ac:dyDescent="0.2">
      <c r="A45" s="20"/>
      <c r="B45" s="50" t="s">
        <v>977</v>
      </c>
      <c r="C45" s="24"/>
      <c r="D45" s="49">
        <v>60342</v>
      </c>
      <c r="E45" s="24"/>
    </row>
    <row r="46" spans="1:5" x14ac:dyDescent="0.2">
      <c r="A46" s="20"/>
      <c r="B46" s="50" t="s">
        <v>978</v>
      </c>
      <c r="C46" s="24"/>
      <c r="D46" s="705">
        <v>902226</v>
      </c>
      <c r="E46" s="24" t="s">
        <v>997</v>
      </c>
    </row>
    <row r="47" spans="1:5" x14ac:dyDescent="0.2">
      <c r="A47" s="20"/>
      <c r="B47" s="50" t="s">
        <v>979</v>
      </c>
      <c r="C47" s="24"/>
      <c r="D47" s="49">
        <v>46250</v>
      </c>
      <c r="E47" s="24"/>
    </row>
    <row r="48" spans="1:5" x14ac:dyDescent="0.2">
      <c r="A48" s="20"/>
      <c r="B48" s="50" t="s">
        <v>980</v>
      </c>
      <c r="C48" s="24"/>
      <c r="D48" s="49">
        <v>261924</v>
      </c>
      <c r="E48" s="24"/>
    </row>
    <row r="49" spans="1:5" x14ac:dyDescent="0.2">
      <c r="A49" s="20"/>
      <c r="B49" s="50" t="s">
        <v>981</v>
      </c>
      <c r="C49" s="24"/>
      <c r="D49" s="705">
        <v>93533</v>
      </c>
      <c r="E49" s="24" t="s">
        <v>997</v>
      </c>
    </row>
    <row r="50" spans="1:5" x14ac:dyDescent="0.2">
      <c r="A50" s="20"/>
      <c r="B50" s="50" t="s">
        <v>982</v>
      </c>
      <c r="C50" s="24"/>
      <c r="D50" s="49">
        <v>0</v>
      </c>
      <c r="E50" s="24"/>
    </row>
    <row r="51" spans="1:5" x14ac:dyDescent="0.2">
      <c r="A51" s="20"/>
      <c r="B51" s="50" t="s">
        <v>983</v>
      </c>
      <c r="C51" s="24"/>
      <c r="D51" s="49">
        <v>180000</v>
      </c>
      <c r="E51" s="24"/>
    </row>
    <row r="52" spans="1:5" x14ac:dyDescent="0.2">
      <c r="A52" s="20"/>
      <c r="B52" s="50" t="s">
        <v>984</v>
      </c>
      <c r="C52" s="24"/>
      <c r="D52" s="705">
        <v>11190</v>
      </c>
      <c r="E52" s="24" t="s">
        <v>997</v>
      </c>
    </row>
    <row r="53" spans="1:5" x14ac:dyDescent="0.2">
      <c r="A53" s="20"/>
      <c r="B53" s="16" t="s">
        <v>985</v>
      </c>
      <c r="C53" s="24"/>
      <c r="D53" s="49">
        <v>100000</v>
      </c>
      <c r="E53" s="24"/>
    </row>
    <row r="54" spans="1:5" x14ac:dyDescent="0.2">
      <c r="A54" s="20"/>
      <c r="B54" s="50" t="s">
        <v>986</v>
      </c>
      <c r="C54" s="24"/>
      <c r="D54" s="49">
        <v>33000</v>
      </c>
      <c r="E54" s="24"/>
    </row>
    <row r="55" spans="1:5" x14ac:dyDescent="0.2">
      <c r="A55" s="20"/>
      <c r="B55" s="50" t="s">
        <v>987</v>
      </c>
      <c r="C55" s="24"/>
      <c r="D55" s="49">
        <v>380110</v>
      </c>
      <c r="E55" s="24"/>
    </row>
    <row r="56" spans="1:5" x14ac:dyDescent="0.2">
      <c r="A56" s="20"/>
      <c r="B56" s="50" t="s">
        <v>988</v>
      </c>
      <c r="C56" s="24"/>
      <c r="D56" s="49">
        <v>175378</v>
      </c>
      <c r="E56" s="24"/>
    </row>
    <row r="57" spans="1:5" x14ac:dyDescent="0.2">
      <c r="A57" s="20"/>
      <c r="B57" s="50" t="s">
        <v>989</v>
      </c>
      <c r="C57" s="24"/>
      <c r="D57" s="705">
        <v>1718907</v>
      </c>
      <c r="E57" s="24" t="s">
        <v>997</v>
      </c>
    </row>
    <row r="58" spans="1:5" x14ac:dyDescent="0.2">
      <c r="A58" s="20"/>
      <c r="B58" s="50" t="s">
        <v>990</v>
      </c>
      <c r="C58" s="24"/>
      <c r="D58" s="49">
        <v>2325055</v>
      </c>
      <c r="E58" s="24"/>
    </row>
    <row r="59" spans="1:5" x14ac:dyDescent="0.2">
      <c r="A59" s="20"/>
      <c r="B59" s="50" t="s">
        <v>991</v>
      </c>
      <c r="C59" s="24"/>
      <c r="D59" s="49">
        <v>0</v>
      </c>
      <c r="E59" s="24"/>
    </row>
    <row r="60" spans="1:5" x14ac:dyDescent="0.2">
      <c r="A60" s="20"/>
      <c r="B60" s="51"/>
      <c r="C60" s="24"/>
      <c r="D60" s="24"/>
      <c r="E60" s="24"/>
    </row>
    <row r="61" spans="1:5" x14ac:dyDescent="0.2">
      <c r="A61" s="20" t="s">
        <v>279</v>
      </c>
      <c r="B61" s="42"/>
      <c r="C61" s="53"/>
      <c r="D61" s="49"/>
      <c r="E61" s="54"/>
    </row>
    <row r="62" spans="1:5" x14ac:dyDescent="0.2">
      <c r="A62" s="52"/>
      <c r="B62" s="55"/>
      <c r="C62" s="45"/>
      <c r="D62" s="47">
        <f>SUM(D22:D24,D26:D26,D30:D59,D61)</f>
        <v>21389146</v>
      </c>
      <c r="E62" s="54"/>
    </row>
    <row r="63" spans="1:5" x14ac:dyDescent="0.2">
      <c r="A63" s="44" t="str">
        <f>CONCATENATE("Total Expenditures for ",C10-1," Budgeted Year")</f>
        <v>Total Expenditures for 2014 Budgeted Year</v>
      </c>
      <c r="B63" s="24"/>
      <c r="C63" s="24"/>
      <c r="D63" s="24"/>
      <c r="E63" s="20"/>
    </row>
    <row r="64" spans="1:5" x14ac:dyDescent="0.2">
      <c r="A64" s="52" t="s">
        <v>202</v>
      </c>
      <c r="B64" s="42"/>
      <c r="C64" s="24"/>
      <c r="D64" s="24"/>
      <c r="E64" s="20"/>
    </row>
    <row r="65" spans="1:7" x14ac:dyDescent="0.2">
      <c r="A65" s="56">
        <v>1</v>
      </c>
      <c r="B65" s="42"/>
      <c r="C65" s="24"/>
      <c r="D65" s="24"/>
      <c r="E65" s="20"/>
    </row>
    <row r="66" spans="1:7" x14ac:dyDescent="0.2">
      <c r="A66" s="56">
        <v>2</v>
      </c>
      <c r="B66" s="42"/>
      <c r="C66" s="24"/>
      <c r="D66" s="24"/>
      <c r="E66" s="20"/>
    </row>
    <row r="67" spans="1:7" x14ac:dyDescent="0.2">
      <c r="A67" s="56">
        <v>3</v>
      </c>
      <c r="B67" s="42"/>
      <c r="C67" s="24"/>
      <c r="D67" s="24"/>
      <c r="E67" s="20"/>
    </row>
    <row r="68" spans="1:7" x14ac:dyDescent="0.2">
      <c r="A68" s="56">
        <v>4</v>
      </c>
      <c r="B68" s="42"/>
      <c r="C68" s="24"/>
      <c r="D68" s="24"/>
      <c r="E68" s="20"/>
    </row>
    <row r="69" spans="1:7" x14ac:dyDescent="0.2">
      <c r="A69" s="56">
        <v>5</v>
      </c>
      <c r="B69" s="24"/>
      <c r="C69" s="24"/>
      <c r="D69" s="24"/>
      <c r="E69" s="20"/>
    </row>
    <row r="70" spans="1:7" ht="18" customHeight="1" x14ac:dyDescent="0.2">
      <c r="A70" s="20"/>
      <c r="B70" s="30"/>
      <c r="C70" s="20"/>
      <c r="D70" s="20"/>
      <c r="E70" s="20"/>
    </row>
    <row r="71" spans="1:7" x14ac:dyDescent="0.2">
      <c r="A71" s="29" t="s">
        <v>190</v>
      </c>
      <c r="B71" s="32"/>
      <c r="C71" s="20"/>
      <c r="D71" s="57" t="str">
        <f>CONCATENATE("",C10-3," Tax Rate")</f>
        <v>2012 Tax Rate</v>
      </c>
      <c r="E71" s="20"/>
    </row>
    <row r="72" spans="1:7" x14ac:dyDescent="0.2">
      <c r="A72" s="31" t="str">
        <f>CONCATENATE("the ",C10-1," Budget, Budget Summary Page")</f>
        <v>the 2014 Budget, Budget Summary Page</v>
      </c>
      <c r="C72" s="20"/>
      <c r="D72" s="58" t="str">
        <f>CONCATENATE("(",C10-2," Column)")</f>
        <v>(2013 Column)</v>
      </c>
      <c r="E72" s="20"/>
    </row>
    <row r="73" spans="1:7" x14ac:dyDescent="0.2">
      <c r="B73" s="59" t="str">
        <f>B22</f>
        <v>General</v>
      </c>
      <c r="C73" s="141"/>
      <c r="D73" s="60">
        <v>18.533000000000001</v>
      </c>
      <c r="E73" s="20"/>
    </row>
    <row r="74" spans="1:7" x14ac:dyDescent="0.2">
      <c r="A74" s="20"/>
      <c r="B74" s="59" t="str">
        <f>B23</f>
        <v>Debt Service</v>
      </c>
      <c r="C74" s="24"/>
      <c r="D74" s="60">
        <v>7.1269999999999998</v>
      </c>
      <c r="E74" s="20"/>
    </row>
    <row r="75" spans="1:7" x14ac:dyDescent="0.2">
      <c r="A75" s="20"/>
      <c r="B75" s="59" t="str">
        <f>B24</f>
        <v>Library</v>
      </c>
      <c r="C75" s="24"/>
      <c r="D75" s="60">
        <v>4.9450000000000003</v>
      </c>
      <c r="E75" s="20"/>
    </row>
    <row r="76" spans="1:7" x14ac:dyDescent="0.2">
      <c r="A76" s="20"/>
      <c r="B76" s="59">
        <f>B26</f>
        <v>0</v>
      </c>
      <c r="C76" s="24"/>
      <c r="D76" s="60"/>
      <c r="E76" s="20"/>
    </row>
    <row r="77" spans="1:7" x14ac:dyDescent="0.2">
      <c r="A77" s="20"/>
      <c r="B77" s="45"/>
      <c r="C77" s="61"/>
      <c r="D77" s="62">
        <f>SUM(D73:D76)</f>
        <v>30.605</v>
      </c>
      <c r="E77" s="20"/>
    </row>
    <row r="78" spans="1:7" x14ac:dyDescent="0.2">
      <c r="A78" s="44" t="s">
        <v>17</v>
      </c>
      <c r="B78" s="20"/>
      <c r="C78" s="20"/>
      <c r="D78" s="20"/>
      <c r="E78" s="20"/>
    </row>
    <row r="79" spans="1:7" x14ac:dyDescent="0.2">
      <c r="A79" s="63" t="str">
        <f>CONCATENATE("Total Tax Levied (",C9, "2013 budget column)")</f>
        <v>Total Tax Levied (2013 budget column)</v>
      </c>
      <c r="B79" s="64"/>
      <c r="C79" s="45"/>
      <c r="D79" s="61"/>
      <c r="E79" s="40">
        <v>2025736</v>
      </c>
    </row>
    <row r="80" spans="1:7" x14ac:dyDescent="0.2">
      <c r="A80" s="63" t="str">
        <f>CONCATENATE("Assessed Valuation  (",C9-2013," budget column)")</f>
        <v>Assessed Valuation  (-2013 budget column)</v>
      </c>
      <c r="B80" s="65"/>
      <c r="C80" s="66"/>
      <c r="D80" s="67"/>
      <c r="E80" s="40">
        <v>65521617</v>
      </c>
      <c r="G80" s="16" t="s">
        <v>994</v>
      </c>
    </row>
    <row r="81" spans="1:5" x14ac:dyDescent="0.2">
      <c r="A81" s="63" t="s">
        <v>18</v>
      </c>
      <c r="B81" s="20"/>
      <c r="C81" s="20"/>
      <c r="D81" s="33"/>
      <c r="E81" s="41"/>
    </row>
    <row r="82" spans="1:5" x14ac:dyDescent="0.2">
      <c r="A82" s="20"/>
      <c r="B82" s="68"/>
      <c r="C82" s="17"/>
      <c r="D82" s="69">
        <f>C10-3</f>
        <v>2012</v>
      </c>
      <c r="E82" s="70">
        <f>C10-2</f>
        <v>2013</v>
      </c>
    </row>
    <row r="83" spans="1:5" x14ac:dyDescent="0.2">
      <c r="A83" s="68" t="s">
        <v>212</v>
      </c>
      <c r="B83" s="71"/>
      <c r="C83" s="72"/>
      <c r="D83" s="49"/>
      <c r="E83" s="49"/>
    </row>
    <row r="84" spans="1:5" x14ac:dyDescent="0.2">
      <c r="A84" s="71" t="s">
        <v>163</v>
      </c>
      <c r="B84" s="73"/>
      <c r="C84" s="74"/>
      <c r="D84" s="49">
        <v>22570000</v>
      </c>
      <c r="E84" s="49">
        <v>20645000</v>
      </c>
    </row>
    <row r="85" spans="1:5" x14ac:dyDescent="0.2">
      <c r="A85" s="73" t="s">
        <v>164</v>
      </c>
      <c r="B85" s="73"/>
      <c r="C85" s="74"/>
      <c r="D85" s="49">
        <v>0</v>
      </c>
      <c r="E85" s="49">
        <v>0</v>
      </c>
    </row>
    <row r="86" spans="1:5" x14ac:dyDescent="0.2">
      <c r="A86" s="73" t="s">
        <v>165</v>
      </c>
      <c r="B86" s="73"/>
      <c r="C86" s="74"/>
      <c r="D86" s="49">
        <v>0</v>
      </c>
      <c r="E86" s="49">
        <v>1750000</v>
      </c>
    </row>
    <row r="87" spans="1:5" x14ac:dyDescent="0.2">
      <c r="A87" s="73" t="s">
        <v>166</v>
      </c>
      <c r="D87" s="16">
        <v>279147</v>
      </c>
      <c r="E87" s="16">
        <v>115918</v>
      </c>
    </row>
    <row r="88" spans="1:5" x14ac:dyDescent="0.2">
      <c r="C88" s="16" t="s">
        <v>17</v>
      </c>
      <c r="D88" s="669">
        <f>SUM(D84:D87)</f>
        <v>22849147</v>
      </c>
      <c r="E88" s="669">
        <f>SUM(E84:E87)</f>
        <v>22510918</v>
      </c>
    </row>
    <row r="93" spans="1:5" s="75" customFormat="1" x14ac:dyDescent="0.2">
      <c r="A93" s="16"/>
      <c r="B93" s="16"/>
      <c r="C93" s="16"/>
      <c r="D93" s="16"/>
      <c r="E93" s="16"/>
    </row>
  </sheetData>
  <sheetProtection sheet="1" objects="1" scenarios="1"/>
  <mergeCells count="3">
    <mergeCell ref="A15:E15"/>
    <mergeCell ref="A1:E1"/>
    <mergeCell ref="G13:H18"/>
  </mergeCells>
  <phoneticPr fontId="0" type="noConversion"/>
  <printOptions headings="1" gridLines="1"/>
  <pageMargins left="0.5" right="0.5" top="0.75" bottom="0.5" header="0.5" footer="0.5"/>
  <pageSetup paperSize="17" scale="52"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topLeftCell="A37" workbookViewId="0">
      <selection activeCell="G8" sqref="G8"/>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(inputPrYr!B38)</f>
        <v>Spec. Rev. Library Sales Tax</v>
      </c>
      <c r="C5" s="673" t="str">
        <f>CONCATENATE("Actual for ",E1-2,"")</f>
        <v>Actual for 2013</v>
      </c>
      <c r="D5" s="673" t="str">
        <f>CONCATENATE("Estimate for ",E1-1,"")</f>
        <v>Estimate for 2014</v>
      </c>
      <c r="E5" s="192" t="str">
        <f>CONCATENATE("Year for ",E1,"")</f>
        <v>Year for 2015</v>
      </c>
    </row>
    <row r="6" spans="2:5" x14ac:dyDescent="0.2">
      <c r="B6" s="100" t="s">
        <v>134</v>
      </c>
      <c r="C6" s="40">
        <v>633353</v>
      </c>
      <c r="D6" s="148">
        <f>C23</f>
        <v>718644</v>
      </c>
      <c r="E6" s="148">
        <f>D23</f>
        <v>353714</v>
      </c>
    </row>
    <row r="7" spans="2:5" x14ac:dyDescent="0.2">
      <c r="B7" s="246" t="s">
        <v>136</v>
      </c>
      <c r="C7" s="148"/>
      <c r="D7" s="148"/>
      <c r="E7" s="148"/>
    </row>
    <row r="8" spans="2:5" x14ac:dyDescent="0.2">
      <c r="B8" s="259" t="s">
        <v>1046</v>
      </c>
      <c r="C8" s="40">
        <v>471746</v>
      </c>
      <c r="D8" s="40">
        <v>471750</v>
      </c>
      <c r="E8" s="40">
        <v>450000</v>
      </c>
    </row>
    <row r="9" spans="2:5" x14ac:dyDescent="0.2">
      <c r="B9" s="259" t="s">
        <v>82</v>
      </c>
      <c r="C9" s="40">
        <v>1015</v>
      </c>
      <c r="D9" s="40">
        <v>600</v>
      </c>
      <c r="E9" s="40">
        <v>600</v>
      </c>
    </row>
    <row r="10" spans="2:5" x14ac:dyDescent="0.2">
      <c r="B10" s="259"/>
      <c r="C10" s="40"/>
      <c r="D10" s="40"/>
      <c r="E10" s="40"/>
    </row>
    <row r="11" spans="2:5" x14ac:dyDescent="0.2">
      <c r="B11" s="277" t="s">
        <v>18</v>
      </c>
      <c r="C11" s="40"/>
      <c r="D11" s="40"/>
      <c r="E11" s="40"/>
    </row>
    <row r="12" spans="2:5" x14ac:dyDescent="0.2">
      <c r="B12" s="150" t="s">
        <v>127</v>
      </c>
      <c r="C12" s="40"/>
      <c r="D12" s="276"/>
      <c r="E12" s="276"/>
    </row>
    <row r="13" spans="2:5" x14ac:dyDescent="0.2">
      <c r="B13" s="150" t="s">
        <v>609</v>
      </c>
      <c r="C13" s="475" t="str">
        <f>IF(C14*0.1&lt;C12,"Exceed 10% Rule","")</f>
        <v/>
      </c>
      <c r="D13" s="278" t="str">
        <f>IF(D14*0.1&lt;D12,"Exceed 10% Rule","")</f>
        <v/>
      </c>
      <c r="E13" s="278" t="str">
        <f>IF(E14*0.1&lt;E12,"Exceed 10% Rule","")</f>
        <v/>
      </c>
    </row>
    <row r="14" spans="2:5" x14ac:dyDescent="0.2">
      <c r="B14" s="256" t="s">
        <v>47</v>
      </c>
      <c r="C14" s="279">
        <f>SUM(C8:C12)</f>
        <v>472761</v>
      </c>
      <c r="D14" s="279">
        <f>SUM(D8:D12)</f>
        <v>472350</v>
      </c>
      <c r="E14" s="279">
        <f>SUM(E8:E12)</f>
        <v>450600</v>
      </c>
    </row>
    <row r="15" spans="2:5" x14ac:dyDescent="0.2">
      <c r="B15" s="256" t="s">
        <v>48</v>
      </c>
      <c r="C15" s="279">
        <f>C6+C14</f>
        <v>1106114</v>
      </c>
      <c r="D15" s="279">
        <f>D6+D14</f>
        <v>1190994</v>
      </c>
      <c r="E15" s="279">
        <f>E6+E14</f>
        <v>804314</v>
      </c>
    </row>
    <row r="16" spans="2:5" x14ac:dyDescent="0.2">
      <c r="B16" s="100" t="s">
        <v>49</v>
      </c>
      <c r="C16" s="148"/>
      <c r="D16" s="148"/>
      <c r="E16" s="148"/>
    </row>
    <row r="17" spans="2:5" x14ac:dyDescent="0.2">
      <c r="B17" s="259" t="s">
        <v>1165</v>
      </c>
      <c r="C17" s="40">
        <v>387470</v>
      </c>
      <c r="D17" s="40">
        <v>837280</v>
      </c>
      <c r="E17" s="40">
        <v>423825</v>
      </c>
    </row>
    <row r="18" spans="2:5" x14ac:dyDescent="0.2">
      <c r="B18" s="259" t="s">
        <v>18</v>
      </c>
      <c r="C18" s="40"/>
      <c r="D18" s="40"/>
      <c r="E18" s="40"/>
    </row>
    <row r="19" spans="2:5" x14ac:dyDescent="0.2">
      <c r="B19" s="259"/>
      <c r="C19" s="40"/>
      <c r="D19" s="40"/>
      <c r="E19" s="40"/>
    </row>
    <row r="20" spans="2:5" x14ac:dyDescent="0.2">
      <c r="B20" s="150" t="s">
        <v>127</v>
      </c>
      <c r="C20" s="40"/>
      <c r="D20" s="276"/>
      <c r="E20" s="276"/>
    </row>
    <row r="21" spans="2:5" x14ac:dyDescent="0.2">
      <c r="B21" s="150" t="s">
        <v>610</v>
      </c>
      <c r="C21" s="475" t="str">
        <f>IF(C22*0.1&lt;C20,"Exceed 10% Rule","")</f>
        <v/>
      </c>
      <c r="D21" s="278" t="str">
        <f>IF(D22*0.1&lt;D20,"Exceed 10% Rule","")</f>
        <v/>
      </c>
      <c r="E21" s="278" t="str">
        <f>IF(E22*0.1&lt;E20,"Exceed 10% Rule","")</f>
        <v/>
      </c>
    </row>
    <row r="22" spans="2:5" x14ac:dyDescent="0.2">
      <c r="B22" s="256" t="s">
        <v>50</v>
      </c>
      <c r="C22" s="279">
        <f>SUM(C17:C20)</f>
        <v>387470</v>
      </c>
      <c r="D22" s="279">
        <f>SUM(D17:D20)</f>
        <v>837280</v>
      </c>
      <c r="E22" s="279">
        <f>SUM(E17:E20)</f>
        <v>423825</v>
      </c>
    </row>
    <row r="23" spans="2:5" x14ac:dyDescent="0.2">
      <c r="B23" s="100" t="s">
        <v>135</v>
      </c>
      <c r="C23" s="47">
        <f>C15-C22</f>
        <v>718644</v>
      </c>
      <c r="D23" s="47">
        <f>D15-D22</f>
        <v>353714</v>
      </c>
      <c r="E23" s="47">
        <f>E15-E22</f>
        <v>380489</v>
      </c>
    </row>
    <row r="24" spans="2:5" x14ac:dyDescent="0.2">
      <c r="B24" s="625" t="str">
        <f>CONCATENATE("",E1-2,"/",E1-1,"/",E1," Budget Authority Amount:")</f>
        <v>2013/2014/2015 Budget Authority Amount:</v>
      </c>
      <c r="C24" s="249">
        <f>inputOth!B83</f>
        <v>436530</v>
      </c>
      <c r="D24" s="249">
        <f>inputPrYr!D38</f>
        <v>837280</v>
      </c>
      <c r="E24" s="626">
        <f>E22</f>
        <v>423825</v>
      </c>
    </row>
    <row r="25" spans="2:5" x14ac:dyDescent="0.2">
      <c r="B25" s="675"/>
      <c r="C25" s="262" t="str">
        <f>IF(C22&gt;C24,"See Tab A","")</f>
        <v/>
      </c>
      <c r="D25" s="262" t="str">
        <f>IF(D22&gt;D24,"See Tab C","")</f>
        <v/>
      </c>
      <c r="E25" s="627" t="str">
        <f>IF(E23&lt;0,"See Tab E","")</f>
        <v/>
      </c>
    </row>
    <row r="26" spans="2:5" x14ac:dyDescent="0.2">
      <c r="B26" s="675"/>
      <c r="C26" s="262" t="str">
        <f>IF(C23&lt;0,"See Tab B","")</f>
        <v/>
      </c>
      <c r="D26" s="262" t="str">
        <f>IF(D23&lt;0,"See Tab D","")</f>
        <v/>
      </c>
      <c r="E26" s="281"/>
    </row>
    <row r="27" spans="2:5" x14ac:dyDescent="0.2">
      <c r="B27" s="20"/>
      <c r="C27" s="281"/>
      <c r="D27" s="281"/>
      <c r="E27" s="281"/>
    </row>
    <row r="28" spans="2:5" x14ac:dyDescent="0.2">
      <c r="B28" s="22" t="s">
        <v>41</v>
      </c>
      <c r="C28" s="552" t="s">
        <v>792</v>
      </c>
      <c r="D28" s="135" t="s">
        <v>793</v>
      </c>
      <c r="E28" s="135" t="s">
        <v>794</v>
      </c>
    </row>
    <row r="29" spans="2:5" x14ac:dyDescent="0.2">
      <c r="B29" s="484" t="str">
        <f>(inputPrYr!B39)</f>
        <v>Spec. Rev. Park Dedication</v>
      </c>
      <c r="C29" s="192" t="str">
        <f>C5</f>
        <v>Actual for 2013</v>
      </c>
      <c r="D29" s="192" t="str">
        <f>D5</f>
        <v>Estimate for 2014</v>
      </c>
      <c r="E29" s="192" t="str">
        <f>E5</f>
        <v>Year for 2015</v>
      </c>
    </row>
    <row r="30" spans="2:5" x14ac:dyDescent="0.2">
      <c r="B30" s="100" t="s">
        <v>134</v>
      </c>
      <c r="C30" s="40">
        <v>26126</v>
      </c>
      <c r="D30" s="148">
        <f>C47</f>
        <v>45184</v>
      </c>
      <c r="E30" s="148">
        <f>D47</f>
        <v>49224</v>
      </c>
    </row>
    <row r="31" spans="2:5" x14ac:dyDescent="0.2">
      <c r="B31" s="246" t="s">
        <v>136</v>
      </c>
      <c r="C31" s="148"/>
      <c r="D31" s="148"/>
      <c r="E31" s="148"/>
    </row>
    <row r="32" spans="2:5" x14ac:dyDescent="0.2">
      <c r="B32" s="259" t="s">
        <v>1109</v>
      </c>
      <c r="C32" s="40">
        <v>19000</v>
      </c>
      <c r="D32" s="40">
        <v>4000</v>
      </c>
      <c r="E32" s="40">
        <v>4000</v>
      </c>
    </row>
    <row r="33" spans="2:5" x14ac:dyDescent="0.2">
      <c r="B33" s="259" t="s">
        <v>82</v>
      </c>
      <c r="C33" s="40">
        <v>58</v>
      </c>
      <c r="D33" s="40">
        <v>40</v>
      </c>
      <c r="E33" s="40">
        <v>40</v>
      </c>
    </row>
    <row r="34" spans="2:5" x14ac:dyDescent="0.2">
      <c r="B34" s="277" t="s">
        <v>18</v>
      </c>
      <c r="C34" s="40"/>
      <c r="D34" s="40"/>
      <c r="E34" s="40"/>
    </row>
    <row r="35" spans="2:5" x14ac:dyDescent="0.2">
      <c r="B35" s="150" t="s">
        <v>127</v>
      </c>
      <c r="C35" s="40"/>
      <c r="D35" s="40"/>
      <c r="E35" s="40"/>
    </row>
    <row r="36" spans="2:5" x14ac:dyDescent="0.2">
      <c r="B36" s="150" t="s">
        <v>609</v>
      </c>
      <c r="C36" s="475" t="str">
        <f>IF(C37*0.1&lt;C35,"Exceed 10% Rule","")</f>
        <v/>
      </c>
      <c r="D36" s="278" t="str">
        <f>IF(D37*0.1&lt;D35,"Exceed 10% Rule","")</f>
        <v/>
      </c>
      <c r="E36" s="278" t="str">
        <f>IF(E37*0.1&lt;E35,"Exceed 10% Rule","")</f>
        <v/>
      </c>
    </row>
    <row r="37" spans="2:5" x14ac:dyDescent="0.2">
      <c r="B37" s="256" t="s">
        <v>47</v>
      </c>
      <c r="C37" s="279">
        <f>SUM(C32:C35)</f>
        <v>19058</v>
      </c>
      <c r="D37" s="279">
        <f>SUM(D32:D35)</f>
        <v>4040</v>
      </c>
      <c r="E37" s="279">
        <f>SUM(E32:E35)</f>
        <v>4040</v>
      </c>
    </row>
    <row r="38" spans="2:5" x14ac:dyDescent="0.2">
      <c r="B38" s="256" t="s">
        <v>48</v>
      </c>
      <c r="C38" s="279">
        <f>C30+C37</f>
        <v>45184</v>
      </c>
      <c r="D38" s="279">
        <f>D30+D37</f>
        <v>49224</v>
      </c>
      <c r="E38" s="279">
        <f>E30+E37</f>
        <v>53264</v>
      </c>
    </row>
    <row r="39" spans="2:5" x14ac:dyDescent="0.2">
      <c r="B39" s="100" t="s">
        <v>49</v>
      </c>
      <c r="C39" s="148"/>
      <c r="D39" s="148"/>
      <c r="E39" s="148"/>
    </row>
    <row r="40" spans="2:5" x14ac:dyDescent="0.2">
      <c r="B40" s="259" t="s">
        <v>1075</v>
      </c>
      <c r="C40" s="40">
        <v>0</v>
      </c>
      <c r="D40" s="40">
        <v>0</v>
      </c>
      <c r="E40" s="40">
        <v>0</v>
      </c>
    </row>
    <row r="41" spans="2:5" x14ac:dyDescent="0.2">
      <c r="B41" s="259" t="s">
        <v>1076</v>
      </c>
      <c r="C41" s="40">
        <v>0</v>
      </c>
      <c r="D41" s="40">
        <v>0</v>
      </c>
      <c r="E41" s="40">
        <v>0</v>
      </c>
    </row>
    <row r="42" spans="2:5" x14ac:dyDescent="0.2">
      <c r="B42" s="259" t="s">
        <v>160</v>
      </c>
      <c r="C42" s="40">
        <v>0</v>
      </c>
      <c r="D42" s="40">
        <v>0</v>
      </c>
      <c r="E42" s="40">
        <v>0</v>
      </c>
    </row>
    <row r="43" spans="2:5" x14ac:dyDescent="0.2">
      <c r="B43" s="259"/>
      <c r="C43" s="40"/>
      <c r="D43" s="40"/>
      <c r="E43" s="40"/>
    </row>
    <row r="44" spans="2:5" x14ac:dyDescent="0.2">
      <c r="B44" s="150" t="s">
        <v>127</v>
      </c>
      <c r="C44" s="40"/>
      <c r="D44" s="276"/>
      <c r="E44" s="276"/>
    </row>
    <row r="45" spans="2:5" x14ac:dyDescent="0.2">
      <c r="B45" s="150" t="s">
        <v>610</v>
      </c>
      <c r="C45" s="475" t="str">
        <f>IF(C46*0.1&lt;C44,"Exceed 10% Rule","")</f>
        <v/>
      </c>
      <c r="D45" s="278" t="str">
        <f>IF(D46*0.1&lt;D44,"Exceed 10% Rule","")</f>
        <v/>
      </c>
      <c r="E45" s="278" t="str">
        <f>IF(E46*0.1&lt;E44,"Exceed 10% Rule","")</f>
        <v/>
      </c>
    </row>
    <row r="46" spans="2:5" x14ac:dyDescent="0.2">
      <c r="B46" s="256" t="s">
        <v>50</v>
      </c>
      <c r="C46" s="279">
        <f>SUM(C40:C44)</f>
        <v>0</v>
      </c>
      <c r="D46" s="279">
        <f>SUM(D40:D44)</f>
        <v>0</v>
      </c>
      <c r="E46" s="279">
        <f>SUM(E40:E44)</f>
        <v>0</v>
      </c>
    </row>
    <row r="47" spans="2:5" x14ac:dyDescent="0.2">
      <c r="B47" s="100" t="s">
        <v>135</v>
      </c>
      <c r="C47" s="47">
        <f>C38-C46</f>
        <v>45184</v>
      </c>
      <c r="D47" s="47">
        <f>D38-D46</f>
        <v>49224</v>
      </c>
      <c r="E47" s="47">
        <f>E38-E46</f>
        <v>53264</v>
      </c>
    </row>
    <row r="48" spans="2:5" x14ac:dyDescent="0.2">
      <c r="B48" s="625" t="str">
        <f>CONCATENATE("",E1-2,"/",E1-1,"/",E1," Budget Authority Amount:")</f>
        <v>2013/2014/2015 Budget Authority Amount:</v>
      </c>
      <c r="C48" s="249">
        <f>inputOth!B84</f>
        <v>0</v>
      </c>
      <c r="D48" s="249">
        <f>inputPrYr!D39</f>
        <v>0</v>
      </c>
      <c r="E48" s="626">
        <f>E46</f>
        <v>0</v>
      </c>
    </row>
    <row r="49" spans="2:5" x14ac:dyDescent="0.2">
      <c r="B49" s="675"/>
      <c r="C49" s="262" t="str">
        <f>IF(C46&gt;C48,"See Tab A","")</f>
        <v/>
      </c>
      <c r="D49" s="262" t="str">
        <f>IF(D46&gt;D48,"See Tab C","")</f>
        <v/>
      </c>
      <c r="E49" s="627" t="str">
        <f>IF(E47&lt;0,"See Tab E","")</f>
        <v/>
      </c>
    </row>
    <row r="50" spans="2:5" x14ac:dyDescent="0.2">
      <c r="B50" s="675"/>
      <c r="C50" s="262" t="str">
        <f>IF(C47&lt;0,"See Tab B","")</f>
        <v/>
      </c>
      <c r="D50" s="262" t="str">
        <f>IF(D47&lt;0,"See Tab D","")</f>
        <v/>
      </c>
      <c r="E50" s="20"/>
    </row>
    <row r="51" spans="2:5" x14ac:dyDescent="0.2">
      <c r="B51" s="20"/>
      <c r="C51" s="20"/>
      <c r="D51" s="20"/>
      <c r="E51" s="20"/>
    </row>
    <row r="52" spans="2:5" x14ac:dyDescent="0.2">
      <c r="B52" s="675" t="s">
        <v>53</v>
      </c>
      <c r="C52" s="266">
        <v>14</v>
      </c>
      <c r="D52" s="20"/>
      <c r="E52" s="20"/>
    </row>
  </sheetData>
  <sheetProtection sheet="1" objects="1" scenarios="1"/>
  <conditionalFormatting sqref="C44">
    <cfRule type="cellIs" dxfId="200" priority="3" stopIfTrue="1" operator="greaterThan">
      <formula>$C$46*0.1</formula>
    </cfRule>
  </conditionalFormatting>
  <conditionalFormatting sqref="D44">
    <cfRule type="cellIs" dxfId="199" priority="4" stopIfTrue="1" operator="greaterThan">
      <formula>$D$46*0.1</formula>
    </cfRule>
  </conditionalFormatting>
  <conditionalFormatting sqref="E44">
    <cfRule type="cellIs" dxfId="198" priority="5" stopIfTrue="1" operator="greaterThan">
      <formula>$E$46*0.1</formula>
    </cfRule>
  </conditionalFormatting>
  <conditionalFormatting sqref="C35">
    <cfRule type="cellIs" dxfId="197" priority="6" stopIfTrue="1" operator="greaterThan">
      <formula>$C$37*0.1</formula>
    </cfRule>
  </conditionalFormatting>
  <conditionalFormatting sqref="C20">
    <cfRule type="cellIs" dxfId="196" priority="7" stopIfTrue="1" operator="greaterThan">
      <formula>$C$22*0.1</formula>
    </cfRule>
  </conditionalFormatting>
  <conditionalFormatting sqref="D20">
    <cfRule type="cellIs" dxfId="195" priority="8" stopIfTrue="1" operator="greaterThan">
      <formula>$D$22*0.1</formula>
    </cfRule>
  </conditionalFormatting>
  <conditionalFormatting sqref="E20">
    <cfRule type="cellIs" dxfId="194" priority="9" stopIfTrue="1" operator="greaterThan">
      <formula>$E$22*0.1</formula>
    </cfRule>
  </conditionalFormatting>
  <conditionalFormatting sqref="C12">
    <cfRule type="cellIs" dxfId="193" priority="10" stopIfTrue="1" operator="greaterThan">
      <formula>$C$14*0.1</formula>
    </cfRule>
  </conditionalFormatting>
  <conditionalFormatting sqref="D12">
    <cfRule type="cellIs" dxfId="192" priority="11" stopIfTrue="1" operator="greaterThan">
      <formula>$D$14*0.1</formula>
    </cfRule>
  </conditionalFormatting>
  <conditionalFormatting sqref="E12">
    <cfRule type="cellIs" dxfId="191" priority="12" stopIfTrue="1" operator="greaterThan">
      <formula>$E$14*0.1</formula>
    </cfRule>
  </conditionalFormatting>
  <conditionalFormatting sqref="E23 C23 E47 C47">
    <cfRule type="cellIs" dxfId="190" priority="13" stopIfTrue="1" operator="lessThan">
      <formula>0</formula>
    </cfRule>
  </conditionalFormatting>
  <conditionalFormatting sqref="C22">
    <cfRule type="cellIs" dxfId="189" priority="14" stopIfTrue="1" operator="greaterThan">
      <formula>$C$24</formula>
    </cfRule>
  </conditionalFormatting>
  <conditionalFormatting sqref="D22">
    <cfRule type="cellIs" dxfId="188" priority="15" stopIfTrue="1" operator="greaterThan">
      <formula>$D$24</formula>
    </cfRule>
  </conditionalFormatting>
  <conditionalFormatting sqref="C46">
    <cfRule type="cellIs" dxfId="187" priority="16" stopIfTrue="1" operator="greaterThan">
      <formula>$C$48</formula>
    </cfRule>
  </conditionalFormatting>
  <conditionalFormatting sqref="D46">
    <cfRule type="cellIs" dxfId="186" priority="17" stopIfTrue="1" operator="greaterThan">
      <formula>$D$48</formula>
    </cfRule>
  </conditionalFormatting>
  <conditionalFormatting sqref="D35">
    <cfRule type="cellIs" dxfId="185" priority="18" stopIfTrue="1" operator="greaterThan">
      <formula>$D$37*0.1</formula>
    </cfRule>
  </conditionalFormatting>
  <conditionalFormatting sqref="E35">
    <cfRule type="cellIs" dxfId="184" priority="19" stopIfTrue="1" operator="greaterThan">
      <formula>$E$37*0.1</formula>
    </cfRule>
  </conditionalFormatting>
  <conditionalFormatting sqref="D47">
    <cfRule type="cellIs" dxfId="183" priority="2" stopIfTrue="1" operator="lessThan">
      <formula>0</formula>
    </cfRule>
  </conditionalFormatting>
  <conditionalFormatting sqref="D23">
    <cfRule type="cellIs" dxfId="182"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workbookViewId="0">
      <selection activeCell="G8" sqref="G8"/>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(inputPrYr!B40)</f>
        <v>Spec. Rev. Recreation Programs</v>
      </c>
      <c r="C5" s="673" t="str">
        <f>CONCATENATE("Actual for ",E1-2,"")</f>
        <v>Actual for 2013</v>
      </c>
      <c r="D5" s="673" t="str">
        <f>CONCATENATE("Estimate for ",E1-1,"")</f>
        <v>Estimate for 2014</v>
      </c>
      <c r="E5" s="192" t="str">
        <f>CONCATENATE("Year for ",E1,"")</f>
        <v>Year for 2015</v>
      </c>
    </row>
    <row r="6" spans="2:5" x14ac:dyDescent="0.2">
      <c r="B6" s="100" t="s">
        <v>134</v>
      </c>
      <c r="C6" s="40">
        <v>21863</v>
      </c>
      <c r="D6" s="148">
        <f>C25</f>
        <v>32130</v>
      </c>
      <c r="E6" s="148">
        <f>D25</f>
        <v>38055</v>
      </c>
    </row>
    <row r="7" spans="2:5" x14ac:dyDescent="0.2">
      <c r="B7" s="246" t="s">
        <v>136</v>
      </c>
      <c r="C7" s="148"/>
      <c r="D7" s="148"/>
      <c r="E7" s="148"/>
    </row>
    <row r="8" spans="2:5" x14ac:dyDescent="0.2">
      <c r="B8" s="259" t="s">
        <v>1079</v>
      </c>
      <c r="C8" s="40">
        <v>98369</v>
      </c>
      <c r="D8" s="40">
        <v>143120</v>
      </c>
      <c r="E8" s="40">
        <v>139650</v>
      </c>
    </row>
    <row r="9" spans="2:5" x14ac:dyDescent="0.2">
      <c r="B9" s="259"/>
      <c r="C9" s="40"/>
      <c r="D9" s="40"/>
      <c r="E9" s="40"/>
    </row>
    <row r="10" spans="2:5" x14ac:dyDescent="0.2">
      <c r="B10" s="150" t="s">
        <v>127</v>
      </c>
      <c r="C10" s="40"/>
      <c r="D10" s="276"/>
      <c r="E10" s="276"/>
    </row>
    <row r="11" spans="2:5" x14ac:dyDescent="0.2">
      <c r="B11" s="150" t="s">
        <v>609</v>
      </c>
      <c r="C11" s="475" t="str">
        <f>IF(C12*0.1&lt;C10,"Exceed 10% Rule","")</f>
        <v/>
      </c>
      <c r="D11" s="278" t="str">
        <f>IF(D12*0.1&lt;D10,"Exceed 10% Rule","")</f>
        <v/>
      </c>
      <c r="E11" s="278" t="str">
        <f>IF(E12*0.1&lt;E10,"Exceed 10% Rule","")</f>
        <v/>
      </c>
    </row>
    <row r="12" spans="2:5" x14ac:dyDescent="0.2">
      <c r="B12" s="256" t="s">
        <v>47</v>
      </c>
      <c r="C12" s="279">
        <f>SUM(C8:C10)</f>
        <v>98369</v>
      </c>
      <c r="D12" s="279">
        <f>SUM(D8:D10)</f>
        <v>143120</v>
      </c>
      <c r="E12" s="279">
        <f>SUM(E8:E10)</f>
        <v>139650</v>
      </c>
    </row>
    <row r="13" spans="2:5" x14ac:dyDescent="0.2">
      <c r="B13" s="256" t="s">
        <v>48</v>
      </c>
      <c r="C13" s="279">
        <f>C6+C12</f>
        <v>120232</v>
      </c>
      <c r="D13" s="279">
        <f>D6+D12</f>
        <v>175250</v>
      </c>
      <c r="E13" s="279">
        <f>E6+E12</f>
        <v>177705</v>
      </c>
    </row>
    <row r="14" spans="2:5" x14ac:dyDescent="0.2">
      <c r="B14" s="100" t="s">
        <v>49</v>
      </c>
      <c r="C14" s="148"/>
      <c r="D14" s="148"/>
      <c r="E14" s="148"/>
    </row>
    <row r="15" spans="2:5" x14ac:dyDescent="0.2">
      <c r="B15" s="259" t="s">
        <v>1080</v>
      </c>
      <c r="C15" s="40">
        <v>59594</v>
      </c>
      <c r="D15" s="40">
        <v>89475</v>
      </c>
      <c r="E15" s="40">
        <v>89940</v>
      </c>
    </row>
    <row r="16" spans="2:5" x14ac:dyDescent="0.2">
      <c r="B16" s="259" t="s">
        <v>1075</v>
      </c>
      <c r="C16" s="40">
        <v>8267</v>
      </c>
      <c r="D16" s="40">
        <v>26650</v>
      </c>
      <c r="E16" s="40">
        <v>26650</v>
      </c>
    </row>
    <row r="17" spans="2:5" x14ac:dyDescent="0.2">
      <c r="B17" s="259" t="s">
        <v>1081</v>
      </c>
      <c r="C17" s="40">
        <v>6356</v>
      </c>
      <c r="D17" s="40">
        <v>15000</v>
      </c>
      <c r="E17" s="40">
        <v>12000</v>
      </c>
    </row>
    <row r="18" spans="2:5" x14ac:dyDescent="0.2">
      <c r="B18" s="259" t="s">
        <v>1082</v>
      </c>
      <c r="C18" s="40">
        <v>8333</v>
      </c>
      <c r="D18" s="40">
        <v>0</v>
      </c>
      <c r="E18" s="40">
        <v>0</v>
      </c>
    </row>
    <row r="19" spans="2:5" x14ac:dyDescent="0.2">
      <c r="B19" s="259" t="s">
        <v>1083</v>
      </c>
      <c r="C19" s="40">
        <v>330</v>
      </c>
      <c r="D19" s="40">
        <v>670</v>
      </c>
      <c r="E19" s="40">
        <v>675</v>
      </c>
    </row>
    <row r="20" spans="2:5" x14ac:dyDescent="0.2">
      <c r="B20" s="259" t="s">
        <v>1084</v>
      </c>
      <c r="C20" s="40">
        <v>5222</v>
      </c>
      <c r="D20" s="40">
        <v>5400</v>
      </c>
      <c r="E20" s="40">
        <v>5350</v>
      </c>
    </row>
    <row r="21" spans="2:5" x14ac:dyDescent="0.2">
      <c r="B21" s="259"/>
      <c r="C21" s="40"/>
      <c r="D21" s="40"/>
      <c r="E21" s="40"/>
    </row>
    <row r="22" spans="2:5" x14ac:dyDescent="0.2">
      <c r="B22" s="150" t="s">
        <v>127</v>
      </c>
      <c r="C22" s="40"/>
      <c r="D22" s="276"/>
      <c r="E22" s="276"/>
    </row>
    <row r="23" spans="2:5" x14ac:dyDescent="0.2">
      <c r="B23" s="150" t="s">
        <v>610</v>
      </c>
      <c r="C23" s="475" t="str">
        <f>IF(C24*0.1&lt;C22,"Exceed 10% Rule","")</f>
        <v/>
      </c>
      <c r="D23" s="278" t="str">
        <f>IF(D24*0.1&lt;D22,"Exceed 10% Rule","")</f>
        <v/>
      </c>
      <c r="E23" s="278" t="str">
        <f>IF(E24*0.1&lt;E22,"Exceed 10% Rule","")</f>
        <v/>
      </c>
    </row>
    <row r="24" spans="2:5" x14ac:dyDescent="0.2">
      <c r="B24" s="256" t="s">
        <v>50</v>
      </c>
      <c r="C24" s="279">
        <f>SUM(C15:C22)</f>
        <v>88102</v>
      </c>
      <c r="D24" s="279">
        <f>SUM(D15:D22)</f>
        <v>137195</v>
      </c>
      <c r="E24" s="279">
        <f>SUM(E15:E22)</f>
        <v>134615</v>
      </c>
    </row>
    <row r="25" spans="2:5" x14ac:dyDescent="0.2">
      <c r="B25" s="100" t="s">
        <v>135</v>
      </c>
      <c r="C25" s="47">
        <f>C13-C24</f>
        <v>32130</v>
      </c>
      <c r="D25" s="47">
        <f>D13-D24</f>
        <v>38055</v>
      </c>
      <c r="E25" s="47">
        <f>E13-E24</f>
        <v>43090</v>
      </c>
    </row>
    <row r="26" spans="2:5" x14ac:dyDescent="0.2">
      <c r="B26" s="625" t="str">
        <f>CONCATENATE("",E1-2,"/",E1-1,"/",E1," Budget Authority Amount:")</f>
        <v>2013/2014/2015 Budget Authority Amount:</v>
      </c>
      <c r="C26" s="249">
        <f>inputOth!B85</f>
        <v>143695</v>
      </c>
      <c r="D26" s="249">
        <f>inputPrYr!D40</f>
        <v>137195</v>
      </c>
      <c r="E26" s="626">
        <f>E24</f>
        <v>134615</v>
      </c>
    </row>
    <row r="27" spans="2:5" x14ac:dyDescent="0.2">
      <c r="B27" s="675"/>
      <c r="C27" s="262" t="str">
        <f>IF(C24&gt;C26,"See Tab A","")</f>
        <v/>
      </c>
      <c r="D27" s="262" t="str">
        <f>IF(D24&gt;D26,"See Tab C","")</f>
        <v/>
      </c>
      <c r="E27" s="627" t="str">
        <f>IF(E25&lt;0,"See Tab E","")</f>
        <v/>
      </c>
    </row>
    <row r="28" spans="2:5" x14ac:dyDescent="0.2">
      <c r="B28" s="675"/>
      <c r="C28" s="262" t="str">
        <f>IF(C25&lt;0,"See Tab B","")</f>
        <v/>
      </c>
      <c r="D28" s="262" t="str">
        <f>IF(D25&lt;0,"See Tab D","")</f>
        <v/>
      </c>
      <c r="E28" s="281"/>
    </row>
    <row r="29" spans="2:5" x14ac:dyDescent="0.2">
      <c r="B29" s="20"/>
      <c r="C29" s="281"/>
      <c r="D29" s="281"/>
      <c r="E29" s="281"/>
    </row>
    <row r="30" spans="2:5" x14ac:dyDescent="0.2">
      <c r="B30" s="22" t="s">
        <v>41</v>
      </c>
      <c r="C30" s="552" t="s">
        <v>792</v>
      </c>
      <c r="D30" s="135" t="s">
        <v>793</v>
      </c>
      <c r="E30" s="135" t="s">
        <v>794</v>
      </c>
    </row>
    <row r="31" spans="2:5" x14ac:dyDescent="0.2">
      <c r="B31" s="484" t="str">
        <f>(inputPrYr!B41)</f>
        <v>Spec. Rev. Risk Management</v>
      </c>
      <c r="C31" s="192" t="str">
        <f>C5</f>
        <v>Actual for 2013</v>
      </c>
      <c r="D31" s="192" t="str">
        <f>D5</f>
        <v>Estimate for 2014</v>
      </c>
      <c r="E31" s="192" t="str">
        <f>E5</f>
        <v>Year for 2015</v>
      </c>
    </row>
    <row r="32" spans="2:5" x14ac:dyDescent="0.2">
      <c r="B32" s="100" t="s">
        <v>134</v>
      </c>
      <c r="C32" s="40">
        <v>146774</v>
      </c>
      <c r="D32" s="148">
        <f>C49</f>
        <v>138291</v>
      </c>
      <c r="E32" s="148">
        <f>D49</f>
        <v>140964</v>
      </c>
    </row>
    <row r="33" spans="2:5" x14ac:dyDescent="0.2">
      <c r="B33" s="246" t="s">
        <v>136</v>
      </c>
      <c r="C33" s="148"/>
      <c r="D33" s="148"/>
      <c r="E33" s="148"/>
    </row>
    <row r="34" spans="2:5" x14ac:dyDescent="0.2">
      <c r="B34" s="259" t="s">
        <v>1052</v>
      </c>
      <c r="C34" s="40">
        <v>23023</v>
      </c>
      <c r="D34" s="40">
        <v>7634</v>
      </c>
      <c r="E34" s="40">
        <v>0</v>
      </c>
    </row>
    <row r="35" spans="2:5" x14ac:dyDescent="0.2">
      <c r="B35" s="259" t="s">
        <v>82</v>
      </c>
      <c r="C35" s="40">
        <v>281</v>
      </c>
      <c r="D35" s="40">
        <v>200</v>
      </c>
      <c r="E35" s="40">
        <v>200</v>
      </c>
    </row>
    <row r="36" spans="2:5" x14ac:dyDescent="0.2">
      <c r="B36" s="277" t="s">
        <v>18</v>
      </c>
      <c r="C36" s="40"/>
      <c r="D36" s="40"/>
      <c r="E36" s="40"/>
    </row>
    <row r="37" spans="2:5" x14ac:dyDescent="0.2">
      <c r="B37" s="150" t="s">
        <v>127</v>
      </c>
      <c r="C37" s="40"/>
      <c r="D37" s="40"/>
      <c r="E37" s="40"/>
    </row>
    <row r="38" spans="2:5" x14ac:dyDescent="0.2">
      <c r="B38" s="150" t="s">
        <v>609</v>
      </c>
      <c r="C38" s="475" t="str">
        <f>IF(C39*0.1&lt;C37,"Exceed 10% Rule","")</f>
        <v/>
      </c>
      <c r="D38" s="278" t="str">
        <f>IF(D39*0.1&lt;D37,"Exceed 10% Rule","")</f>
        <v/>
      </c>
      <c r="E38" s="278" t="str">
        <f>IF(E39*0.1&lt;E37,"Exceed 10% Rule","")</f>
        <v/>
      </c>
    </row>
    <row r="39" spans="2:5" x14ac:dyDescent="0.2">
      <c r="B39" s="256" t="s">
        <v>47</v>
      </c>
      <c r="C39" s="279">
        <f>SUM(C34:C37)</f>
        <v>23304</v>
      </c>
      <c r="D39" s="279">
        <f>SUM(D34:D37)</f>
        <v>7834</v>
      </c>
      <c r="E39" s="279">
        <f>SUM(E34:E37)</f>
        <v>200</v>
      </c>
    </row>
    <row r="40" spans="2:5" x14ac:dyDescent="0.2">
      <c r="B40" s="256" t="s">
        <v>48</v>
      </c>
      <c r="C40" s="279">
        <f>C32+C39</f>
        <v>170078</v>
      </c>
      <c r="D40" s="279">
        <f>D32+D39</f>
        <v>146125</v>
      </c>
      <c r="E40" s="279">
        <f>E32+E39</f>
        <v>141164</v>
      </c>
    </row>
    <row r="41" spans="2:5" x14ac:dyDescent="0.2">
      <c r="B41" s="100" t="s">
        <v>49</v>
      </c>
      <c r="C41" s="148"/>
      <c r="D41" s="148"/>
      <c r="E41" s="148"/>
    </row>
    <row r="42" spans="2:5" x14ac:dyDescent="0.2">
      <c r="B42" s="259" t="s">
        <v>1075</v>
      </c>
      <c r="C42" s="40">
        <v>27537</v>
      </c>
      <c r="D42" s="40">
        <v>5161</v>
      </c>
      <c r="E42" s="40">
        <v>141164</v>
      </c>
    </row>
    <row r="43" spans="2:5" x14ac:dyDescent="0.2">
      <c r="B43" s="259" t="s">
        <v>1081</v>
      </c>
      <c r="C43" s="40">
        <v>0</v>
      </c>
      <c r="D43" s="40">
        <v>0</v>
      </c>
      <c r="E43" s="40">
        <v>0</v>
      </c>
    </row>
    <row r="44" spans="2:5" x14ac:dyDescent="0.2">
      <c r="B44" s="259" t="s">
        <v>1168</v>
      </c>
      <c r="C44" s="40">
        <v>4250</v>
      </c>
      <c r="D44" s="40">
        <v>0</v>
      </c>
      <c r="E44" s="40">
        <v>0</v>
      </c>
    </row>
    <row r="45" spans="2:5" x14ac:dyDescent="0.2">
      <c r="B45" s="259"/>
      <c r="C45" s="40"/>
      <c r="D45" s="40"/>
      <c r="E45" s="40"/>
    </row>
    <row r="46" spans="2:5" x14ac:dyDescent="0.2">
      <c r="B46" s="150" t="s">
        <v>127</v>
      </c>
      <c r="C46" s="40"/>
      <c r="D46" s="276"/>
      <c r="E46" s="276"/>
    </row>
    <row r="47" spans="2:5" x14ac:dyDescent="0.2">
      <c r="B47" s="150" t="s">
        <v>610</v>
      </c>
      <c r="C47" s="475" t="str">
        <f>IF(C48*0.1&lt;C46,"Exceed 10% Rule","")</f>
        <v/>
      </c>
      <c r="D47" s="278" t="str">
        <f>IF(D48*0.1&lt;D46,"Exceed 10% Rule","")</f>
        <v/>
      </c>
      <c r="E47" s="278" t="str">
        <f>IF(E48*0.1&lt;E46,"Exceed 10% Rule","")</f>
        <v/>
      </c>
    </row>
    <row r="48" spans="2:5" x14ac:dyDescent="0.2">
      <c r="B48" s="256" t="s">
        <v>50</v>
      </c>
      <c r="C48" s="279">
        <f>SUM(C42:C46)</f>
        <v>31787</v>
      </c>
      <c r="D48" s="279">
        <f>SUM(D42:D46)</f>
        <v>5161</v>
      </c>
      <c r="E48" s="279">
        <f>SUM(E42:E46)</f>
        <v>141164</v>
      </c>
    </row>
    <row r="49" spans="2:5" x14ac:dyDescent="0.2">
      <c r="B49" s="100" t="s">
        <v>135</v>
      </c>
      <c r="C49" s="47">
        <f>C40-C48</f>
        <v>138291</v>
      </c>
      <c r="D49" s="47">
        <f>D40-D48</f>
        <v>140964</v>
      </c>
      <c r="E49" s="47">
        <f>E40-E48</f>
        <v>0</v>
      </c>
    </row>
    <row r="50" spans="2:5" x14ac:dyDescent="0.2">
      <c r="B50" s="625" t="str">
        <f>CONCATENATE("",E1-2,"/",E1-1,"/",E1," Budget Authority Amount:")</f>
        <v>2013/2014/2015 Budget Authority Amount:</v>
      </c>
      <c r="C50" s="249">
        <f>inputOth!B86</f>
        <v>134289</v>
      </c>
      <c r="D50" s="249">
        <f>inputPrYr!D41</f>
        <v>141934</v>
      </c>
      <c r="E50" s="148">
        <f>E48</f>
        <v>141164</v>
      </c>
    </row>
    <row r="51" spans="2:5" x14ac:dyDescent="0.2">
      <c r="B51" s="675"/>
      <c r="C51" s="262" t="str">
        <f>IF(C49&lt;0,"See Tab B","")</f>
        <v/>
      </c>
      <c r="D51" s="262" t="str">
        <f>IF(D49&lt;0,"See Tab D","")</f>
        <v/>
      </c>
      <c r="E51" s="20"/>
    </row>
    <row r="52" spans="2:5" x14ac:dyDescent="0.2">
      <c r="B52" s="20"/>
      <c r="C52" s="20"/>
      <c r="D52" s="20"/>
      <c r="E52" s="20"/>
    </row>
    <row r="53" spans="2:5" x14ac:dyDescent="0.2">
      <c r="B53" s="675" t="s">
        <v>53</v>
      </c>
      <c r="C53" s="266">
        <v>15</v>
      </c>
      <c r="D53" s="20"/>
      <c r="E53" s="20"/>
    </row>
  </sheetData>
  <sheetProtection sheet="1" objects="1" scenarios="1"/>
  <conditionalFormatting sqref="C46">
    <cfRule type="cellIs" dxfId="181" priority="3" stopIfTrue="1" operator="greaterThan">
      <formula>$C$48*0.1</formula>
    </cfRule>
  </conditionalFormatting>
  <conditionalFormatting sqref="D46">
    <cfRule type="cellIs" dxfId="180" priority="4" stopIfTrue="1" operator="greaterThan">
      <formula>$D$48*0.1</formula>
    </cfRule>
  </conditionalFormatting>
  <conditionalFormatting sqref="E46">
    <cfRule type="cellIs" dxfId="179" priority="5" stopIfTrue="1" operator="greaterThan">
      <formula>$E$48*0.1</formula>
    </cfRule>
  </conditionalFormatting>
  <conditionalFormatting sqref="C37">
    <cfRule type="cellIs" dxfId="178" priority="6" stopIfTrue="1" operator="greaterThan">
      <formula>$C$39*0.1</formula>
    </cfRule>
  </conditionalFormatting>
  <conditionalFormatting sqref="C22">
    <cfRule type="cellIs" dxfId="177" priority="7" stopIfTrue="1" operator="greaterThan">
      <formula>$C$24*0.1</formula>
    </cfRule>
  </conditionalFormatting>
  <conditionalFormatting sqref="D22">
    <cfRule type="cellIs" dxfId="176" priority="8" stopIfTrue="1" operator="greaterThan">
      <formula>$D$24*0.1</formula>
    </cfRule>
  </conditionalFormatting>
  <conditionalFormatting sqref="E22">
    <cfRule type="cellIs" dxfId="175" priority="9" stopIfTrue="1" operator="greaterThan">
      <formula>$E$24*0.1</formula>
    </cfRule>
  </conditionalFormatting>
  <conditionalFormatting sqref="C10">
    <cfRule type="cellIs" dxfId="174" priority="10" stopIfTrue="1" operator="greaterThan">
      <formula>$C$12*0.1</formula>
    </cfRule>
  </conditionalFormatting>
  <conditionalFormatting sqref="D10">
    <cfRule type="cellIs" dxfId="173" priority="11" stopIfTrue="1" operator="greaterThan">
      <formula>$D$12*0.1</formula>
    </cfRule>
  </conditionalFormatting>
  <conditionalFormatting sqref="E10">
    <cfRule type="cellIs" dxfId="172" priority="12" stopIfTrue="1" operator="greaterThan">
      <formula>$E$12*0.1</formula>
    </cfRule>
  </conditionalFormatting>
  <conditionalFormatting sqref="E25 C25 E49 C49">
    <cfRule type="cellIs" dxfId="171" priority="13" stopIfTrue="1" operator="lessThan">
      <formula>0</formula>
    </cfRule>
  </conditionalFormatting>
  <conditionalFormatting sqref="C24">
    <cfRule type="cellIs" dxfId="170" priority="14" stopIfTrue="1" operator="greaterThan">
      <formula>$C$26</formula>
    </cfRule>
  </conditionalFormatting>
  <conditionalFormatting sqref="D24">
    <cfRule type="cellIs" dxfId="169" priority="15" stopIfTrue="1" operator="greaterThan">
      <formula>$D$26</formula>
    </cfRule>
  </conditionalFormatting>
  <conditionalFormatting sqref="C48">
    <cfRule type="cellIs" dxfId="168" priority="16" stopIfTrue="1" operator="greaterThan">
      <formula>$C$50</formula>
    </cfRule>
  </conditionalFormatting>
  <conditionalFormatting sqref="D48">
    <cfRule type="cellIs" dxfId="167" priority="17" stopIfTrue="1" operator="greaterThan">
      <formula>$D$50</formula>
    </cfRule>
  </conditionalFormatting>
  <conditionalFormatting sqref="D37">
    <cfRule type="cellIs" dxfId="166" priority="18" stopIfTrue="1" operator="greaterThan">
      <formula>$D$39*0.1</formula>
    </cfRule>
  </conditionalFormatting>
  <conditionalFormatting sqref="E37">
    <cfRule type="cellIs" dxfId="165" priority="19" stopIfTrue="1" operator="greaterThan">
      <formula>$E$39*0.1</formula>
    </cfRule>
  </conditionalFormatting>
  <conditionalFormatting sqref="D49">
    <cfRule type="cellIs" dxfId="164" priority="2" stopIfTrue="1" operator="lessThan">
      <formula>0</formula>
    </cfRule>
  </conditionalFormatting>
  <conditionalFormatting sqref="D25">
    <cfRule type="cellIs" dxfId="163"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topLeftCell="A37" workbookViewId="0">
      <selection activeCell="C57" sqref="C57"/>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(inputPrYr!B42)</f>
        <v>Spec. Rev. Senior Center</v>
      </c>
      <c r="C5" s="673" t="str">
        <f>CONCATENATE("Actual for ",E1-2,"")</f>
        <v>Actual for 2013</v>
      </c>
      <c r="D5" s="673" t="str">
        <f>CONCATENATE("Estimate for ",E1-1,"")</f>
        <v>Estimate for 2014</v>
      </c>
      <c r="E5" s="192" t="str">
        <f>CONCATENATE("Year for ",E1,"")</f>
        <v>Year for 2015</v>
      </c>
    </row>
    <row r="6" spans="2:5" x14ac:dyDescent="0.2">
      <c r="B6" s="100" t="s">
        <v>134</v>
      </c>
      <c r="C6" s="40">
        <v>-30</v>
      </c>
      <c r="D6" s="148">
        <f>C26</f>
        <v>0</v>
      </c>
      <c r="E6" s="148">
        <f>D26</f>
        <v>0</v>
      </c>
    </row>
    <row r="7" spans="2:5" x14ac:dyDescent="0.2">
      <c r="B7" s="246" t="s">
        <v>136</v>
      </c>
      <c r="C7" s="148"/>
      <c r="D7" s="148"/>
      <c r="E7" s="148"/>
    </row>
    <row r="8" spans="2:5" x14ac:dyDescent="0.2">
      <c r="B8" s="259" t="s">
        <v>1169</v>
      </c>
      <c r="C8" s="40">
        <v>6450</v>
      </c>
      <c r="D8" s="40">
        <v>6450</v>
      </c>
      <c r="E8" s="40">
        <v>6450</v>
      </c>
    </row>
    <row r="9" spans="2:5" x14ac:dyDescent="0.2">
      <c r="B9" s="259" t="s">
        <v>1052</v>
      </c>
      <c r="C9" s="40">
        <v>75</v>
      </c>
      <c r="D9" s="40">
        <v>0</v>
      </c>
      <c r="E9" s="40">
        <v>0</v>
      </c>
    </row>
    <row r="10" spans="2:5" x14ac:dyDescent="0.2">
      <c r="B10" s="259" t="s">
        <v>1094</v>
      </c>
      <c r="C10" s="40">
        <v>37770</v>
      </c>
      <c r="D10" s="40">
        <v>41830</v>
      </c>
      <c r="E10" s="40">
        <v>42373</v>
      </c>
    </row>
    <row r="11" spans="2:5" x14ac:dyDescent="0.2">
      <c r="B11" s="259"/>
      <c r="C11" s="40"/>
      <c r="D11" s="40"/>
      <c r="E11" s="40"/>
    </row>
    <row r="12" spans="2:5" x14ac:dyDescent="0.2">
      <c r="B12" s="277" t="s">
        <v>18</v>
      </c>
      <c r="C12" s="40"/>
      <c r="D12" s="40"/>
      <c r="E12" s="40"/>
    </row>
    <row r="13" spans="2:5" x14ac:dyDescent="0.2">
      <c r="B13" s="150" t="s">
        <v>127</v>
      </c>
      <c r="C13" s="40"/>
      <c r="D13" s="276"/>
      <c r="E13" s="276"/>
    </row>
    <row r="14" spans="2:5" x14ac:dyDescent="0.2">
      <c r="B14" s="150" t="s">
        <v>609</v>
      </c>
      <c r="C14" s="475" t="str">
        <f>IF(C15*0.1&lt;C13,"Exceed 10% Rule","")</f>
        <v/>
      </c>
      <c r="D14" s="278" t="str">
        <f>IF(D15*0.1&lt;D13,"Exceed 10% Rule","")</f>
        <v/>
      </c>
      <c r="E14" s="278" t="str">
        <f>IF(E15*0.1&lt;E13,"Exceed 10% Rule","")</f>
        <v/>
      </c>
    </row>
    <row r="15" spans="2:5" x14ac:dyDescent="0.2">
      <c r="B15" s="256" t="s">
        <v>47</v>
      </c>
      <c r="C15" s="279">
        <f>SUM(C8:C13)</f>
        <v>44295</v>
      </c>
      <c r="D15" s="279">
        <f>SUM(D8:D13)</f>
        <v>48280</v>
      </c>
      <c r="E15" s="279">
        <f>SUM(E8:E13)</f>
        <v>48823</v>
      </c>
    </row>
    <row r="16" spans="2:5" x14ac:dyDescent="0.2">
      <c r="B16" s="256" t="s">
        <v>48</v>
      </c>
      <c r="C16" s="279">
        <f>C6+C15</f>
        <v>44265</v>
      </c>
      <c r="D16" s="279">
        <f>D6+D15</f>
        <v>48280</v>
      </c>
      <c r="E16" s="279">
        <f>E6+E15</f>
        <v>48823</v>
      </c>
    </row>
    <row r="17" spans="2:5" x14ac:dyDescent="0.2">
      <c r="B17" s="100" t="s">
        <v>49</v>
      </c>
      <c r="C17" s="148"/>
      <c r="D17" s="148"/>
      <c r="E17" s="148"/>
    </row>
    <row r="18" spans="2:5" x14ac:dyDescent="0.2">
      <c r="B18" s="259" t="s">
        <v>1080</v>
      </c>
      <c r="C18" s="40">
        <v>38685</v>
      </c>
      <c r="D18" s="40">
        <v>40350</v>
      </c>
      <c r="E18" s="40">
        <v>41343</v>
      </c>
    </row>
    <row r="19" spans="2:5" x14ac:dyDescent="0.2">
      <c r="B19" s="259" t="s">
        <v>1075</v>
      </c>
      <c r="C19" s="40">
        <v>4528</v>
      </c>
      <c r="D19" s="40">
        <v>5330</v>
      </c>
      <c r="E19" s="40">
        <v>5180</v>
      </c>
    </row>
    <row r="20" spans="2:5" x14ac:dyDescent="0.2">
      <c r="B20" s="259" t="s">
        <v>1081</v>
      </c>
      <c r="C20" s="40">
        <v>1052</v>
      </c>
      <c r="D20" s="40">
        <v>2600</v>
      </c>
      <c r="E20" s="40">
        <v>2300</v>
      </c>
    </row>
    <row r="21" spans="2:5" x14ac:dyDescent="0.2">
      <c r="B21" s="259" t="s">
        <v>1082</v>
      </c>
      <c r="C21" s="40">
        <v>0</v>
      </c>
      <c r="D21" s="40">
        <v>0</v>
      </c>
      <c r="E21" s="40">
        <v>0</v>
      </c>
    </row>
    <row r="22" spans="2:5" x14ac:dyDescent="0.2">
      <c r="B22" s="259"/>
      <c r="C22" s="40"/>
      <c r="D22" s="40"/>
      <c r="E22" s="40"/>
    </row>
    <row r="23" spans="2:5" x14ac:dyDescent="0.2">
      <c r="B23" s="150" t="s">
        <v>127</v>
      </c>
      <c r="C23" s="40"/>
      <c r="D23" s="276"/>
      <c r="E23" s="276"/>
    </row>
    <row r="24" spans="2:5" x14ac:dyDescent="0.2">
      <c r="B24" s="150" t="s">
        <v>610</v>
      </c>
      <c r="C24" s="475" t="str">
        <f>IF(C25*0.1&lt;C23,"Exceed 10% Rule","")</f>
        <v/>
      </c>
      <c r="D24" s="278" t="str">
        <f>IF(D25*0.1&lt;D23,"Exceed 10% Rule","")</f>
        <v/>
      </c>
      <c r="E24" s="278" t="str">
        <f>IF(E25*0.1&lt;E23,"Exceed 10% Rule","")</f>
        <v/>
      </c>
    </row>
    <row r="25" spans="2:5" x14ac:dyDescent="0.2">
      <c r="B25" s="256" t="s">
        <v>50</v>
      </c>
      <c r="C25" s="279">
        <f>SUM(C18:C23)</f>
        <v>44265</v>
      </c>
      <c r="D25" s="279">
        <f>SUM(D18:D23)</f>
        <v>48280</v>
      </c>
      <c r="E25" s="279">
        <f>SUM(E18:E23)</f>
        <v>48823</v>
      </c>
    </row>
    <row r="26" spans="2:5" x14ac:dyDescent="0.2">
      <c r="B26" s="100" t="s">
        <v>135</v>
      </c>
      <c r="C26" s="47">
        <f>C16-C25</f>
        <v>0</v>
      </c>
      <c r="D26" s="47">
        <f>D16-D25</f>
        <v>0</v>
      </c>
      <c r="E26" s="47">
        <f>E16-E25</f>
        <v>0</v>
      </c>
    </row>
    <row r="27" spans="2:5" x14ac:dyDescent="0.2">
      <c r="B27" s="625" t="str">
        <f>CONCATENATE("",E1-2,"/",E1-1,"/",E1," Budget Authority Amount:")</f>
        <v>2013/2014/2015 Budget Authority Amount:</v>
      </c>
      <c r="C27" s="249">
        <f>inputOth!B87</f>
        <v>47450</v>
      </c>
      <c r="D27" s="249">
        <f>inputPrYr!D42</f>
        <v>48280</v>
      </c>
      <c r="E27" s="626">
        <f>E25</f>
        <v>48823</v>
      </c>
    </row>
    <row r="28" spans="2:5" x14ac:dyDescent="0.2">
      <c r="B28" s="675"/>
      <c r="C28" s="262" t="str">
        <f>IF(C25&gt;C27,"See Tab A","")</f>
        <v/>
      </c>
      <c r="D28" s="262" t="str">
        <f>IF(D25&gt;D27,"See Tab C","")</f>
        <v/>
      </c>
      <c r="E28" s="627" t="str">
        <f>IF(E26&lt;0,"See Tab E","")</f>
        <v/>
      </c>
    </row>
    <row r="29" spans="2:5" x14ac:dyDescent="0.2">
      <c r="B29" s="675"/>
      <c r="C29" s="262" t="str">
        <f>IF(C26&lt;0,"See Tab B","")</f>
        <v/>
      </c>
      <c r="D29" s="262" t="str">
        <f>IF(D26&lt;0,"See Tab D","")</f>
        <v/>
      </c>
      <c r="E29" s="281"/>
    </row>
    <row r="30" spans="2:5" x14ac:dyDescent="0.2">
      <c r="B30" s="20"/>
      <c r="C30" s="281"/>
      <c r="D30" s="281"/>
      <c r="E30" s="281"/>
    </row>
    <row r="31" spans="2:5" x14ac:dyDescent="0.2">
      <c r="B31" s="22" t="s">
        <v>41</v>
      </c>
      <c r="C31" s="552" t="s">
        <v>792</v>
      </c>
      <c r="D31" s="135" t="s">
        <v>793</v>
      </c>
      <c r="E31" s="135" t="s">
        <v>794</v>
      </c>
    </row>
    <row r="32" spans="2:5" x14ac:dyDescent="0.2">
      <c r="B32" s="484" t="str">
        <f>(inputPrYr!B43)</f>
        <v>Spec. Rev. Sidewalk Escrow</v>
      </c>
      <c r="C32" s="192" t="str">
        <f>C5</f>
        <v>Actual for 2013</v>
      </c>
      <c r="D32" s="192" t="str">
        <f>D5</f>
        <v>Estimate for 2014</v>
      </c>
      <c r="E32" s="192" t="str">
        <f>E5</f>
        <v>Year for 2015</v>
      </c>
    </row>
    <row r="33" spans="2:5" x14ac:dyDescent="0.2">
      <c r="B33" s="100" t="s">
        <v>134</v>
      </c>
      <c r="C33" s="40">
        <v>34286</v>
      </c>
      <c r="D33" s="148">
        <f>C48</f>
        <v>34352</v>
      </c>
      <c r="E33" s="148">
        <f>D48</f>
        <v>34402</v>
      </c>
    </row>
    <row r="34" spans="2:5" x14ac:dyDescent="0.2">
      <c r="B34" s="246" t="s">
        <v>136</v>
      </c>
      <c r="C34" s="148"/>
      <c r="D34" s="148"/>
      <c r="E34" s="148"/>
    </row>
    <row r="35" spans="2:5" x14ac:dyDescent="0.2">
      <c r="B35" s="259" t="s">
        <v>1170</v>
      </c>
      <c r="C35" s="40">
        <v>0</v>
      </c>
      <c r="D35" s="40">
        <v>0</v>
      </c>
      <c r="E35" s="40">
        <v>0</v>
      </c>
    </row>
    <row r="36" spans="2:5" x14ac:dyDescent="0.2">
      <c r="B36" s="259" t="s">
        <v>82</v>
      </c>
      <c r="C36" s="40">
        <v>66</v>
      </c>
      <c r="D36" s="40">
        <v>50</v>
      </c>
      <c r="E36" s="40">
        <v>50</v>
      </c>
    </row>
    <row r="37" spans="2:5" x14ac:dyDescent="0.2">
      <c r="B37" s="277" t="s">
        <v>18</v>
      </c>
      <c r="C37" s="40"/>
      <c r="D37" s="40"/>
      <c r="E37" s="40"/>
    </row>
    <row r="38" spans="2:5" x14ac:dyDescent="0.2">
      <c r="B38" s="150" t="s">
        <v>127</v>
      </c>
      <c r="C38" s="40"/>
      <c r="D38" s="40"/>
      <c r="E38" s="40"/>
    </row>
    <row r="39" spans="2:5" x14ac:dyDescent="0.2">
      <c r="B39" s="150" t="s">
        <v>609</v>
      </c>
      <c r="C39" s="475" t="str">
        <f>IF(C40*0.1&lt;C38,"Exceed 10% Rule","")</f>
        <v/>
      </c>
      <c r="D39" s="278" t="str">
        <f>IF(D40*0.1&lt;D38,"Exceed 10% Rule","")</f>
        <v/>
      </c>
      <c r="E39" s="278" t="str">
        <f>IF(E40*0.1&lt;E38,"Exceed 10% Rule","")</f>
        <v/>
      </c>
    </row>
    <row r="40" spans="2:5" x14ac:dyDescent="0.2">
      <c r="B40" s="256" t="s">
        <v>47</v>
      </c>
      <c r="C40" s="279">
        <f>SUM(C35:C38)</f>
        <v>66</v>
      </c>
      <c r="D40" s="279">
        <f>SUM(D35:D38)</f>
        <v>50</v>
      </c>
      <c r="E40" s="279">
        <f>SUM(E35:E38)</f>
        <v>50</v>
      </c>
    </row>
    <row r="41" spans="2:5" x14ac:dyDescent="0.2">
      <c r="B41" s="256" t="s">
        <v>48</v>
      </c>
      <c r="C41" s="279">
        <f>C33+C40</f>
        <v>34352</v>
      </c>
      <c r="D41" s="279">
        <f>D33+D40</f>
        <v>34402</v>
      </c>
      <c r="E41" s="279">
        <f>E33+E40</f>
        <v>34452</v>
      </c>
    </row>
    <row r="42" spans="2:5" x14ac:dyDescent="0.2">
      <c r="B42" s="100" t="s">
        <v>49</v>
      </c>
      <c r="C42" s="148"/>
      <c r="D42" s="148"/>
      <c r="E42" s="148"/>
    </row>
    <row r="43" spans="2:5" x14ac:dyDescent="0.2">
      <c r="B43" s="259" t="s">
        <v>1171</v>
      </c>
      <c r="C43" s="40">
        <v>0</v>
      </c>
      <c r="D43" s="40">
        <v>0</v>
      </c>
      <c r="E43" s="40">
        <v>34452</v>
      </c>
    </row>
    <row r="44" spans="2:5" x14ac:dyDescent="0.2">
      <c r="B44" s="259"/>
      <c r="C44" s="40"/>
      <c r="D44" s="40"/>
      <c r="E44" s="40"/>
    </row>
    <row r="45" spans="2:5" x14ac:dyDescent="0.2">
      <c r="B45" s="150" t="s">
        <v>127</v>
      </c>
      <c r="C45" s="40"/>
      <c r="D45" s="276"/>
      <c r="E45" s="276"/>
    </row>
    <row r="46" spans="2:5" x14ac:dyDescent="0.2">
      <c r="B46" s="150" t="s">
        <v>610</v>
      </c>
      <c r="C46" s="475" t="str">
        <f>IF(C47*0.1&lt;C45,"Exceed 10% Rule","")</f>
        <v/>
      </c>
      <c r="D46" s="278" t="str">
        <f>IF(D47*0.1&lt;D45,"Exceed 10% Rule","")</f>
        <v/>
      </c>
      <c r="E46" s="278" t="str">
        <f>IF(E47*0.1&lt;E45,"Exceed 10% Rule","")</f>
        <v/>
      </c>
    </row>
    <row r="47" spans="2:5" x14ac:dyDescent="0.2">
      <c r="B47" s="256" t="s">
        <v>50</v>
      </c>
      <c r="C47" s="279">
        <f>SUM(C43:C45)</f>
        <v>0</v>
      </c>
      <c r="D47" s="279">
        <f>SUM(D43:D45)</f>
        <v>0</v>
      </c>
      <c r="E47" s="279">
        <f>SUM(E43:E45)</f>
        <v>34452</v>
      </c>
    </row>
    <row r="48" spans="2:5" x14ac:dyDescent="0.2">
      <c r="B48" s="100" t="s">
        <v>135</v>
      </c>
      <c r="C48" s="47">
        <f>C41-C47</f>
        <v>34352</v>
      </c>
      <c r="D48" s="47">
        <f>D41-D47</f>
        <v>34402</v>
      </c>
      <c r="E48" s="47">
        <f>E41-E47</f>
        <v>0</v>
      </c>
    </row>
    <row r="49" spans="2:5" x14ac:dyDescent="0.2">
      <c r="B49" s="625" t="str">
        <f>CONCATENATE("",E1-2,"/",E1-1,"/",E1," Budget Authority Amount:")</f>
        <v>2013/2014/2015 Budget Authority Amount:</v>
      </c>
      <c r="C49" s="249">
        <f>inputOth!B88</f>
        <v>34383</v>
      </c>
      <c r="D49" s="249">
        <f>inputPrYr!D43</f>
        <v>34396</v>
      </c>
      <c r="E49" s="626">
        <f>E47</f>
        <v>34452</v>
      </c>
    </row>
    <row r="50" spans="2:5" x14ac:dyDescent="0.2">
      <c r="B50" s="675"/>
      <c r="C50" s="262" t="str">
        <f>IF(C47&gt;C49,"See Tab A","")</f>
        <v/>
      </c>
      <c r="D50" s="262" t="str">
        <f>IF(D47&gt;D49,"See Tab C","")</f>
        <v/>
      </c>
      <c r="E50" s="627" t="str">
        <f>IF(E48&lt;0,"See Tab E","")</f>
        <v/>
      </c>
    </row>
    <row r="51" spans="2:5" x14ac:dyDescent="0.2">
      <c r="B51" s="675"/>
      <c r="C51" s="262" t="str">
        <f>IF(C48&lt;0,"See Tab B","")</f>
        <v/>
      </c>
      <c r="D51" s="262" t="str">
        <f>IF(D48&lt;0,"See Tab D","")</f>
        <v/>
      </c>
      <c r="E51" s="20"/>
    </row>
    <row r="52" spans="2:5" x14ac:dyDescent="0.2">
      <c r="B52" s="20"/>
      <c r="C52" s="20"/>
      <c r="D52" s="20"/>
      <c r="E52" s="20"/>
    </row>
    <row r="53" spans="2:5" x14ac:dyDescent="0.2">
      <c r="B53" s="675" t="s">
        <v>53</v>
      </c>
      <c r="C53" s="266">
        <v>16</v>
      </c>
      <c r="D53" s="20"/>
      <c r="E53" s="20"/>
    </row>
  </sheetData>
  <sheetProtection sheet="1" objects="1" scenarios="1"/>
  <conditionalFormatting sqref="C45">
    <cfRule type="cellIs" dxfId="162" priority="3" stopIfTrue="1" operator="greaterThan">
      <formula>$C$47*0.1</formula>
    </cfRule>
  </conditionalFormatting>
  <conditionalFormatting sqref="D45">
    <cfRule type="cellIs" dxfId="161" priority="4" stopIfTrue="1" operator="greaterThan">
      <formula>$D$47*0.1</formula>
    </cfRule>
  </conditionalFormatting>
  <conditionalFormatting sqref="E45">
    <cfRule type="cellIs" dxfId="160" priority="5" stopIfTrue="1" operator="greaterThan">
      <formula>$E$47*0.1</formula>
    </cfRule>
  </conditionalFormatting>
  <conditionalFormatting sqref="C38">
    <cfRule type="cellIs" dxfId="159" priority="6" stopIfTrue="1" operator="greaterThan">
      <formula>$C$40*0.1</formula>
    </cfRule>
  </conditionalFormatting>
  <conditionalFormatting sqref="C23">
    <cfRule type="cellIs" dxfId="158" priority="7" stopIfTrue="1" operator="greaterThan">
      <formula>$C$25*0.1</formula>
    </cfRule>
  </conditionalFormatting>
  <conditionalFormatting sqref="D23">
    <cfRule type="cellIs" dxfId="157" priority="8" stopIfTrue="1" operator="greaterThan">
      <formula>$D$25*0.1</formula>
    </cfRule>
  </conditionalFormatting>
  <conditionalFormatting sqref="E23">
    <cfRule type="cellIs" dxfId="156" priority="9" stopIfTrue="1" operator="greaterThan">
      <formula>$E$25*0.1</formula>
    </cfRule>
  </conditionalFormatting>
  <conditionalFormatting sqref="C13">
    <cfRule type="cellIs" dxfId="155" priority="10" stopIfTrue="1" operator="greaterThan">
      <formula>$C$15*0.1</formula>
    </cfRule>
  </conditionalFormatting>
  <conditionalFormatting sqref="D13">
    <cfRule type="cellIs" dxfId="154" priority="11" stopIfTrue="1" operator="greaterThan">
      <formula>$D$15*0.1</formula>
    </cfRule>
  </conditionalFormatting>
  <conditionalFormatting sqref="E13">
    <cfRule type="cellIs" dxfId="153" priority="12" stopIfTrue="1" operator="greaterThan">
      <formula>$E$15*0.1</formula>
    </cfRule>
  </conditionalFormatting>
  <conditionalFormatting sqref="E26 C26 E48 C48">
    <cfRule type="cellIs" dxfId="152" priority="13" stopIfTrue="1" operator="lessThan">
      <formula>0</formula>
    </cfRule>
  </conditionalFormatting>
  <conditionalFormatting sqref="C25">
    <cfRule type="cellIs" dxfId="151" priority="14" stopIfTrue="1" operator="greaterThan">
      <formula>$C$27</formula>
    </cfRule>
  </conditionalFormatting>
  <conditionalFormatting sqref="D25">
    <cfRule type="cellIs" dxfId="150" priority="15" stopIfTrue="1" operator="greaterThan">
      <formula>$D$27</formula>
    </cfRule>
  </conditionalFormatting>
  <conditionalFormatting sqref="C47">
    <cfRule type="cellIs" dxfId="149" priority="16" stopIfTrue="1" operator="greaterThan">
      <formula>$C$49</formula>
    </cfRule>
  </conditionalFormatting>
  <conditionalFormatting sqref="D47">
    <cfRule type="cellIs" dxfId="148" priority="17" stopIfTrue="1" operator="greaterThan">
      <formula>$D$49</formula>
    </cfRule>
  </conditionalFormatting>
  <conditionalFormatting sqref="D38">
    <cfRule type="cellIs" dxfId="147" priority="18" stopIfTrue="1" operator="greaterThan">
      <formula>$D$40*0.1</formula>
    </cfRule>
  </conditionalFormatting>
  <conditionalFormatting sqref="E38">
    <cfRule type="cellIs" dxfId="146" priority="19" stopIfTrue="1" operator="greaterThan">
      <formula>$E$40*0.1</formula>
    </cfRule>
  </conditionalFormatting>
  <conditionalFormatting sqref="D48">
    <cfRule type="cellIs" dxfId="145" priority="2" stopIfTrue="1" operator="lessThan">
      <formula>0</formula>
    </cfRule>
  </conditionalFormatting>
  <conditionalFormatting sqref="D26">
    <cfRule type="cellIs" dxfId="144"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workbookViewId="0">
      <selection activeCell="E13" sqref="E13"/>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(inputPrYr!B44)</f>
        <v>Spec. Rev. Soccer</v>
      </c>
      <c r="C5" s="673" t="str">
        <f>CONCATENATE("Actual for ",E1-2,"")</f>
        <v>Actual for 2013</v>
      </c>
      <c r="D5" s="673" t="str">
        <f>CONCATENATE("Estimate for ",E1-1,"")</f>
        <v>Estimate for 2014</v>
      </c>
      <c r="E5" s="192" t="str">
        <f>CONCATENATE("Year for ",E1,"")</f>
        <v>Year for 2015</v>
      </c>
    </row>
    <row r="6" spans="2:5" x14ac:dyDescent="0.2">
      <c r="B6" s="100" t="s">
        <v>134</v>
      </c>
      <c r="C6" s="40">
        <v>0</v>
      </c>
      <c r="D6" s="148">
        <f>C23</f>
        <v>0</v>
      </c>
      <c r="E6" s="148">
        <f>D23</f>
        <v>1245</v>
      </c>
    </row>
    <row r="7" spans="2:5" x14ac:dyDescent="0.2">
      <c r="B7" s="246" t="s">
        <v>136</v>
      </c>
      <c r="C7" s="148"/>
      <c r="D7" s="148"/>
      <c r="E7" s="148"/>
    </row>
    <row r="8" spans="2:5" x14ac:dyDescent="0.2">
      <c r="B8" s="259" t="s">
        <v>1085</v>
      </c>
      <c r="C8" s="40">
        <v>3513</v>
      </c>
      <c r="D8" s="40">
        <v>0</v>
      </c>
      <c r="E8" s="40">
        <v>0</v>
      </c>
    </row>
    <row r="9" spans="2:5" x14ac:dyDescent="0.2">
      <c r="B9" s="259" t="s">
        <v>1090</v>
      </c>
      <c r="C9" s="40">
        <v>12665</v>
      </c>
      <c r="D9" s="40">
        <v>17000</v>
      </c>
      <c r="E9" s="40">
        <v>17000</v>
      </c>
    </row>
    <row r="10" spans="2:5" x14ac:dyDescent="0.2">
      <c r="B10" s="259" t="s">
        <v>1091</v>
      </c>
      <c r="C10" s="40">
        <v>40</v>
      </c>
      <c r="D10" s="40">
        <v>0</v>
      </c>
      <c r="E10" s="40">
        <v>0</v>
      </c>
    </row>
    <row r="11" spans="2:5" x14ac:dyDescent="0.2">
      <c r="B11" s="277" t="s">
        <v>18</v>
      </c>
      <c r="C11" s="40"/>
      <c r="D11" s="40"/>
      <c r="E11" s="40"/>
    </row>
    <row r="12" spans="2:5" x14ac:dyDescent="0.2">
      <c r="B12" s="150" t="s">
        <v>127</v>
      </c>
      <c r="C12" s="40"/>
      <c r="D12" s="276"/>
      <c r="E12" s="276"/>
    </row>
    <row r="13" spans="2:5" x14ac:dyDescent="0.2">
      <c r="B13" s="150" t="s">
        <v>609</v>
      </c>
      <c r="C13" s="475" t="str">
        <f>IF(C14*0.1&lt;C12,"Exceed 10% Rule","")</f>
        <v/>
      </c>
      <c r="D13" s="278" t="str">
        <f>IF(D14*0.1&lt;D12,"Exceed 10% Rule","")</f>
        <v/>
      </c>
      <c r="E13" s="278" t="str">
        <f>IF(E14*0.1&lt;E12,"Exceed 10% Rule","")</f>
        <v/>
      </c>
    </row>
    <row r="14" spans="2:5" x14ac:dyDescent="0.2">
      <c r="B14" s="256" t="s">
        <v>47</v>
      </c>
      <c r="C14" s="279">
        <f>SUM(C8:C12)</f>
        <v>16218</v>
      </c>
      <c r="D14" s="279">
        <f>SUM(D8:D12)</f>
        <v>17000</v>
      </c>
      <c r="E14" s="279">
        <f>SUM(E8:E12)</f>
        <v>17000</v>
      </c>
    </row>
    <row r="15" spans="2:5" x14ac:dyDescent="0.2">
      <c r="B15" s="256" t="s">
        <v>48</v>
      </c>
      <c r="C15" s="279">
        <f>C6+C14</f>
        <v>16218</v>
      </c>
      <c r="D15" s="279">
        <f>D6+D14</f>
        <v>17000</v>
      </c>
      <c r="E15" s="279">
        <f>E6+E14</f>
        <v>18245</v>
      </c>
    </row>
    <row r="16" spans="2:5" x14ac:dyDescent="0.2">
      <c r="B16" s="100" t="s">
        <v>49</v>
      </c>
      <c r="C16" s="148"/>
      <c r="D16" s="148"/>
      <c r="E16" s="148"/>
    </row>
    <row r="17" spans="2:5" x14ac:dyDescent="0.2">
      <c r="B17" s="259" t="s">
        <v>1080</v>
      </c>
      <c r="C17" s="40">
        <v>738</v>
      </c>
      <c r="D17" s="40">
        <v>1005</v>
      </c>
      <c r="E17" s="40">
        <v>1005</v>
      </c>
    </row>
    <row r="18" spans="2:5" x14ac:dyDescent="0.2">
      <c r="B18" s="259" t="s">
        <v>1075</v>
      </c>
      <c r="C18" s="40">
        <v>10634</v>
      </c>
      <c r="D18" s="40">
        <v>8100</v>
      </c>
      <c r="E18" s="40">
        <v>9500</v>
      </c>
    </row>
    <row r="19" spans="2:5" x14ac:dyDescent="0.2">
      <c r="B19" s="259" t="s">
        <v>1092</v>
      </c>
      <c r="C19" s="40">
        <v>4846</v>
      </c>
      <c r="D19" s="40">
        <v>6650</v>
      </c>
      <c r="E19" s="40">
        <v>7000</v>
      </c>
    </row>
    <row r="20" spans="2:5" x14ac:dyDescent="0.2">
      <c r="B20" s="150" t="s">
        <v>127</v>
      </c>
      <c r="C20" s="40"/>
      <c r="D20" s="276"/>
      <c r="E20" s="276"/>
    </row>
    <row r="21" spans="2:5" x14ac:dyDescent="0.2">
      <c r="B21" s="150" t="s">
        <v>610</v>
      </c>
      <c r="C21" s="475" t="str">
        <f>IF(C22*0.1&lt;C20,"Exceed 10% Rule","")</f>
        <v/>
      </c>
      <c r="D21" s="278" t="str">
        <f>IF(D22*0.1&lt;D20,"Exceed 10% Rule","")</f>
        <v/>
      </c>
      <c r="E21" s="278" t="str">
        <f>IF(E22*0.1&lt;E20,"Exceed 10% Rule","")</f>
        <v/>
      </c>
    </row>
    <row r="22" spans="2:5" x14ac:dyDescent="0.2">
      <c r="B22" s="256" t="s">
        <v>50</v>
      </c>
      <c r="C22" s="279">
        <f>SUM(C17:C20)</f>
        <v>16218</v>
      </c>
      <c r="D22" s="279">
        <f>SUM(D17:D20)</f>
        <v>15755</v>
      </c>
      <c r="E22" s="279">
        <f>SUM(E17:E20)</f>
        <v>17505</v>
      </c>
    </row>
    <row r="23" spans="2:5" x14ac:dyDescent="0.2">
      <c r="B23" s="100" t="s">
        <v>135</v>
      </c>
      <c r="C23" s="47">
        <f>C15-C22</f>
        <v>0</v>
      </c>
      <c r="D23" s="47">
        <f>D15-D22</f>
        <v>1245</v>
      </c>
      <c r="E23" s="47">
        <f>E15-E22</f>
        <v>740</v>
      </c>
    </row>
    <row r="24" spans="2:5" x14ac:dyDescent="0.2">
      <c r="B24" s="625" t="str">
        <f>CONCATENATE("",E1-2,"/",E1-1,"/",E1," Budget Authority Amount:")</f>
        <v>2013/2014/2015 Budget Authority Amount:</v>
      </c>
      <c r="C24" s="249">
        <f>inputOth!B89</f>
        <v>16218</v>
      </c>
      <c r="D24" s="249">
        <f>inputPrYr!D44</f>
        <v>15755</v>
      </c>
      <c r="E24" s="148">
        <f>E22</f>
        <v>17505</v>
      </c>
    </row>
    <row r="25" spans="2:5" x14ac:dyDescent="0.2">
      <c r="B25" s="675"/>
      <c r="C25" s="262" t="str">
        <f>IF(C23&lt;0,"See Tab B","")</f>
        <v/>
      </c>
      <c r="D25" s="262" t="str">
        <f>IF(D23&lt;0,"See Tab D","")</f>
        <v/>
      </c>
      <c r="E25" s="281"/>
    </row>
    <row r="26" spans="2:5" x14ac:dyDescent="0.2">
      <c r="B26" s="20"/>
      <c r="C26" s="281"/>
      <c r="D26" s="281"/>
      <c r="E26" s="281"/>
    </row>
    <row r="27" spans="2:5" x14ac:dyDescent="0.2">
      <c r="B27" s="22" t="s">
        <v>41</v>
      </c>
      <c r="C27" s="552" t="s">
        <v>792</v>
      </c>
      <c r="D27" s="135" t="s">
        <v>793</v>
      </c>
      <c r="E27" s="135" t="s">
        <v>794</v>
      </c>
    </row>
    <row r="28" spans="2:5" x14ac:dyDescent="0.2">
      <c r="B28" s="484" t="str">
        <f>(inputPrYr!B45)</f>
        <v>Spec. Rev. Special Parks &amp; Recreation</v>
      </c>
      <c r="C28" s="192" t="str">
        <f>C5</f>
        <v>Actual for 2013</v>
      </c>
      <c r="D28" s="192" t="str">
        <f>D5</f>
        <v>Estimate for 2014</v>
      </c>
      <c r="E28" s="192" t="str">
        <f>E5</f>
        <v>Year for 2015</v>
      </c>
    </row>
    <row r="29" spans="2:5" x14ac:dyDescent="0.2">
      <c r="B29" s="100" t="s">
        <v>134</v>
      </c>
      <c r="C29" s="40">
        <v>112844</v>
      </c>
      <c r="D29" s="148">
        <f>C48</f>
        <v>78381</v>
      </c>
      <c r="E29" s="148">
        <f>D48</f>
        <v>63339</v>
      </c>
    </row>
    <row r="30" spans="2:5" x14ac:dyDescent="0.2">
      <c r="B30" s="246" t="s">
        <v>136</v>
      </c>
      <c r="C30" s="148"/>
      <c r="D30" s="148"/>
      <c r="E30" s="148"/>
    </row>
    <row r="31" spans="2:5" x14ac:dyDescent="0.2">
      <c r="B31" s="259" t="s">
        <v>1054</v>
      </c>
      <c r="C31" s="40">
        <v>56525</v>
      </c>
      <c r="D31" s="40">
        <v>45000</v>
      </c>
      <c r="E31" s="40">
        <v>50000</v>
      </c>
    </row>
    <row r="32" spans="2:5" x14ac:dyDescent="0.2">
      <c r="B32" s="259" t="s">
        <v>1060</v>
      </c>
      <c r="C32" s="40">
        <v>5022</v>
      </c>
      <c r="D32" s="40">
        <v>0</v>
      </c>
      <c r="E32" s="40">
        <v>0</v>
      </c>
    </row>
    <row r="33" spans="2:5" x14ac:dyDescent="0.2">
      <c r="B33" s="259" t="s">
        <v>82</v>
      </c>
      <c r="C33" s="40">
        <v>185</v>
      </c>
      <c r="D33" s="40">
        <v>300</v>
      </c>
      <c r="E33" s="40">
        <v>175</v>
      </c>
    </row>
    <row r="34" spans="2:5" x14ac:dyDescent="0.2">
      <c r="B34" s="277" t="s">
        <v>18</v>
      </c>
      <c r="C34" s="40"/>
      <c r="D34" s="40"/>
      <c r="E34" s="40"/>
    </row>
    <row r="35" spans="2:5" x14ac:dyDescent="0.2">
      <c r="B35" s="150" t="s">
        <v>127</v>
      </c>
      <c r="C35" s="40"/>
      <c r="D35" s="40"/>
      <c r="E35" s="40"/>
    </row>
    <row r="36" spans="2:5" x14ac:dyDescent="0.2">
      <c r="B36" s="150" t="s">
        <v>609</v>
      </c>
      <c r="C36" s="475" t="str">
        <f>IF(C37*0.1&lt;C35,"Exceed 10% Rule","")</f>
        <v/>
      </c>
      <c r="D36" s="278" t="str">
        <f>IF(D37*0.1&lt;D35,"Exceed 10% Rule","")</f>
        <v/>
      </c>
      <c r="E36" s="278" t="str">
        <f>IF(E37*0.1&lt;E35,"Exceed 10% Rule","")</f>
        <v/>
      </c>
    </row>
    <row r="37" spans="2:5" x14ac:dyDescent="0.2">
      <c r="B37" s="256" t="s">
        <v>47</v>
      </c>
      <c r="C37" s="279">
        <f>SUM(C31:C35)</f>
        <v>61732</v>
      </c>
      <c r="D37" s="279">
        <f>SUM(D31:D35)</f>
        <v>45300</v>
      </c>
      <c r="E37" s="279">
        <f>SUM(E31:E35)</f>
        <v>50175</v>
      </c>
    </row>
    <row r="38" spans="2:5" x14ac:dyDescent="0.2">
      <c r="B38" s="256" t="s">
        <v>48</v>
      </c>
      <c r="C38" s="279">
        <f>C29+C37</f>
        <v>174576</v>
      </c>
      <c r="D38" s="279">
        <f>D29+D37</f>
        <v>123681</v>
      </c>
      <c r="E38" s="279">
        <f>E29+E37</f>
        <v>113514</v>
      </c>
    </row>
    <row r="39" spans="2:5" x14ac:dyDescent="0.2">
      <c r="B39" s="100" t="s">
        <v>49</v>
      </c>
      <c r="C39" s="148"/>
      <c r="D39" s="148"/>
      <c r="E39" s="148"/>
    </row>
    <row r="40" spans="2:5" x14ac:dyDescent="0.2">
      <c r="B40" s="259" t="s">
        <v>1075</v>
      </c>
      <c r="C40" s="40">
        <v>0</v>
      </c>
      <c r="D40" s="40">
        <v>0</v>
      </c>
      <c r="E40" s="40">
        <v>0</v>
      </c>
    </row>
    <row r="41" spans="2:5" x14ac:dyDescent="0.2">
      <c r="B41" s="259" t="s">
        <v>1076</v>
      </c>
      <c r="C41" s="40">
        <v>73782</v>
      </c>
      <c r="D41" s="40">
        <v>39142</v>
      </c>
      <c r="E41" s="40">
        <v>79500</v>
      </c>
    </row>
    <row r="42" spans="2:5" x14ac:dyDescent="0.2">
      <c r="B42" s="259" t="s">
        <v>1077</v>
      </c>
      <c r="C42" s="40">
        <v>18900</v>
      </c>
      <c r="D42" s="40">
        <v>21200</v>
      </c>
      <c r="E42" s="40">
        <v>9000</v>
      </c>
    </row>
    <row r="43" spans="2:5" x14ac:dyDescent="0.2">
      <c r="B43" s="259" t="s">
        <v>1078</v>
      </c>
      <c r="C43" s="40">
        <v>3513</v>
      </c>
      <c r="D43" s="40">
        <v>0</v>
      </c>
      <c r="E43" s="40">
        <v>0</v>
      </c>
    </row>
    <row r="44" spans="2:5" x14ac:dyDescent="0.2">
      <c r="B44" s="259"/>
      <c r="C44" s="40"/>
      <c r="D44" s="40"/>
      <c r="E44" s="40"/>
    </row>
    <row r="45" spans="2:5" x14ac:dyDescent="0.2">
      <c r="B45" s="150" t="s">
        <v>127</v>
      </c>
      <c r="C45" s="40"/>
      <c r="D45" s="276"/>
      <c r="E45" s="276"/>
    </row>
    <row r="46" spans="2:5" x14ac:dyDescent="0.2">
      <c r="B46" s="150" t="s">
        <v>610</v>
      </c>
      <c r="C46" s="475" t="str">
        <f>IF(C47*0.1&lt;C45,"Exceed 10% Rule","")</f>
        <v/>
      </c>
      <c r="D46" s="278" t="str">
        <f>IF(D47*0.1&lt;D45,"Exceed 10% Rule","")</f>
        <v/>
      </c>
      <c r="E46" s="278" t="str">
        <f>IF(E47*0.1&lt;E45,"Exceed 10% Rule","")</f>
        <v/>
      </c>
    </row>
    <row r="47" spans="2:5" x14ac:dyDescent="0.2">
      <c r="B47" s="256" t="s">
        <v>50</v>
      </c>
      <c r="C47" s="279">
        <f>SUM(C40:C45)</f>
        <v>96195</v>
      </c>
      <c r="D47" s="279">
        <f>SUM(D40:D45)</f>
        <v>60342</v>
      </c>
      <c r="E47" s="279">
        <f>SUM(E40:E45)</f>
        <v>88500</v>
      </c>
    </row>
    <row r="48" spans="2:5" x14ac:dyDescent="0.2">
      <c r="B48" s="100" t="s">
        <v>135</v>
      </c>
      <c r="C48" s="47">
        <f>C38-C47</f>
        <v>78381</v>
      </c>
      <c r="D48" s="47">
        <f>D38-D47</f>
        <v>63339</v>
      </c>
      <c r="E48" s="47">
        <f>E38-E47</f>
        <v>25014</v>
      </c>
    </row>
    <row r="49" spans="2:5" x14ac:dyDescent="0.2">
      <c r="B49" s="625" t="str">
        <f>CONCATENATE("",E1-2,"/",E1-1,"/",E1," Budget Authority Amount:")</f>
        <v>2013/2014/2015 Budget Authority Amount:</v>
      </c>
      <c r="C49" s="249">
        <f>inputOth!B90</f>
        <v>105400</v>
      </c>
      <c r="D49" s="249">
        <f>inputPrYr!D45</f>
        <v>60342</v>
      </c>
      <c r="E49" s="148">
        <f>E47</f>
        <v>88500</v>
      </c>
    </row>
    <row r="50" spans="2:5" x14ac:dyDescent="0.2">
      <c r="B50" s="675"/>
      <c r="C50" s="262" t="str">
        <f>IF(C48&lt;0,"See Tab B","")</f>
        <v/>
      </c>
      <c r="D50" s="262" t="str">
        <f>IF(D48&lt;0,"See Tab D","")</f>
        <v/>
      </c>
      <c r="E50" s="20"/>
    </row>
    <row r="51" spans="2:5" x14ac:dyDescent="0.2">
      <c r="B51" s="20"/>
      <c r="C51" s="20"/>
      <c r="D51" s="20"/>
      <c r="E51" s="20"/>
    </row>
    <row r="52" spans="2:5" x14ac:dyDescent="0.2">
      <c r="B52" s="675" t="s">
        <v>53</v>
      </c>
      <c r="C52" s="266">
        <v>17</v>
      </c>
      <c r="D52" s="20"/>
      <c r="E52" s="20"/>
    </row>
  </sheetData>
  <sheetProtection sheet="1" objects="1" scenarios="1"/>
  <conditionalFormatting sqref="C45">
    <cfRule type="cellIs" dxfId="143" priority="3" stopIfTrue="1" operator="greaterThan">
      <formula>$C$47*0.1</formula>
    </cfRule>
  </conditionalFormatting>
  <conditionalFormatting sqref="D45">
    <cfRule type="cellIs" dxfId="142" priority="4" stopIfTrue="1" operator="greaterThan">
      <formula>$D$47*0.1</formula>
    </cfRule>
  </conditionalFormatting>
  <conditionalFormatting sqref="E45">
    <cfRule type="cellIs" dxfId="141" priority="5" stopIfTrue="1" operator="greaterThan">
      <formula>$E$47*0.1</formula>
    </cfRule>
  </conditionalFormatting>
  <conditionalFormatting sqref="C35">
    <cfRule type="cellIs" dxfId="140" priority="6" stopIfTrue="1" operator="greaterThan">
      <formula>$C$37*0.1</formula>
    </cfRule>
  </conditionalFormatting>
  <conditionalFormatting sqref="C20">
    <cfRule type="cellIs" dxfId="139" priority="7" stopIfTrue="1" operator="greaterThan">
      <formula>$C$22*0.1</formula>
    </cfRule>
  </conditionalFormatting>
  <conditionalFormatting sqref="D20">
    <cfRule type="cellIs" dxfId="138" priority="8" stopIfTrue="1" operator="greaterThan">
      <formula>$D$22*0.1</formula>
    </cfRule>
  </conditionalFormatting>
  <conditionalFormatting sqref="E20">
    <cfRule type="cellIs" dxfId="137" priority="9" stopIfTrue="1" operator="greaterThan">
      <formula>$E$22*0.1</formula>
    </cfRule>
  </conditionalFormatting>
  <conditionalFormatting sqref="C12">
    <cfRule type="cellIs" dxfId="136" priority="10" stopIfTrue="1" operator="greaterThan">
      <formula>$C$14*0.1</formula>
    </cfRule>
  </conditionalFormatting>
  <conditionalFormatting sqref="D12">
    <cfRule type="cellIs" dxfId="135" priority="11" stopIfTrue="1" operator="greaterThan">
      <formula>$D$14*0.1</formula>
    </cfRule>
  </conditionalFormatting>
  <conditionalFormatting sqref="E12">
    <cfRule type="cellIs" dxfId="134" priority="12" stopIfTrue="1" operator="greaterThan">
      <formula>$E$14*0.1</formula>
    </cfRule>
  </conditionalFormatting>
  <conditionalFormatting sqref="E23 C23 E48 C48">
    <cfRule type="cellIs" dxfId="133" priority="13" stopIfTrue="1" operator="lessThan">
      <formula>0</formula>
    </cfRule>
  </conditionalFormatting>
  <conditionalFormatting sqref="C22">
    <cfRule type="cellIs" dxfId="132" priority="14" stopIfTrue="1" operator="greaterThan">
      <formula>$C$24</formula>
    </cfRule>
  </conditionalFormatting>
  <conditionalFormatting sqref="D22">
    <cfRule type="cellIs" dxfId="131" priority="15" stopIfTrue="1" operator="greaterThan">
      <formula>$D$24</formula>
    </cfRule>
  </conditionalFormatting>
  <conditionalFormatting sqref="C47">
    <cfRule type="cellIs" dxfId="130" priority="16" stopIfTrue="1" operator="greaterThan">
      <formula>$C$49</formula>
    </cfRule>
  </conditionalFormatting>
  <conditionalFormatting sqref="D47">
    <cfRule type="cellIs" dxfId="129" priority="17" stopIfTrue="1" operator="greaterThan">
      <formula>$D$49</formula>
    </cfRule>
  </conditionalFormatting>
  <conditionalFormatting sqref="D35">
    <cfRule type="cellIs" dxfId="128" priority="18" stopIfTrue="1" operator="greaterThan">
      <formula>$D$37*0.1</formula>
    </cfRule>
  </conditionalFormatting>
  <conditionalFormatting sqref="E35">
    <cfRule type="cellIs" dxfId="127" priority="19" stopIfTrue="1" operator="greaterThan">
      <formula>$E$37*0.1</formula>
    </cfRule>
  </conditionalFormatting>
  <conditionalFormatting sqref="D48">
    <cfRule type="cellIs" dxfId="126" priority="2" stopIfTrue="1" operator="lessThan">
      <formula>0</formula>
    </cfRule>
  </conditionalFormatting>
  <conditionalFormatting sqref="D23">
    <cfRule type="cellIs" dxfId="125"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4"/>
  <sheetViews>
    <sheetView topLeftCell="A30" workbookViewId="0">
      <selection activeCell="D9" sqref="D9"/>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(inputPrYr!B46)</f>
        <v>Spec. Rev. Street Projects</v>
      </c>
      <c r="C5" s="673" t="str">
        <f>CONCATENATE("Actual for ",E1-2,"")</f>
        <v>Actual for 2013</v>
      </c>
      <c r="D5" s="673" t="str">
        <f>CONCATENATE("Estimate for ",E1-1,"")</f>
        <v>Estimate for 2014</v>
      </c>
      <c r="E5" s="192" t="str">
        <f>CONCATENATE("Year for ",E1,"")</f>
        <v>Year for 2015</v>
      </c>
    </row>
    <row r="6" spans="2:5" x14ac:dyDescent="0.2">
      <c r="B6" s="100" t="s">
        <v>134</v>
      </c>
      <c r="C6" s="40">
        <v>187185</v>
      </c>
      <c r="D6" s="148">
        <f>C26</f>
        <v>284013</v>
      </c>
      <c r="E6" s="148">
        <f>D26</f>
        <v>172517</v>
      </c>
    </row>
    <row r="7" spans="2:5" x14ac:dyDescent="0.2">
      <c r="B7" s="246" t="s">
        <v>136</v>
      </c>
      <c r="C7" s="148"/>
      <c r="D7" s="148"/>
      <c r="E7" s="148"/>
    </row>
    <row r="8" spans="2:5" x14ac:dyDescent="0.2">
      <c r="B8" s="259" t="s">
        <v>1172</v>
      </c>
      <c r="C8" s="40">
        <v>186059</v>
      </c>
      <c r="D8" s="40">
        <v>184000</v>
      </c>
      <c r="E8" s="40">
        <v>184000</v>
      </c>
    </row>
    <row r="9" spans="2:5" x14ac:dyDescent="0.2">
      <c r="B9" s="259" t="s">
        <v>1173</v>
      </c>
      <c r="C9" s="40">
        <v>135779</v>
      </c>
      <c r="D9" s="40">
        <v>125000</v>
      </c>
      <c r="E9" s="40">
        <v>125000</v>
      </c>
    </row>
    <row r="10" spans="2:5" x14ac:dyDescent="0.2">
      <c r="B10" s="259" t="s">
        <v>1174</v>
      </c>
      <c r="C10" s="40">
        <v>14852</v>
      </c>
      <c r="D10" s="40">
        <v>14862</v>
      </c>
      <c r="E10" s="40">
        <v>14862</v>
      </c>
    </row>
    <row r="11" spans="2:5" x14ac:dyDescent="0.2">
      <c r="B11" s="259" t="s">
        <v>82</v>
      </c>
      <c r="C11" s="40">
        <v>512</v>
      </c>
      <c r="D11" s="40">
        <v>500</v>
      </c>
      <c r="E11" s="40">
        <v>500</v>
      </c>
    </row>
    <row r="12" spans="2:5" x14ac:dyDescent="0.2">
      <c r="B12" s="259" t="s">
        <v>1175</v>
      </c>
      <c r="C12" s="40">
        <v>0</v>
      </c>
      <c r="D12" s="40">
        <v>300000</v>
      </c>
      <c r="E12" s="40">
        <v>300000</v>
      </c>
    </row>
    <row r="13" spans="2:5" x14ac:dyDescent="0.2">
      <c r="B13" s="259" t="s">
        <v>1176</v>
      </c>
      <c r="C13" s="40">
        <v>0</v>
      </c>
      <c r="D13" s="40">
        <v>1315</v>
      </c>
      <c r="E13" s="40">
        <v>0</v>
      </c>
    </row>
    <row r="14" spans="2:5" x14ac:dyDescent="0.2">
      <c r="B14" s="259" t="s">
        <v>1177</v>
      </c>
      <c r="C14" s="40">
        <v>250428</v>
      </c>
      <c r="D14" s="40">
        <v>165053</v>
      </c>
      <c r="E14" s="40">
        <v>366978</v>
      </c>
    </row>
    <row r="15" spans="2:5" x14ac:dyDescent="0.2">
      <c r="B15" s="150" t="s">
        <v>127</v>
      </c>
      <c r="C15" s="40"/>
      <c r="D15" s="276"/>
      <c r="E15" s="276"/>
    </row>
    <row r="16" spans="2:5" x14ac:dyDescent="0.2">
      <c r="B16" s="150" t="s">
        <v>609</v>
      </c>
      <c r="C16" s="475" t="str">
        <f>IF(C17*0.1&lt;C15,"Exceed 10% Rule","")</f>
        <v/>
      </c>
      <c r="D16" s="278" t="str">
        <f>IF(D17*0.1&lt;D15,"Exceed 10% Rule","")</f>
        <v/>
      </c>
      <c r="E16" s="278" t="str">
        <f>IF(E17*0.1&lt;E15,"Exceed 10% Rule","")</f>
        <v/>
      </c>
    </row>
    <row r="17" spans="2:5" x14ac:dyDescent="0.2">
      <c r="B17" s="256" t="s">
        <v>47</v>
      </c>
      <c r="C17" s="279">
        <f>SUM(C8:C15)</f>
        <v>587630</v>
      </c>
      <c r="D17" s="279">
        <f>SUM(D8:D15)</f>
        <v>790730</v>
      </c>
      <c r="E17" s="279">
        <f>SUM(E8:E15)</f>
        <v>991340</v>
      </c>
    </row>
    <row r="18" spans="2:5" x14ac:dyDescent="0.2">
      <c r="B18" s="256" t="s">
        <v>48</v>
      </c>
      <c r="C18" s="279">
        <f>C6+C17</f>
        <v>774815</v>
      </c>
      <c r="D18" s="279">
        <f>D6+D17</f>
        <v>1074743</v>
      </c>
      <c r="E18" s="279">
        <f>E6+E17</f>
        <v>1163857</v>
      </c>
    </row>
    <row r="19" spans="2:5" x14ac:dyDescent="0.2">
      <c r="B19" s="100" t="s">
        <v>49</v>
      </c>
      <c r="C19" s="148"/>
      <c r="D19" s="148"/>
      <c r="E19" s="148"/>
    </row>
    <row r="20" spans="2:5" x14ac:dyDescent="0.2">
      <c r="B20" s="259" t="s">
        <v>1075</v>
      </c>
      <c r="C20" s="40">
        <v>457748</v>
      </c>
      <c r="D20" s="40">
        <v>887226</v>
      </c>
      <c r="E20" s="40">
        <v>914100</v>
      </c>
    </row>
    <row r="21" spans="2:5" x14ac:dyDescent="0.2">
      <c r="B21" s="259" t="s">
        <v>1081</v>
      </c>
      <c r="C21" s="40">
        <v>0</v>
      </c>
      <c r="D21" s="40">
        <v>15000</v>
      </c>
      <c r="E21" s="40">
        <v>0</v>
      </c>
    </row>
    <row r="22" spans="2:5" x14ac:dyDescent="0.2">
      <c r="B22" s="259" t="s">
        <v>1178</v>
      </c>
      <c r="C22" s="40">
        <v>33054</v>
      </c>
      <c r="D22" s="40">
        <v>0</v>
      </c>
      <c r="E22" s="40">
        <v>0</v>
      </c>
    </row>
    <row r="23" spans="2:5" x14ac:dyDescent="0.2">
      <c r="B23" s="150" t="s">
        <v>127</v>
      </c>
      <c r="C23" s="40"/>
      <c r="D23" s="276"/>
      <c r="E23" s="276"/>
    </row>
    <row r="24" spans="2:5" x14ac:dyDescent="0.2">
      <c r="B24" s="150" t="s">
        <v>610</v>
      </c>
      <c r="C24" s="475" t="str">
        <f>IF(C25*0.1&lt;C23,"Exceed 10% Rule","")</f>
        <v/>
      </c>
      <c r="D24" s="278" t="str">
        <f>IF(D25*0.1&lt;D23,"Exceed 10% Rule","")</f>
        <v/>
      </c>
      <c r="E24" s="278" t="str">
        <f>IF(E25*0.1&lt;E23,"Exceed 10% Rule","")</f>
        <v/>
      </c>
    </row>
    <row r="25" spans="2:5" x14ac:dyDescent="0.2">
      <c r="B25" s="256" t="s">
        <v>50</v>
      </c>
      <c r="C25" s="279">
        <f>SUM(C20:C23)</f>
        <v>490802</v>
      </c>
      <c r="D25" s="279">
        <f>SUM(D20:D23)</f>
        <v>902226</v>
      </c>
      <c r="E25" s="279">
        <f>SUM(E20:E23)</f>
        <v>914100</v>
      </c>
    </row>
    <row r="26" spans="2:5" x14ac:dyDescent="0.2">
      <c r="B26" s="100" t="s">
        <v>135</v>
      </c>
      <c r="C26" s="47">
        <f>C18-C25</f>
        <v>284013</v>
      </c>
      <c r="D26" s="47">
        <f>D18-D25</f>
        <v>172517</v>
      </c>
      <c r="E26" s="47">
        <f>E18-E25</f>
        <v>249757</v>
      </c>
    </row>
    <row r="27" spans="2:5" x14ac:dyDescent="0.2">
      <c r="B27" s="625" t="str">
        <f>CONCATENATE("",E1-2,"/",E1-1,"/",E1," Budget Authority Amount:")</f>
        <v>2013/2014/2015 Budget Authority Amount:</v>
      </c>
      <c r="C27" s="249">
        <f>inputOth!B91</f>
        <v>578912</v>
      </c>
      <c r="D27" s="249">
        <f>inputPrYr!D46</f>
        <v>902226</v>
      </c>
      <c r="E27" s="148">
        <f>E25</f>
        <v>914100</v>
      </c>
    </row>
    <row r="28" spans="2:5" x14ac:dyDescent="0.2">
      <c r="B28" s="675"/>
      <c r="C28" s="262" t="str">
        <f>IF(C26&lt;0,"See Tab B","")</f>
        <v/>
      </c>
      <c r="D28" s="262" t="str">
        <f>IF(D26&lt;0,"See Tab D","")</f>
        <v/>
      </c>
      <c r="E28" s="281"/>
    </row>
    <row r="29" spans="2:5" x14ac:dyDescent="0.2">
      <c r="B29" s="20"/>
      <c r="C29" s="281"/>
      <c r="D29" s="281"/>
      <c r="E29" s="281"/>
    </row>
    <row r="30" spans="2:5" x14ac:dyDescent="0.2">
      <c r="B30" s="22" t="s">
        <v>41</v>
      </c>
      <c r="C30" s="552" t="s">
        <v>792</v>
      </c>
      <c r="D30" s="135" t="s">
        <v>793</v>
      </c>
      <c r="E30" s="135" t="s">
        <v>794</v>
      </c>
    </row>
    <row r="31" spans="2:5" x14ac:dyDescent="0.2">
      <c r="B31" s="484" t="str">
        <f>(inputPrYr!B47)</f>
        <v>Spec. Rev. Summer Ball</v>
      </c>
      <c r="C31" s="192" t="str">
        <f>C5</f>
        <v>Actual for 2013</v>
      </c>
      <c r="D31" s="192" t="str">
        <f>D5</f>
        <v>Estimate for 2014</v>
      </c>
      <c r="E31" s="192" t="str">
        <f>E5</f>
        <v>Year for 2015</v>
      </c>
    </row>
    <row r="32" spans="2:5" x14ac:dyDescent="0.2">
      <c r="B32" s="100" t="s">
        <v>134</v>
      </c>
      <c r="C32" s="40">
        <v>25799</v>
      </c>
      <c r="D32" s="148">
        <f>C50</f>
        <v>18944</v>
      </c>
      <c r="E32" s="148">
        <f>D50</f>
        <v>8094</v>
      </c>
    </row>
    <row r="33" spans="2:5" x14ac:dyDescent="0.2">
      <c r="B33" s="246" t="s">
        <v>136</v>
      </c>
      <c r="C33" s="148"/>
      <c r="D33" s="148"/>
      <c r="E33" s="148"/>
    </row>
    <row r="34" spans="2:5" x14ac:dyDescent="0.2">
      <c r="B34" s="259" t="s">
        <v>1086</v>
      </c>
      <c r="C34" s="40">
        <v>24065</v>
      </c>
      <c r="D34" s="40">
        <v>24000</v>
      </c>
      <c r="E34" s="40">
        <v>26000</v>
      </c>
    </row>
    <row r="35" spans="2:5" x14ac:dyDescent="0.2">
      <c r="B35" s="259" t="s">
        <v>1087</v>
      </c>
      <c r="C35" s="40">
        <v>1425</v>
      </c>
      <c r="D35" s="40">
        <v>5500</v>
      </c>
      <c r="E35" s="40">
        <v>1800</v>
      </c>
    </row>
    <row r="36" spans="2:5" x14ac:dyDescent="0.2">
      <c r="B36" s="259" t="s">
        <v>1052</v>
      </c>
      <c r="C36" s="40">
        <v>35</v>
      </c>
      <c r="D36" s="40">
        <v>0</v>
      </c>
      <c r="E36" s="40">
        <v>0</v>
      </c>
    </row>
    <row r="37" spans="2:5" x14ac:dyDescent="0.2">
      <c r="B37" s="259" t="s">
        <v>1088</v>
      </c>
      <c r="C37" s="40">
        <v>3630</v>
      </c>
      <c r="D37" s="40">
        <v>5900</v>
      </c>
      <c r="E37" s="40">
        <v>6100</v>
      </c>
    </row>
    <row r="38" spans="2:5" x14ac:dyDescent="0.2">
      <c r="B38" s="150" t="s">
        <v>127</v>
      </c>
      <c r="C38" s="40"/>
      <c r="D38" s="40"/>
      <c r="E38" s="40"/>
    </row>
    <row r="39" spans="2:5" x14ac:dyDescent="0.2">
      <c r="B39" s="150" t="s">
        <v>609</v>
      </c>
      <c r="C39" s="475" t="str">
        <f>IF(C40*0.1&lt;C38,"Exceed 10% Rule","")</f>
        <v/>
      </c>
      <c r="D39" s="278" t="str">
        <f>IF(D40*0.1&lt;D38,"Exceed 10% Rule","")</f>
        <v/>
      </c>
      <c r="E39" s="278" t="str">
        <f>IF(E40*0.1&lt;E38,"Exceed 10% Rule","")</f>
        <v/>
      </c>
    </row>
    <row r="40" spans="2:5" x14ac:dyDescent="0.2">
      <c r="B40" s="256" t="s">
        <v>47</v>
      </c>
      <c r="C40" s="279">
        <f>SUM(C34:C38)</f>
        <v>29155</v>
      </c>
      <c r="D40" s="279">
        <f>SUM(D34:D38)</f>
        <v>35400</v>
      </c>
      <c r="E40" s="279">
        <f>SUM(E34:E38)</f>
        <v>33900</v>
      </c>
    </row>
    <row r="41" spans="2:5" x14ac:dyDescent="0.2">
      <c r="B41" s="256" t="s">
        <v>48</v>
      </c>
      <c r="C41" s="279">
        <f>C32+C40</f>
        <v>54954</v>
      </c>
      <c r="D41" s="279">
        <f>D32+D40</f>
        <v>54344</v>
      </c>
      <c r="E41" s="279">
        <f>E32+E40</f>
        <v>41994</v>
      </c>
    </row>
    <row r="42" spans="2:5" x14ac:dyDescent="0.2">
      <c r="B42" s="100" t="s">
        <v>49</v>
      </c>
      <c r="C42" s="148"/>
      <c r="D42" s="148"/>
      <c r="E42" s="148"/>
    </row>
    <row r="43" spans="2:5" x14ac:dyDescent="0.2">
      <c r="B43" s="259" t="s">
        <v>1089</v>
      </c>
      <c r="C43" s="40">
        <v>7859</v>
      </c>
      <c r="D43" s="40">
        <v>6500</v>
      </c>
      <c r="E43" s="40">
        <v>6940</v>
      </c>
    </row>
    <row r="44" spans="2:5" x14ac:dyDescent="0.2">
      <c r="B44" s="259" t="s">
        <v>1075</v>
      </c>
      <c r="C44" s="40">
        <v>4861</v>
      </c>
      <c r="D44" s="40">
        <v>11800</v>
      </c>
      <c r="E44" s="40">
        <v>13325</v>
      </c>
    </row>
    <row r="45" spans="2:5" x14ac:dyDescent="0.2">
      <c r="B45" s="259" t="s">
        <v>1081</v>
      </c>
      <c r="C45" s="40">
        <v>9890</v>
      </c>
      <c r="D45" s="40">
        <v>11950</v>
      </c>
      <c r="E45" s="40">
        <v>9250</v>
      </c>
    </row>
    <row r="46" spans="2:5" x14ac:dyDescent="0.2">
      <c r="B46" s="259" t="s">
        <v>1082</v>
      </c>
      <c r="C46" s="40">
        <v>13400</v>
      </c>
      <c r="D46" s="40">
        <v>16000</v>
      </c>
      <c r="E46" s="40">
        <v>0</v>
      </c>
    </row>
    <row r="47" spans="2:5" x14ac:dyDescent="0.2">
      <c r="B47" s="150" t="s">
        <v>127</v>
      </c>
      <c r="C47" s="40"/>
      <c r="D47" s="276"/>
      <c r="E47" s="276"/>
    </row>
    <row r="48" spans="2:5" x14ac:dyDescent="0.2">
      <c r="B48" s="150" t="s">
        <v>610</v>
      </c>
      <c r="C48" s="475" t="str">
        <f>IF(C49*0.1&lt;C47,"Exceed 10% Rule","")</f>
        <v/>
      </c>
      <c r="D48" s="278" t="str">
        <f>IF(D49*0.1&lt;D47,"Exceed 10% Rule","")</f>
        <v/>
      </c>
      <c r="E48" s="278" t="str">
        <f>IF(E49*0.1&lt;E47,"Exceed 10% Rule","")</f>
        <v/>
      </c>
    </row>
    <row r="49" spans="2:5" x14ac:dyDescent="0.2">
      <c r="B49" s="256" t="s">
        <v>50</v>
      </c>
      <c r="C49" s="279">
        <f>SUM(C43:C47)</f>
        <v>36010</v>
      </c>
      <c r="D49" s="279">
        <f>SUM(D43:D47)</f>
        <v>46250</v>
      </c>
      <c r="E49" s="279">
        <f>SUM(E43:E47)</f>
        <v>29515</v>
      </c>
    </row>
    <row r="50" spans="2:5" x14ac:dyDescent="0.2">
      <c r="B50" s="100" t="s">
        <v>135</v>
      </c>
      <c r="C50" s="47">
        <f>C41-C49</f>
        <v>18944</v>
      </c>
      <c r="D50" s="47">
        <f>D41-D49</f>
        <v>8094</v>
      </c>
      <c r="E50" s="47">
        <f>E41-E49</f>
        <v>12479</v>
      </c>
    </row>
    <row r="51" spans="2:5" x14ac:dyDescent="0.2">
      <c r="B51" s="625" t="str">
        <f>CONCATENATE("",E1-2,"/",E1-1,"/",E1," Budget Authority Amount:")</f>
        <v>2013/2014/2015 Budget Authority Amount:</v>
      </c>
      <c r="C51" s="249">
        <f>inputOth!B92</f>
        <v>42270</v>
      </c>
      <c r="D51" s="249">
        <f>inputPrYr!D47</f>
        <v>46250</v>
      </c>
      <c r="E51" s="148">
        <f>E49</f>
        <v>29515</v>
      </c>
    </row>
    <row r="52" spans="2:5" x14ac:dyDescent="0.2">
      <c r="B52" s="675"/>
      <c r="C52" s="262" t="str">
        <f>IF(C50&lt;0,"See Tab B","")</f>
        <v/>
      </c>
      <c r="D52" s="262" t="str">
        <f>IF(D50&lt;0,"See Tab D","")</f>
        <v/>
      </c>
      <c r="E52" s="20"/>
    </row>
    <row r="53" spans="2:5" x14ac:dyDescent="0.2">
      <c r="B53" s="20"/>
      <c r="C53" s="20"/>
      <c r="D53" s="20"/>
      <c r="E53" s="20"/>
    </row>
    <row r="54" spans="2:5" x14ac:dyDescent="0.2">
      <c r="B54" s="675" t="s">
        <v>53</v>
      </c>
      <c r="C54" s="266">
        <v>18</v>
      </c>
      <c r="D54" s="20"/>
      <c r="E54" s="20"/>
    </row>
  </sheetData>
  <sheetProtection sheet="1" objects="1" scenarios="1"/>
  <conditionalFormatting sqref="C47">
    <cfRule type="cellIs" dxfId="124" priority="3" stopIfTrue="1" operator="greaterThan">
      <formula>$C$49*0.1</formula>
    </cfRule>
  </conditionalFormatting>
  <conditionalFormatting sqref="D47">
    <cfRule type="cellIs" dxfId="123" priority="4" stopIfTrue="1" operator="greaterThan">
      <formula>$D$49*0.1</formula>
    </cfRule>
  </conditionalFormatting>
  <conditionalFormatting sqref="E47">
    <cfRule type="cellIs" dxfId="122" priority="5" stopIfTrue="1" operator="greaterThan">
      <formula>$E$49*0.1</formula>
    </cfRule>
  </conditionalFormatting>
  <conditionalFormatting sqref="C38">
    <cfRule type="cellIs" dxfId="121" priority="6" stopIfTrue="1" operator="greaterThan">
      <formula>$C$40*0.1</formula>
    </cfRule>
  </conditionalFormatting>
  <conditionalFormatting sqref="C23">
    <cfRule type="cellIs" dxfId="120" priority="7" stopIfTrue="1" operator="greaterThan">
      <formula>$C$25*0.1</formula>
    </cfRule>
  </conditionalFormatting>
  <conditionalFormatting sqref="D23">
    <cfRule type="cellIs" dxfId="119" priority="8" stopIfTrue="1" operator="greaterThan">
      <formula>$D$25*0.1</formula>
    </cfRule>
  </conditionalFormatting>
  <conditionalFormatting sqref="E23">
    <cfRule type="cellIs" dxfId="118" priority="9" stopIfTrue="1" operator="greaterThan">
      <formula>$E$25*0.1</formula>
    </cfRule>
  </conditionalFormatting>
  <conditionalFormatting sqref="C15">
    <cfRule type="cellIs" dxfId="117" priority="10" stopIfTrue="1" operator="greaterThan">
      <formula>$C$17*0.1</formula>
    </cfRule>
  </conditionalFormatting>
  <conditionalFormatting sqref="D15">
    <cfRule type="cellIs" dxfId="116" priority="11" stopIfTrue="1" operator="greaterThan">
      <formula>$D$17*0.1</formula>
    </cfRule>
  </conditionalFormatting>
  <conditionalFormatting sqref="E15">
    <cfRule type="cellIs" dxfId="115" priority="12" stopIfTrue="1" operator="greaterThan">
      <formula>$E$17*0.1</formula>
    </cfRule>
  </conditionalFormatting>
  <conditionalFormatting sqref="E26 C26 E50 C50">
    <cfRule type="cellIs" dxfId="114" priority="13" stopIfTrue="1" operator="lessThan">
      <formula>0</formula>
    </cfRule>
  </conditionalFormatting>
  <conditionalFormatting sqref="C25">
    <cfRule type="cellIs" dxfId="113" priority="14" stopIfTrue="1" operator="greaterThan">
      <formula>$C$27</formula>
    </cfRule>
  </conditionalFormatting>
  <conditionalFormatting sqref="D25">
    <cfRule type="cellIs" dxfId="112" priority="15" stopIfTrue="1" operator="greaterThan">
      <formula>$D$27</formula>
    </cfRule>
  </conditionalFormatting>
  <conditionalFormatting sqref="C49">
    <cfRule type="cellIs" dxfId="111" priority="16" stopIfTrue="1" operator="greaterThan">
      <formula>$C$51</formula>
    </cfRule>
  </conditionalFormatting>
  <conditionalFormatting sqref="D49">
    <cfRule type="cellIs" dxfId="110" priority="17" stopIfTrue="1" operator="greaterThan">
      <formula>$D$51</formula>
    </cfRule>
  </conditionalFormatting>
  <conditionalFormatting sqref="D38">
    <cfRule type="cellIs" dxfId="109" priority="18" stopIfTrue="1" operator="greaterThan">
      <formula>$D$40*0.1</formula>
    </cfRule>
  </conditionalFormatting>
  <conditionalFormatting sqref="E38">
    <cfRule type="cellIs" dxfId="108" priority="19" stopIfTrue="1" operator="greaterThan">
      <formula>$E$40*0.1</formula>
    </cfRule>
  </conditionalFormatting>
  <conditionalFormatting sqref="D50">
    <cfRule type="cellIs" dxfId="107" priority="2" stopIfTrue="1" operator="lessThan">
      <formula>0</formula>
    </cfRule>
  </conditionalFormatting>
  <conditionalFormatting sqref="D26">
    <cfRule type="cellIs" dxfId="106"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topLeftCell="A47" workbookViewId="0">
      <selection activeCell="D68" sqref="D68"/>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34" t="s">
        <v>96</v>
      </c>
      <c r="C2" s="133"/>
      <c r="D2" s="133"/>
      <c r="E2" s="127"/>
    </row>
    <row r="3" spans="2:5" x14ac:dyDescent="0.2">
      <c r="B3" s="22" t="s">
        <v>41</v>
      </c>
      <c r="C3" s="553" t="s">
        <v>792</v>
      </c>
      <c r="D3" s="554" t="s">
        <v>793</v>
      </c>
      <c r="E3" s="135" t="s">
        <v>794</v>
      </c>
    </row>
    <row r="4" spans="2:5" x14ac:dyDescent="0.2">
      <c r="B4" s="484" t="str">
        <f>(inputPrYr!B48)</f>
        <v>Spec. Rev. Swimming Pool</v>
      </c>
      <c r="C4" s="673" t="str">
        <f>CONCATENATE("Actual for ",E1-2,"")</f>
        <v>Actual for 2013</v>
      </c>
      <c r="D4" s="673" t="str">
        <f>CONCATENATE("Estimate for ",E1-1,"")</f>
        <v>Estimate for 2014</v>
      </c>
      <c r="E4" s="192" t="str">
        <f>CONCATENATE("Year for ",E1,"")</f>
        <v>Year for 2015</v>
      </c>
    </row>
    <row r="5" spans="2:5" x14ac:dyDescent="0.2">
      <c r="B5" s="100" t="s">
        <v>134</v>
      </c>
      <c r="C5" s="40">
        <v>0</v>
      </c>
      <c r="D5" s="148">
        <f>C36</f>
        <v>0</v>
      </c>
      <c r="E5" s="148">
        <f>D36</f>
        <v>0</v>
      </c>
    </row>
    <row r="6" spans="2:5" x14ac:dyDescent="0.2">
      <c r="B6" s="246" t="s">
        <v>136</v>
      </c>
      <c r="C6" s="148" t="s">
        <v>18</v>
      </c>
      <c r="D6" s="148"/>
      <c r="E6" s="148"/>
    </row>
    <row r="7" spans="2:5" x14ac:dyDescent="0.2">
      <c r="B7" s="259" t="s">
        <v>1093</v>
      </c>
      <c r="C7" s="40">
        <v>18900</v>
      </c>
      <c r="D7" s="40">
        <v>21200</v>
      </c>
      <c r="E7" s="40">
        <v>9000</v>
      </c>
    </row>
    <row r="8" spans="2:5" x14ac:dyDescent="0.2">
      <c r="B8" s="259" t="s">
        <v>1094</v>
      </c>
      <c r="C8" s="40">
        <v>95115</v>
      </c>
      <c r="D8" s="40">
        <v>78124</v>
      </c>
      <c r="E8" s="40">
        <v>109981</v>
      </c>
    </row>
    <row r="9" spans="2:5" x14ac:dyDescent="0.2">
      <c r="B9" s="259" t="s">
        <v>1095</v>
      </c>
      <c r="C9" s="40">
        <v>33858</v>
      </c>
      <c r="D9" s="40">
        <v>60000</v>
      </c>
      <c r="E9" s="40">
        <v>40000</v>
      </c>
    </row>
    <row r="10" spans="2:5" x14ac:dyDescent="0.2">
      <c r="B10" s="259" t="s">
        <v>1096</v>
      </c>
      <c r="C10" s="40">
        <v>28531</v>
      </c>
      <c r="D10" s="40">
        <v>50000</v>
      </c>
      <c r="E10" s="40">
        <v>50000</v>
      </c>
    </row>
    <row r="11" spans="2:5" x14ac:dyDescent="0.2">
      <c r="B11" s="259" t="s">
        <v>1097</v>
      </c>
      <c r="C11" s="40">
        <v>1800</v>
      </c>
      <c r="D11" s="40">
        <v>3000</v>
      </c>
      <c r="E11" s="40">
        <v>1500</v>
      </c>
    </row>
    <row r="12" spans="2:5" x14ac:dyDescent="0.2">
      <c r="B12" s="259" t="s">
        <v>1098</v>
      </c>
      <c r="C12" s="40">
        <v>80</v>
      </c>
      <c r="D12" s="40">
        <v>0</v>
      </c>
      <c r="E12" s="40">
        <v>1500</v>
      </c>
    </row>
    <row r="13" spans="2:5" x14ac:dyDescent="0.2">
      <c r="B13" s="259" t="s">
        <v>1099</v>
      </c>
      <c r="C13" s="40">
        <v>0</v>
      </c>
      <c r="D13" s="40">
        <v>1000</v>
      </c>
      <c r="E13" s="40">
        <v>1500</v>
      </c>
    </row>
    <row r="14" spans="2:5" x14ac:dyDescent="0.2">
      <c r="B14" s="259" t="s">
        <v>1108</v>
      </c>
      <c r="C14" s="40">
        <v>0</v>
      </c>
      <c r="D14" s="40">
        <v>0</v>
      </c>
      <c r="E14" s="40">
        <v>1000</v>
      </c>
    </row>
    <row r="15" spans="2:5" x14ac:dyDescent="0.2">
      <c r="B15" s="259" t="s">
        <v>1100</v>
      </c>
      <c r="C15" s="40">
        <v>0</v>
      </c>
      <c r="D15" s="40">
        <v>9000</v>
      </c>
      <c r="E15" s="40">
        <v>0</v>
      </c>
    </row>
    <row r="16" spans="2:5" x14ac:dyDescent="0.2">
      <c r="B16" s="277" t="s">
        <v>1101</v>
      </c>
      <c r="C16" s="40">
        <v>7195</v>
      </c>
      <c r="D16" s="40">
        <v>0</v>
      </c>
      <c r="E16" s="40">
        <v>10000</v>
      </c>
    </row>
    <row r="17" spans="2:6" x14ac:dyDescent="0.2">
      <c r="B17" s="277" t="s">
        <v>1102</v>
      </c>
      <c r="C17" s="40">
        <v>715</v>
      </c>
      <c r="D17" s="276">
        <v>500</v>
      </c>
      <c r="E17" s="276">
        <v>600</v>
      </c>
    </row>
    <row r="18" spans="2:6" x14ac:dyDescent="0.2">
      <c r="B18" s="277" t="s">
        <v>1052</v>
      </c>
      <c r="C18" s="40">
        <v>692</v>
      </c>
      <c r="D18" s="276">
        <v>0</v>
      </c>
      <c r="E18" s="276">
        <v>0</v>
      </c>
    </row>
    <row r="19" spans="2:6" x14ac:dyDescent="0.2">
      <c r="B19" s="277" t="s">
        <v>1103</v>
      </c>
      <c r="C19" s="40">
        <v>2110</v>
      </c>
      <c r="D19" s="276">
        <v>4000</v>
      </c>
      <c r="E19" s="276">
        <v>4000</v>
      </c>
      <c r="F19" s="16" t="s">
        <v>18</v>
      </c>
    </row>
    <row r="20" spans="2:6" x14ac:dyDescent="0.2">
      <c r="B20" s="277" t="s">
        <v>1104</v>
      </c>
      <c r="C20" s="40">
        <v>255</v>
      </c>
      <c r="D20" s="276">
        <v>0</v>
      </c>
      <c r="E20" s="276">
        <v>400</v>
      </c>
    </row>
    <row r="21" spans="2:6" x14ac:dyDescent="0.2">
      <c r="B21" s="277" t="s">
        <v>1105</v>
      </c>
      <c r="C21" s="40">
        <v>1080</v>
      </c>
      <c r="D21" s="276">
        <v>900</v>
      </c>
      <c r="E21" s="276">
        <v>1000</v>
      </c>
    </row>
    <row r="22" spans="2:6" x14ac:dyDescent="0.2">
      <c r="B22" s="277" t="s">
        <v>1106</v>
      </c>
      <c r="C22" s="40">
        <v>414</v>
      </c>
      <c r="D22" s="276">
        <v>1200</v>
      </c>
      <c r="E22" s="276">
        <v>400</v>
      </c>
    </row>
    <row r="23" spans="2:6" x14ac:dyDescent="0.2">
      <c r="B23" s="277" t="s">
        <v>1107</v>
      </c>
      <c r="C23" s="40">
        <v>19454</v>
      </c>
      <c r="D23" s="276">
        <v>33000</v>
      </c>
      <c r="E23" s="276">
        <v>18000</v>
      </c>
    </row>
    <row r="24" spans="2:6" x14ac:dyDescent="0.2">
      <c r="B24" s="150" t="s">
        <v>127</v>
      </c>
      <c r="C24" s="40">
        <v>337</v>
      </c>
      <c r="D24" s="276">
        <v>0</v>
      </c>
      <c r="E24" s="276">
        <v>0</v>
      </c>
    </row>
    <row r="25" spans="2:6" x14ac:dyDescent="0.2">
      <c r="B25" s="150" t="s">
        <v>609</v>
      </c>
      <c r="C25" s="475" t="str">
        <f>IF(C26*0.1&lt;C24,"Exceed 10% Rule","")</f>
        <v/>
      </c>
      <c r="D25" s="278" t="str">
        <f>IF(D26*0.1&lt;D24,"Exceed 10% Rule","")</f>
        <v/>
      </c>
      <c r="E25" s="278" t="str">
        <f>IF(E26*0.1&lt;E24,"Exceed 10% Rule","")</f>
        <v/>
      </c>
    </row>
    <row r="26" spans="2:6" x14ac:dyDescent="0.2">
      <c r="B26" s="256" t="s">
        <v>47</v>
      </c>
      <c r="C26" s="279">
        <f>SUM(C7:C24)</f>
        <v>210536</v>
      </c>
      <c r="D26" s="279">
        <f>SUM(D7:D24)</f>
        <v>261924</v>
      </c>
      <c r="E26" s="279">
        <f>SUM(E7:E24)</f>
        <v>248881</v>
      </c>
    </row>
    <row r="27" spans="2:6" x14ac:dyDescent="0.2">
      <c r="B27" s="256" t="s">
        <v>48</v>
      </c>
      <c r="C27" s="279">
        <f>C5+C26</f>
        <v>210536</v>
      </c>
      <c r="D27" s="279">
        <f>D5+D26</f>
        <v>261924</v>
      </c>
      <c r="E27" s="279">
        <f>E5+E26</f>
        <v>248881</v>
      </c>
    </row>
    <row r="28" spans="2:6" x14ac:dyDescent="0.2">
      <c r="B28" s="100" t="s">
        <v>49</v>
      </c>
      <c r="C28" s="148"/>
      <c r="D28" s="148"/>
      <c r="E28" s="148"/>
    </row>
    <row r="29" spans="2:6" x14ac:dyDescent="0.2">
      <c r="B29" s="259" t="s">
        <v>1080</v>
      </c>
      <c r="C29" s="40">
        <v>127728</v>
      </c>
      <c r="D29" s="40">
        <v>150650</v>
      </c>
      <c r="E29" s="40">
        <v>151110</v>
      </c>
    </row>
    <row r="30" spans="2:6" x14ac:dyDescent="0.2">
      <c r="B30" s="259" t="s">
        <v>1075</v>
      </c>
      <c r="C30" s="40">
        <v>45573</v>
      </c>
      <c r="D30" s="40">
        <v>54224</v>
      </c>
      <c r="E30" s="40">
        <v>59491</v>
      </c>
    </row>
    <row r="31" spans="2:6" x14ac:dyDescent="0.2">
      <c r="B31" s="259" t="s">
        <v>1081</v>
      </c>
      <c r="C31" s="40">
        <v>30283</v>
      </c>
      <c r="D31" s="40">
        <v>35850</v>
      </c>
      <c r="E31" s="40">
        <v>29280</v>
      </c>
    </row>
    <row r="32" spans="2:6" x14ac:dyDescent="0.2">
      <c r="B32" s="259" t="s">
        <v>1076</v>
      </c>
      <c r="C32" s="40">
        <v>6952</v>
      </c>
      <c r="D32" s="40">
        <v>21200</v>
      </c>
      <c r="E32" s="40">
        <v>9000</v>
      </c>
    </row>
    <row r="33" spans="2:5" x14ac:dyDescent="0.2">
      <c r="B33" s="150" t="s">
        <v>127</v>
      </c>
      <c r="C33" s="40"/>
      <c r="D33" s="276"/>
      <c r="E33" s="276"/>
    </row>
    <row r="34" spans="2:5" x14ac:dyDescent="0.2">
      <c r="B34" s="150" t="s">
        <v>610</v>
      </c>
      <c r="C34" s="475" t="str">
        <f>IF(C35*0.1&lt;C33,"Exceed 10% Rule","")</f>
        <v/>
      </c>
      <c r="D34" s="278" t="str">
        <f>IF(D35*0.1&lt;D33,"Exceed 10% Rule","")</f>
        <v/>
      </c>
      <c r="E34" s="278" t="str">
        <f>IF(E35*0.1&lt;E33,"Exceed 10% Rule","")</f>
        <v/>
      </c>
    </row>
    <row r="35" spans="2:5" x14ac:dyDescent="0.2">
      <c r="B35" s="256" t="s">
        <v>50</v>
      </c>
      <c r="C35" s="279">
        <f>SUM(C29:C33)</f>
        <v>210536</v>
      </c>
      <c r="D35" s="279">
        <f>SUM(D29:D33)</f>
        <v>261924</v>
      </c>
      <c r="E35" s="279">
        <f>SUM(E29:E33)</f>
        <v>248881</v>
      </c>
    </row>
    <row r="36" spans="2:5" x14ac:dyDescent="0.2">
      <c r="B36" s="100" t="s">
        <v>135</v>
      </c>
      <c r="C36" s="47">
        <f>C27-C35</f>
        <v>0</v>
      </c>
      <c r="D36" s="47">
        <f>D27-D35</f>
        <v>0</v>
      </c>
      <c r="E36" s="47">
        <f>E27-E35</f>
        <v>0</v>
      </c>
    </row>
    <row r="37" spans="2:5" x14ac:dyDescent="0.2">
      <c r="B37" s="625" t="str">
        <f>CONCATENATE("",E1-2,"/",E1-1,"/",E1," Budget Authority Amount:")</f>
        <v>2013/2014/2015 Budget Authority Amount:</v>
      </c>
      <c r="C37" s="249">
        <f>inputOth!B93</f>
        <v>245645</v>
      </c>
      <c r="D37" s="249">
        <f>inputPrYr!D48</f>
        <v>261924</v>
      </c>
      <c r="E37" s="148">
        <f>E35</f>
        <v>248881</v>
      </c>
    </row>
    <row r="38" spans="2:5" x14ac:dyDescent="0.2">
      <c r="B38" s="20"/>
      <c r="C38" s="281"/>
      <c r="D38" s="281"/>
      <c r="E38" s="281"/>
    </row>
    <row r="39" spans="2:5" x14ac:dyDescent="0.2">
      <c r="B39" s="22" t="s">
        <v>41</v>
      </c>
      <c r="C39" s="552" t="s">
        <v>792</v>
      </c>
      <c r="D39" s="135" t="s">
        <v>793</v>
      </c>
      <c r="E39" s="135" t="s">
        <v>794</v>
      </c>
    </row>
    <row r="40" spans="2:5" x14ac:dyDescent="0.2">
      <c r="B40" s="484" t="str">
        <f>(inputPrYr!B49)</f>
        <v>Spec. Rev. Tiblow Transit</v>
      </c>
      <c r="C40" s="192" t="str">
        <f>C4</f>
        <v>Actual for 2013</v>
      </c>
      <c r="D40" s="192" t="str">
        <f>D4</f>
        <v>Estimate for 2014</v>
      </c>
      <c r="E40" s="192" t="str">
        <f>E4</f>
        <v>Year for 2015</v>
      </c>
    </row>
    <row r="41" spans="2:5" x14ac:dyDescent="0.2">
      <c r="B41" s="100" t="s">
        <v>134</v>
      </c>
      <c r="C41" s="40">
        <v>-44</v>
      </c>
      <c r="D41" s="148">
        <f>C61</f>
        <v>0</v>
      </c>
      <c r="E41" s="148">
        <f>D61</f>
        <v>0</v>
      </c>
    </row>
    <row r="42" spans="2:5" x14ac:dyDescent="0.2">
      <c r="B42" s="246" t="s">
        <v>136</v>
      </c>
      <c r="C42" s="148"/>
      <c r="D42" s="148"/>
      <c r="E42" s="148"/>
    </row>
    <row r="43" spans="2:5" x14ac:dyDescent="0.2">
      <c r="B43" s="259" t="s">
        <v>1180</v>
      </c>
      <c r="C43" s="40">
        <v>62426</v>
      </c>
      <c r="D43" s="40">
        <v>57600</v>
      </c>
      <c r="E43" s="40">
        <v>62500</v>
      </c>
    </row>
    <row r="44" spans="2:5" x14ac:dyDescent="0.2">
      <c r="B44" s="259" t="s">
        <v>1181</v>
      </c>
      <c r="C44" s="40">
        <v>2359</v>
      </c>
      <c r="D44" s="40">
        <v>3200</v>
      </c>
      <c r="E44" s="40">
        <v>2500</v>
      </c>
    </row>
    <row r="45" spans="2:5" x14ac:dyDescent="0.2">
      <c r="B45" s="259" t="s">
        <v>1182</v>
      </c>
      <c r="C45" s="40">
        <v>5324</v>
      </c>
      <c r="D45" s="40">
        <v>3800</v>
      </c>
      <c r="E45" s="40">
        <v>3900</v>
      </c>
    </row>
    <row r="46" spans="2:5" x14ac:dyDescent="0.2">
      <c r="B46" s="259" t="s">
        <v>1183</v>
      </c>
      <c r="C46" s="40">
        <v>0</v>
      </c>
      <c r="D46" s="40">
        <v>1500</v>
      </c>
      <c r="E46" s="40">
        <v>1500</v>
      </c>
    </row>
    <row r="47" spans="2:5" x14ac:dyDescent="0.2">
      <c r="B47" s="277" t="s">
        <v>1184</v>
      </c>
      <c r="C47" s="40">
        <v>0</v>
      </c>
      <c r="D47" s="40">
        <v>1225</v>
      </c>
      <c r="E47" s="40">
        <v>1225</v>
      </c>
    </row>
    <row r="48" spans="2:5" x14ac:dyDescent="0.2">
      <c r="B48" s="277" t="s">
        <v>1185</v>
      </c>
      <c r="C48" s="40">
        <v>27545</v>
      </c>
      <c r="D48" s="40">
        <v>26208</v>
      </c>
      <c r="E48" s="40">
        <v>14603</v>
      </c>
    </row>
    <row r="49" spans="2:5" x14ac:dyDescent="0.2">
      <c r="B49" s="150" t="s">
        <v>127</v>
      </c>
      <c r="C49" s="40"/>
      <c r="D49" s="40"/>
      <c r="E49" s="40"/>
    </row>
    <row r="50" spans="2:5" x14ac:dyDescent="0.2">
      <c r="B50" s="150" t="s">
        <v>609</v>
      </c>
      <c r="C50" s="475" t="str">
        <f>IF(C51*0.1&lt;C49,"Exceed 10% Rule","")</f>
        <v/>
      </c>
      <c r="D50" s="278" t="str">
        <f>IF(D51*0.1&lt;D49,"Exceed 10% Rule","")</f>
        <v/>
      </c>
      <c r="E50" s="278" t="str">
        <f>IF(E51*0.1&lt;E49,"Exceed 10% Rule","")</f>
        <v/>
      </c>
    </row>
    <row r="51" spans="2:5" x14ac:dyDescent="0.2">
      <c r="B51" s="256" t="s">
        <v>47</v>
      </c>
      <c r="C51" s="279">
        <f>SUM(C43:C49)</f>
        <v>97654</v>
      </c>
      <c r="D51" s="279">
        <f>SUM(D43:D49)</f>
        <v>93533</v>
      </c>
      <c r="E51" s="279">
        <f>SUM(E43:E49)</f>
        <v>86228</v>
      </c>
    </row>
    <row r="52" spans="2:5" x14ac:dyDescent="0.2">
      <c r="B52" s="256" t="s">
        <v>48</v>
      </c>
      <c r="C52" s="279">
        <f>C41+C51</f>
        <v>97610</v>
      </c>
      <c r="D52" s="279">
        <f>D41+D51</f>
        <v>93533</v>
      </c>
      <c r="E52" s="279">
        <f>E41+E51</f>
        <v>86228</v>
      </c>
    </row>
    <row r="53" spans="2:5" x14ac:dyDescent="0.2">
      <c r="B53" s="100" t="s">
        <v>49</v>
      </c>
      <c r="C53" s="148"/>
      <c r="D53" s="148"/>
      <c r="E53" s="148"/>
    </row>
    <row r="54" spans="2:5" x14ac:dyDescent="0.2">
      <c r="B54" s="259" t="s">
        <v>1080</v>
      </c>
      <c r="C54" s="40">
        <v>48531</v>
      </c>
      <c r="D54" s="40">
        <v>52914</v>
      </c>
      <c r="E54" s="40">
        <v>53173</v>
      </c>
    </row>
    <row r="55" spans="2:5" x14ac:dyDescent="0.2">
      <c r="B55" s="259" t="s">
        <v>1075</v>
      </c>
      <c r="C55" s="40">
        <v>19507</v>
      </c>
      <c r="D55" s="40">
        <v>14519</v>
      </c>
      <c r="E55" s="40">
        <v>14455</v>
      </c>
    </row>
    <row r="56" spans="2:5" x14ac:dyDescent="0.2">
      <c r="B56" s="259" t="s">
        <v>1081</v>
      </c>
      <c r="C56" s="40">
        <v>18350</v>
      </c>
      <c r="D56" s="40">
        <v>18100</v>
      </c>
      <c r="E56" s="40">
        <v>18600</v>
      </c>
    </row>
    <row r="57" spans="2:5" x14ac:dyDescent="0.2">
      <c r="B57" s="259" t="s">
        <v>1076</v>
      </c>
      <c r="C57" s="40">
        <v>11222</v>
      </c>
      <c r="D57" s="40">
        <v>8000</v>
      </c>
      <c r="E57" s="40">
        <v>0</v>
      </c>
    </row>
    <row r="58" spans="2:5" x14ac:dyDescent="0.2">
      <c r="B58" s="150" t="s">
        <v>127</v>
      </c>
      <c r="C58" s="40"/>
      <c r="D58" s="276"/>
      <c r="E58" s="276"/>
    </row>
    <row r="59" spans="2:5" x14ac:dyDescent="0.2">
      <c r="B59" s="150" t="s">
        <v>610</v>
      </c>
      <c r="C59" s="475" t="str">
        <f>IF(C60*0.1&lt;C58,"Exceed 10% Rule","")</f>
        <v/>
      </c>
      <c r="D59" s="278" t="str">
        <f>IF(D60*0.1&lt;D58,"Exceed 10% Rule","")</f>
        <v/>
      </c>
      <c r="E59" s="278" t="str">
        <f>IF(E60*0.1&lt;E58,"Exceed 10% Rule","")</f>
        <v/>
      </c>
    </row>
    <row r="60" spans="2:5" x14ac:dyDescent="0.2">
      <c r="B60" s="256" t="s">
        <v>50</v>
      </c>
      <c r="C60" s="279">
        <f>SUM(C54:C58)</f>
        <v>97610</v>
      </c>
      <c r="D60" s="279">
        <f>SUM(D54:D58)</f>
        <v>93533</v>
      </c>
      <c r="E60" s="279">
        <f>SUM(E54:E58)</f>
        <v>86228</v>
      </c>
    </row>
    <row r="61" spans="2:5" x14ac:dyDescent="0.2">
      <c r="B61" s="100" t="s">
        <v>135</v>
      </c>
      <c r="C61" s="47">
        <f>C52-C60</f>
        <v>0</v>
      </c>
      <c r="D61" s="47">
        <f>D52-D60</f>
        <v>0</v>
      </c>
      <c r="E61" s="47">
        <f>E52-E60</f>
        <v>0</v>
      </c>
    </row>
    <row r="62" spans="2:5" x14ac:dyDescent="0.2">
      <c r="B62" s="625" t="str">
        <f>CONCATENATE("",E1-2,"/",E1-1,"/",E1," Budget Authority Amount:")</f>
        <v>2013/2014/2015 Budget Authority Amount:</v>
      </c>
      <c r="C62" s="249">
        <f>inputOth!B94</f>
        <v>98846</v>
      </c>
      <c r="D62" s="249">
        <f>inputPrYr!D49</f>
        <v>93533</v>
      </c>
      <c r="E62" s="148">
        <f>E60</f>
        <v>86228</v>
      </c>
    </row>
    <row r="63" spans="2:5" x14ac:dyDescent="0.2">
      <c r="B63" s="20"/>
      <c r="C63" s="20"/>
      <c r="D63" s="20"/>
      <c r="E63" s="20"/>
    </row>
    <row r="64" spans="2:5" x14ac:dyDescent="0.2">
      <c r="B64" s="675" t="s">
        <v>53</v>
      </c>
      <c r="C64" s="266">
        <v>19</v>
      </c>
      <c r="D64" s="20"/>
      <c r="E64" s="20"/>
    </row>
  </sheetData>
  <sheetProtection sheet="1" objects="1" scenarios="1"/>
  <conditionalFormatting sqref="C58">
    <cfRule type="cellIs" dxfId="105" priority="3" stopIfTrue="1" operator="greaterThan">
      <formula>$C$60*0.1</formula>
    </cfRule>
  </conditionalFormatting>
  <conditionalFormatting sqref="D58">
    <cfRule type="cellIs" dxfId="104" priority="4" stopIfTrue="1" operator="greaterThan">
      <formula>$D$60*0.1</formula>
    </cfRule>
  </conditionalFormatting>
  <conditionalFormatting sqref="E58">
    <cfRule type="cellIs" dxfId="103" priority="5" stopIfTrue="1" operator="greaterThan">
      <formula>$E$60*0.1</formula>
    </cfRule>
  </conditionalFormatting>
  <conditionalFormatting sqref="C49">
    <cfRule type="cellIs" dxfId="102" priority="6" stopIfTrue="1" operator="greaterThan">
      <formula>$C$51*0.1</formula>
    </cfRule>
  </conditionalFormatting>
  <conditionalFormatting sqref="C33">
    <cfRule type="cellIs" dxfId="101" priority="7" stopIfTrue="1" operator="greaterThan">
      <formula>$C$35*0.1</formula>
    </cfRule>
  </conditionalFormatting>
  <conditionalFormatting sqref="D33">
    <cfRule type="cellIs" dxfId="100" priority="8" stopIfTrue="1" operator="greaterThan">
      <formula>$D$35*0.1</formula>
    </cfRule>
  </conditionalFormatting>
  <conditionalFormatting sqref="E33">
    <cfRule type="cellIs" dxfId="99" priority="9" stopIfTrue="1" operator="greaterThan">
      <formula>$E$35*0.1</formula>
    </cfRule>
  </conditionalFormatting>
  <conditionalFormatting sqref="C24">
    <cfRule type="cellIs" dxfId="98" priority="10" stopIfTrue="1" operator="greaterThan">
      <formula>$C$26*0.1</formula>
    </cfRule>
  </conditionalFormatting>
  <conditionalFormatting sqref="D24">
    <cfRule type="cellIs" dxfId="97" priority="11" stopIfTrue="1" operator="greaterThan">
      <formula>$D$26*0.1</formula>
    </cfRule>
  </conditionalFormatting>
  <conditionalFormatting sqref="E24">
    <cfRule type="cellIs" dxfId="96" priority="12" stopIfTrue="1" operator="greaterThan">
      <formula>$E$26*0.1</formula>
    </cfRule>
  </conditionalFormatting>
  <conditionalFormatting sqref="E36 C36 E61 C61">
    <cfRule type="cellIs" dxfId="95" priority="13" stopIfTrue="1" operator="lessThan">
      <formula>0</formula>
    </cfRule>
  </conditionalFormatting>
  <conditionalFormatting sqref="C35">
    <cfRule type="cellIs" dxfId="94" priority="14" stopIfTrue="1" operator="greaterThan">
      <formula>$C$37</formula>
    </cfRule>
  </conditionalFormatting>
  <conditionalFormatting sqref="D35">
    <cfRule type="cellIs" dxfId="93" priority="15" stopIfTrue="1" operator="greaterThan">
      <formula>$D$37</formula>
    </cfRule>
  </conditionalFormatting>
  <conditionalFormatting sqref="C60">
    <cfRule type="cellIs" dxfId="92" priority="16" stopIfTrue="1" operator="greaterThan">
      <formula>$C$62</formula>
    </cfRule>
  </conditionalFormatting>
  <conditionalFormatting sqref="D60">
    <cfRule type="cellIs" dxfId="91" priority="17" stopIfTrue="1" operator="greaterThan">
      <formula>$D$62</formula>
    </cfRule>
  </conditionalFormatting>
  <conditionalFormatting sqref="D49">
    <cfRule type="cellIs" dxfId="90" priority="18" stopIfTrue="1" operator="greaterThan">
      <formula>$D$51*0.1</formula>
    </cfRule>
  </conditionalFormatting>
  <conditionalFormatting sqref="E49">
    <cfRule type="cellIs" dxfId="89" priority="19" stopIfTrue="1" operator="greaterThan">
      <formula>$E$51*0.1</formula>
    </cfRule>
  </conditionalFormatting>
  <conditionalFormatting sqref="D61">
    <cfRule type="cellIs" dxfId="88" priority="2" stopIfTrue="1" operator="lessThan">
      <formula>0</formula>
    </cfRule>
  </conditionalFormatting>
  <conditionalFormatting sqref="D36">
    <cfRule type="cellIs" dxfId="87" priority="1" stopIfTrue="1" operator="lessThan">
      <formula>0</formula>
    </cfRule>
  </conditionalFormatting>
  <printOptions horizontalCentered="1" verticalCentered="1"/>
  <pageMargins left="0.7" right="0.7" top="0.5" bottom="0.25" header="0.3" footer="0.3"/>
  <pageSetup scale="70"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9"/>
  <sheetViews>
    <sheetView topLeftCell="A31" workbookViewId="0">
      <selection activeCell="D13" sqref="D13"/>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(inputPrYr!B50)</f>
        <v>Spec. Rev. TIF Develop Funds</v>
      </c>
      <c r="C5" s="673" t="str">
        <f>CONCATENATE("Actual for ",E1-2,"")</f>
        <v>Actual for 2013</v>
      </c>
      <c r="D5" s="673" t="str">
        <f>CONCATENATE("Estimate for ",E1-1,"")</f>
        <v>Estimate for 2014</v>
      </c>
      <c r="E5" s="192" t="str">
        <f>CONCATENATE("Year for ",E1,"")</f>
        <v>Year for 2015</v>
      </c>
    </row>
    <row r="6" spans="2:5" x14ac:dyDescent="0.2">
      <c r="B6" s="100" t="s">
        <v>134</v>
      </c>
      <c r="C6" s="40">
        <v>2343</v>
      </c>
      <c r="D6" s="148">
        <f>C23</f>
        <v>2343</v>
      </c>
      <c r="E6" s="148">
        <f>D23</f>
        <v>2343</v>
      </c>
    </row>
    <row r="7" spans="2:5" x14ac:dyDescent="0.2">
      <c r="B7" s="246" t="s">
        <v>136</v>
      </c>
      <c r="C7" s="148"/>
      <c r="D7" s="148"/>
      <c r="E7" s="148"/>
    </row>
    <row r="8" spans="2:5" x14ac:dyDescent="0.2">
      <c r="B8" s="259" t="s">
        <v>1110</v>
      </c>
      <c r="C8" s="40">
        <v>0</v>
      </c>
      <c r="D8" s="40">
        <v>0</v>
      </c>
      <c r="E8" s="40">
        <v>0</v>
      </c>
    </row>
    <row r="9" spans="2:5" x14ac:dyDescent="0.2">
      <c r="B9" s="259"/>
      <c r="C9" s="40"/>
      <c r="D9" s="40"/>
      <c r="E9" s="40"/>
    </row>
    <row r="10" spans="2:5" x14ac:dyDescent="0.2">
      <c r="B10" s="259"/>
      <c r="C10" s="40"/>
      <c r="D10" s="40"/>
      <c r="E10" s="40"/>
    </row>
    <row r="11" spans="2:5" x14ac:dyDescent="0.2">
      <c r="B11" s="259"/>
      <c r="C11" s="40"/>
      <c r="D11" s="40"/>
      <c r="E11" s="40"/>
    </row>
    <row r="12" spans="2:5" x14ac:dyDescent="0.2">
      <c r="B12" s="277" t="s">
        <v>18</v>
      </c>
      <c r="C12" s="40"/>
      <c r="D12" s="40"/>
      <c r="E12" s="40"/>
    </row>
    <row r="13" spans="2:5" x14ac:dyDescent="0.2">
      <c r="B13" s="150" t="s">
        <v>127</v>
      </c>
      <c r="C13" s="40"/>
      <c r="D13" s="276"/>
      <c r="E13" s="276"/>
    </row>
    <row r="14" spans="2:5" x14ac:dyDescent="0.2">
      <c r="B14" s="150" t="s">
        <v>609</v>
      </c>
      <c r="C14" s="475" t="str">
        <f>IF(C15*0.1&lt;C13,"Exceed 10% Rule","")</f>
        <v/>
      </c>
      <c r="D14" s="278" t="str">
        <f>IF(D15*0.1&lt;D13,"Exceed 10% Rule","")</f>
        <v/>
      </c>
      <c r="E14" s="278" t="str">
        <f>IF(E15*0.1&lt;E13,"Exceed 10% Rule","")</f>
        <v/>
      </c>
    </row>
    <row r="15" spans="2:5" x14ac:dyDescent="0.2">
      <c r="B15" s="256" t="s">
        <v>47</v>
      </c>
      <c r="C15" s="279">
        <f>SUM(C8:C13)</f>
        <v>0</v>
      </c>
      <c r="D15" s="279">
        <f>SUM(D8:D13)</f>
        <v>0</v>
      </c>
      <c r="E15" s="279">
        <f>SUM(E8:E13)</f>
        <v>0</v>
      </c>
    </row>
    <row r="16" spans="2:5" x14ac:dyDescent="0.2">
      <c r="B16" s="256" t="s">
        <v>48</v>
      </c>
      <c r="C16" s="279">
        <f>C6+C15</f>
        <v>2343</v>
      </c>
      <c r="D16" s="279">
        <f>D6+D15</f>
        <v>2343</v>
      </c>
      <c r="E16" s="279">
        <f>E6+E15</f>
        <v>2343</v>
      </c>
    </row>
    <row r="17" spans="2:5" x14ac:dyDescent="0.2">
      <c r="B17" s="100" t="s">
        <v>49</v>
      </c>
      <c r="C17" s="148"/>
      <c r="D17" s="148"/>
      <c r="E17" s="148"/>
    </row>
    <row r="18" spans="2:5" x14ac:dyDescent="0.2">
      <c r="B18" s="259" t="s">
        <v>1075</v>
      </c>
      <c r="C18" s="40">
        <v>0</v>
      </c>
      <c r="D18" s="40">
        <v>0</v>
      </c>
      <c r="E18" s="40">
        <v>0</v>
      </c>
    </row>
    <row r="19" spans="2:5" x14ac:dyDescent="0.2">
      <c r="B19" s="259"/>
      <c r="C19" s="40"/>
      <c r="D19" s="40"/>
      <c r="E19" s="40"/>
    </row>
    <row r="20" spans="2:5" x14ac:dyDescent="0.2">
      <c r="B20" s="150" t="s">
        <v>127</v>
      </c>
      <c r="C20" s="40"/>
      <c r="D20" s="276"/>
      <c r="E20" s="276"/>
    </row>
    <row r="21" spans="2:5" x14ac:dyDescent="0.2">
      <c r="B21" s="150" t="s">
        <v>610</v>
      </c>
      <c r="C21" s="475" t="str">
        <f>IF(C22*0.1&lt;C20,"Exceed 10% Rule","")</f>
        <v/>
      </c>
      <c r="D21" s="278" t="str">
        <f>IF(D22*0.1&lt;D20,"Exceed 10% Rule","")</f>
        <v/>
      </c>
      <c r="E21" s="278" t="str">
        <f>IF(E22*0.1&lt;E20,"Exceed 10% Rule","")</f>
        <v/>
      </c>
    </row>
    <row r="22" spans="2:5" x14ac:dyDescent="0.2">
      <c r="B22" s="256" t="s">
        <v>50</v>
      </c>
      <c r="C22" s="279">
        <f>SUM(C18:C20)</f>
        <v>0</v>
      </c>
      <c r="D22" s="279">
        <f>SUM(D18:D20)</f>
        <v>0</v>
      </c>
      <c r="E22" s="279">
        <f>SUM(E18:E20)</f>
        <v>0</v>
      </c>
    </row>
    <row r="23" spans="2:5" x14ac:dyDescent="0.2">
      <c r="B23" s="100" t="s">
        <v>135</v>
      </c>
      <c r="C23" s="47">
        <f>C16-C22</f>
        <v>2343</v>
      </c>
      <c r="D23" s="47">
        <f>D16-D22</f>
        <v>2343</v>
      </c>
      <c r="E23" s="47">
        <f>E16-E22</f>
        <v>2343</v>
      </c>
    </row>
    <row r="24" spans="2:5" x14ac:dyDescent="0.2">
      <c r="B24" s="625" t="str">
        <f>CONCATENATE("",E1-2,"/",E1-1,"/",E1," Budget Authority Amount:")</f>
        <v>2013/2014/2015 Budget Authority Amount:</v>
      </c>
      <c r="C24" s="249">
        <f>inputOth!B95</f>
        <v>0</v>
      </c>
      <c r="D24" s="249">
        <f>inputPrYr!D50</f>
        <v>0</v>
      </c>
      <c r="E24" s="626">
        <f>E22</f>
        <v>0</v>
      </c>
    </row>
    <row r="25" spans="2:5" x14ac:dyDescent="0.2">
      <c r="B25" s="675"/>
      <c r="C25" s="262" t="str">
        <f>IF(C22&gt;C24,"See Tab A","")</f>
        <v/>
      </c>
      <c r="D25" s="262" t="str">
        <f>IF(D22&gt;D24,"See Tab C","")</f>
        <v/>
      </c>
      <c r="E25" s="627" t="str">
        <f>IF(E23&lt;0,"See Tab E","")</f>
        <v/>
      </c>
    </row>
    <row r="26" spans="2:5" x14ac:dyDescent="0.2">
      <c r="B26" s="675"/>
      <c r="C26" s="262" t="str">
        <f>IF(C23&lt;0,"See Tab B","")</f>
        <v/>
      </c>
      <c r="D26" s="262" t="str">
        <f>IF(D23&lt;0,"See Tab D","")</f>
        <v/>
      </c>
      <c r="E26" s="281"/>
    </row>
    <row r="27" spans="2:5" x14ac:dyDescent="0.2">
      <c r="B27" s="20"/>
      <c r="C27" s="281"/>
      <c r="D27" s="281"/>
      <c r="E27" s="281"/>
    </row>
    <row r="28" spans="2:5" x14ac:dyDescent="0.2">
      <c r="B28" s="22" t="s">
        <v>41</v>
      </c>
      <c r="C28" s="552" t="s">
        <v>792</v>
      </c>
      <c r="D28" s="135" t="s">
        <v>793</v>
      </c>
      <c r="E28" s="135" t="s">
        <v>794</v>
      </c>
    </row>
    <row r="29" spans="2:5" x14ac:dyDescent="0.2">
      <c r="B29" s="484" t="str">
        <f>(inputPrYr!B51)</f>
        <v>Bonner Pointe TIF Increment</v>
      </c>
      <c r="C29" s="192" t="str">
        <f>C5</f>
        <v>Actual for 2013</v>
      </c>
      <c r="D29" s="192" t="str">
        <f>D5</f>
        <v>Estimate for 2014</v>
      </c>
      <c r="E29" s="192" t="str">
        <f>E5</f>
        <v>Year for 2015</v>
      </c>
    </row>
    <row r="30" spans="2:5" x14ac:dyDescent="0.2">
      <c r="B30" s="100" t="s">
        <v>134</v>
      </c>
      <c r="C30" s="40">
        <v>0</v>
      </c>
      <c r="D30" s="148">
        <f>C44</f>
        <v>0</v>
      </c>
      <c r="E30" s="148">
        <f>D44</f>
        <v>0</v>
      </c>
    </row>
    <row r="31" spans="2:5" x14ac:dyDescent="0.2">
      <c r="B31" s="246" t="s">
        <v>136</v>
      </c>
      <c r="C31" s="148"/>
      <c r="D31" s="148"/>
      <c r="E31" s="148"/>
    </row>
    <row r="32" spans="2:5" x14ac:dyDescent="0.2">
      <c r="B32" s="259" t="s">
        <v>1187</v>
      </c>
      <c r="C32" s="40">
        <v>116920</v>
      </c>
      <c r="D32" s="40">
        <v>180000</v>
      </c>
      <c r="E32" s="40">
        <v>225000</v>
      </c>
    </row>
    <row r="33" spans="2:5" x14ac:dyDescent="0.2">
      <c r="B33" s="277" t="s">
        <v>18</v>
      </c>
      <c r="C33" s="40"/>
      <c r="D33" s="40"/>
      <c r="E33" s="40"/>
    </row>
    <row r="34" spans="2:5" x14ac:dyDescent="0.2">
      <c r="B34" s="150" t="s">
        <v>127</v>
      </c>
      <c r="C34" s="40"/>
      <c r="D34" s="40"/>
      <c r="E34" s="40"/>
    </row>
    <row r="35" spans="2:5" x14ac:dyDescent="0.2">
      <c r="B35" s="150" t="s">
        <v>609</v>
      </c>
      <c r="C35" s="475" t="str">
        <f>IF(C36*0.1&lt;C34,"Exceed 10% Rule","")</f>
        <v/>
      </c>
      <c r="D35" s="278" t="str">
        <f>IF(D36*0.1&lt;D34,"Exceed 10% Rule","")</f>
        <v/>
      </c>
      <c r="E35" s="278" t="str">
        <f>IF(E36*0.1&lt;E34,"Exceed 10% Rule","")</f>
        <v/>
      </c>
    </row>
    <row r="36" spans="2:5" x14ac:dyDescent="0.2">
      <c r="B36" s="256" t="s">
        <v>47</v>
      </c>
      <c r="C36" s="279">
        <f>SUM(C32:C34)</f>
        <v>116920</v>
      </c>
      <c r="D36" s="279">
        <f>SUM(D32:D34)</f>
        <v>180000</v>
      </c>
      <c r="E36" s="279">
        <f>SUM(E32:E34)</f>
        <v>225000</v>
      </c>
    </row>
    <row r="37" spans="2:5" x14ac:dyDescent="0.2">
      <c r="B37" s="256" t="s">
        <v>48</v>
      </c>
      <c r="C37" s="279">
        <f>C30+C36</f>
        <v>116920</v>
      </c>
      <c r="D37" s="279">
        <f>D30+D36</f>
        <v>180000</v>
      </c>
      <c r="E37" s="279">
        <f>E30+E36</f>
        <v>225000</v>
      </c>
    </row>
    <row r="38" spans="2:5" x14ac:dyDescent="0.2">
      <c r="B38" s="100" t="s">
        <v>49</v>
      </c>
      <c r="C38" s="148"/>
      <c r="D38" s="148"/>
      <c r="E38" s="148"/>
    </row>
    <row r="39" spans="2:5" x14ac:dyDescent="0.2">
      <c r="B39" s="259" t="s">
        <v>1075</v>
      </c>
      <c r="C39" s="40">
        <v>116920</v>
      </c>
      <c r="D39" s="40">
        <v>180000</v>
      </c>
      <c r="E39" s="40">
        <v>225000</v>
      </c>
    </row>
    <row r="40" spans="2:5" x14ac:dyDescent="0.2">
      <c r="B40" s="259"/>
      <c r="C40" s="40"/>
      <c r="D40" s="40"/>
      <c r="E40" s="40"/>
    </row>
    <row r="41" spans="2:5" x14ac:dyDescent="0.2">
      <c r="B41" s="150" t="s">
        <v>127</v>
      </c>
      <c r="C41" s="40"/>
      <c r="D41" s="276"/>
      <c r="E41" s="276"/>
    </row>
    <row r="42" spans="2:5" x14ac:dyDescent="0.2">
      <c r="B42" s="150" t="s">
        <v>610</v>
      </c>
      <c r="C42" s="475" t="str">
        <f>IF(C43*0.1&lt;C41,"Exceed 10% Rule","")</f>
        <v/>
      </c>
      <c r="D42" s="278" t="str">
        <f>IF(D43*0.1&lt;D41,"Exceed 10% Rule","")</f>
        <v/>
      </c>
      <c r="E42" s="278" t="str">
        <f>IF(E43*0.1&lt;E41,"Exceed 10% Rule","")</f>
        <v/>
      </c>
    </row>
    <row r="43" spans="2:5" x14ac:dyDescent="0.2">
      <c r="B43" s="256" t="s">
        <v>50</v>
      </c>
      <c r="C43" s="279">
        <f>SUM(C39:C41)</f>
        <v>116920</v>
      </c>
      <c r="D43" s="279">
        <f>SUM(D39:D41)</f>
        <v>180000</v>
      </c>
      <c r="E43" s="279">
        <f>SUM(E39:E41)</f>
        <v>225000</v>
      </c>
    </row>
    <row r="44" spans="2:5" x14ac:dyDescent="0.2">
      <c r="B44" s="100" t="s">
        <v>135</v>
      </c>
      <c r="C44" s="47">
        <f>C37-C43</f>
        <v>0</v>
      </c>
      <c r="D44" s="47">
        <f>D37-D43</f>
        <v>0</v>
      </c>
      <c r="E44" s="47">
        <f>E37-E43</f>
        <v>0</v>
      </c>
    </row>
    <row r="45" spans="2:5" x14ac:dyDescent="0.2">
      <c r="B45" s="625" t="str">
        <f>CONCATENATE("",E1-2,"/",E1-1,"/",E1," Budget Authority Amount:")</f>
        <v>2013/2014/2015 Budget Authority Amount:</v>
      </c>
      <c r="C45" s="249">
        <f>inputOth!B96</f>
        <v>140000</v>
      </c>
      <c r="D45" s="249">
        <f>inputPrYr!D51</f>
        <v>180000</v>
      </c>
      <c r="E45" s="626">
        <f>E43</f>
        <v>225000</v>
      </c>
    </row>
    <row r="46" spans="2:5" x14ac:dyDescent="0.2">
      <c r="B46" s="675"/>
      <c r="C46" s="262" t="str">
        <f>IF(C43&gt;C45,"See Tab A","")</f>
        <v/>
      </c>
      <c r="D46" s="262" t="str">
        <f>IF(D43&gt;D45,"See Tab C","")</f>
        <v/>
      </c>
      <c r="E46" s="627" t="str">
        <f>IF(E44&lt;0,"See Tab E","")</f>
        <v/>
      </c>
    </row>
    <row r="47" spans="2:5" x14ac:dyDescent="0.2">
      <c r="B47" s="675"/>
      <c r="C47" s="262" t="str">
        <f>IF(C44&lt;0,"See Tab B","")</f>
        <v/>
      </c>
      <c r="D47" s="262" t="str">
        <f>IF(D44&lt;0,"See Tab D","")</f>
        <v/>
      </c>
      <c r="E47" s="20"/>
    </row>
    <row r="48" spans="2:5" x14ac:dyDescent="0.2">
      <c r="B48" s="20"/>
      <c r="C48" s="20"/>
      <c r="D48" s="20"/>
      <c r="E48" s="20"/>
    </row>
    <row r="49" spans="2:5" x14ac:dyDescent="0.2">
      <c r="B49" s="675" t="s">
        <v>53</v>
      </c>
      <c r="C49" s="266">
        <v>20</v>
      </c>
      <c r="D49" s="20"/>
      <c r="E49" s="20"/>
    </row>
  </sheetData>
  <sheetProtection sheet="1" objects="1" scenarios="1"/>
  <conditionalFormatting sqref="C41">
    <cfRule type="cellIs" dxfId="86" priority="3" stopIfTrue="1" operator="greaterThan">
      <formula>$C$43*0.1</formula>
    </cfRule>
  </conditionalFormatting>
  <conditionalFormatting sqref="D41">
    <cfRule type="cellIs" dxfId="85" priority="4" stopIfTrue="1" operator="greaterThan">
      <formula>$D$43*0.1</formula>
    </cfRule>
  </conditionalFormatting>
  <conditionalFormatting sqref="E41">
    <cfRule type="cellIs" dxfId="84" priority="5" stopIfTrue="1" operator="greaterThan">
      <formula>$E$43*0.1</formula>
    </cfRule>
  </conditionalFormatting>
  <conditionalFormatting sqref="C34">
    <cfRule type="cellIs" dxfId="83" priority="6" stopIfTrue="1" operator="greaterThan">
      <formula>$C$36*0.1</formula>
    </cfRule>
  </conditionalFormatting>
  <conditionalFormatting sqref="C20">
    <cfRule type="cellIs" dxfId="82" priority="7" stopIfTrue="1" operator="greaterThan">
      <formula>$C$22*0.1</formula>
    </cfRule>
  </conditionalFormatting>
  <conditionalFormatting sqref="D20">
    <cfRule type="cellIs" dxfId="81" priority="8" stopIfTrue="1" operator="greaterThan">
      <formula>$D$22*0.1</formula>
    </cfRule>
  </conditionalFormatting>
  <conditionalFormatting sqref="E20">
    <cfRule type="cellIs" dxfId="80" priority="9" stopIfTrue="1" operator="greaterThan">
      <formula>$E$22*0.1</formula>
    </cfRule>
  </conditionalFormatting>
  <conditionalFormatting sqref="C13">
    <cfRule type="cellIs" dxfId="79" priority="10" stopIfTrue="1" operator="greaterThan">
      <formula>$C$15*0.1</formula>
    </cfRule>
  </conditionalFormatting>
  <conditionalFormatting sqref="D13">
    <cfRule type="cellIs" dxfId="78" priority="11" stopIfTrue="1" operator="greaterThan">
      <formula>$D$15*0.1</formula>
    </cfRule>
  </conditionalFormatting>
  <conditionalFormatting sqref="E13">
    <cfRule type="cellIs" dxfId="77" priority="12" stopIfTrue="1" operator="greaterThan">
      <formula>$E$15*0.1</formula>
    </cfRule>
  </conditionalFormatting>
  <conditionalFormatting sqref="E23 C23 E44 C44">
    <cfRule type="cellIs" dxfId="76" priority="13" stopIfTrue="1" operator="lessThan">
      <formula>0</formula>
    </cfRule>
  </conditionalFormatting>
  <conditionalFormatting sqref="C22">
    <cfRule type="cellIs" dxfId="75" priority="14" stopIfTrue="1" operator="greaterThan">
      <formula>$C$24</formula>
    </cfRule>
  </conditionalFormatting>
  <conditionalFormatting sqref="D22">
    <cfRule type="cellIs" dxfId="74" priority="15" stopIfTrue="1" operator="greaterThan">
      <formula>$D$24</formula>
    </cfRule>
  </conditionalFormatting>
  <conditionalFormatting sqref="C43">
    <cfRule type="cellIs" dxfId="73" priority="16" stopIfTrue="1" operator="greaterThan">
      <formula>$C$45</formula>
    </cfRule>
  </conditionalFormatting>
  <conditionalFormatting sqref="D43">
    <cfRule type="cellIs" dxfId="72" priority="17" stopIfTrue="1" operator="greaterThan">
      <formula>$D$45</formula>
    </cfRule>
  </conditionalFormatting>
  <conditionalFormatting sqref="D34">
    <cfRule type="cellIs" dxfId="71" priority="18" stopIfTrue="1" operator="greaterThan">
      <formula>$D$36*0.1</formula>
    </cfRule>
  </conditionalFormatting>
  <conditionalFormatting sqref="E34">
    <cfRule type="cellIs" dxfId="70" priority="19" stopIfTrue="1" operator="greaterThan">
      <formula>$E$36*0.1</formula>
    </cfRule>
  </conditionalFormatting>
  <conditionalFormatting sqref="D44">
    <cfRule type="cellIs" dxfId="69" priority="2" stopIfTrue="1" operator="lessThan">
      <formula>0</formula>
    </cfRule>
  </conditionalFormatting>
  <conditionalFormatting sqref="D23">
    <cfRule type="cellIs" dxfId="68"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7"/>
  <sheetViews>
    <sheetView workbookViewId="0">
      <selection activeCell="E15" sqref="E15"/>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(inputPrYr!B52)</f>
        <v>CID Development Fees</v>
      </c>
      <c r="C5" s="673" t="str">
        <f>CONCATENATE("Actual for ",E1-2,"")</f>
        <v>Actual for 2013</v>
      </c>
      <c r="D5" s="673" t="str">
        <f>CONCATENATE("Estimate for ",E1-1,"")</f>
        <v>Estimate for 2014</v>
      </c>
      <c r="E5" s="192" t="str">
        <f>CONCATENATE("Year for ",E1,"")</f>
        <v>Year for 2015</v>
      </c>
    </row>
    <row r="6" spans="2:5" x14ac:dyDescent="0.2">
      <c r="B6" s="100" t="s">
        <v>134</v>
      </c>
      <c r="C6" s="40">
        <v>11190</v>
      </c>
      <c r="D6" s="148">
        <f>C21</f>
        <v>11190</v>
      </c>
      <c r="E6" s="148">
        <f>D21</f>
        <v>0</v>
      </c>
    </row>
    <row r="7" spans="2:5" x14ac:dyDescent="0.2">
      <c r="B7" s="246" t="s">
        <v>136</v>
      </c>
      <c r="C7" s="148"/>
      <c r="D7" s="148"/>
      <c r="E7" s="148"/>
    </row>
    <row r="8" spans="2:5" x14ac:dyDescent="0.2">
      <c r="B8" s="259" t="s">
        <v>1110</v>
      </c>
      <c r="C8" s="40">
        <v>0</v>
      </c>
      <c r="D8" s="40">
        <v>0</v>
      </c>
      <c r="E8" s="40">
        <v>0</v>
      </c>
    </row>
    <row r="9" spans="2:5" x14ac:dyDescent="0.2">
      <c r="B9" s="259"/>
      <c r="C9" s="40"/>
      <c r="D9" s="40"/>
      <c r="E9" s="40"/>
    </row>
    <row r="10" spans="2:5" x14ac:dyDescent="0.2">
      <c r="B10" s="277" t="s">
        <v>18</v>
      </c>
      <c r="C10" s="40"/>
      <c r="D10" s="40"/>
      <c r="E10" s="40"/>
    </row>
    <row r="11" spans="2:5" x14ac:dyDescent="0.2">
      <c r="B11" s="150" t="s">
        <v>127</v>
      </c>
      <c r="C11" s="40"/>
      <c r="D11" s="276"/>
      <c r="E11" s="276"/>
    </row>
    <row r="12" spans="2:5" x14ac:dyDescent="0.2">
      <c r="B12" s="150" t="s">
        <v>609</v>
      </c>
      <c r="C12" s="475" t="str">
        <f>IF(C13*0.1&lt;C11,"Exceed 10% Rule","")</f>
        <v/>
      </c>
      <c r="D12" s="278" t="str">
        <f>IF(D13*0.1&lt;D11,"Exceed 10% Rule","")</f>
        <v/>
      </c>
      <c r="E12" s="278" t="str">
        <f>IF(E13*0.1&lt;E11,"Exceed 10% Rule","")</f>
        <v/>
      </c>
    </row>
    <row r="13" spans="2:5" x14ac:dyDescent="0.2">
      <c r="B13" s="256" t="s">
        <v>47</v>
      </c>
      <c r="C13" s="279">
        <f>SUM(C8:C11)</f>
        <v>0</v>
      </c>
      <c r="D13" s="279">
        <f>SUM(D8:D11)</f>
        <v>0</v>
      </c>
      <c r="E13" s="279">
        <f>SUM(E8:E11)</f>
        <v>0</v>
      </c>
    </row>
    <row r="14" spans="2:5" x14ac:dyDescent="0.2">
      <c r="B14" s="256" t="s">
        <v>48</v>
      </c>
      <c r="C14" s="279">
        <f>C6+C13</f>
        <v>11190</v>
      </c>
      <c r="D14" s="279">
        <f>D6+D13</f>
        <v>11190</v>
      </c>
      <c r="E14" s="279">
        <f>E6+E13</f>
        <v>0</v>
      </c>
    </row>
    <row r="15" spans="2:5" x14ac:dyDescent="0.2">
      <c r="B15" s="100" t="s">
        <v>49</v>
      </c>
      <c r="C15" s="148"/>
      <c r="D15" s="148"/>
      <c r="E15" s="148"/>
    </row>
    <row r="16" spans="2:5" x14ac:dyDescent="0.2">
      <c r="B16" s="259" t="s">
        <v>1075</v>
      </c>
      <c r="C16" s="40">
        <v>0</v>
      </c>
      <c r="D16" s="40">
        <v>11190</v>
      </c>
      <c r="E16" s="40">
        <v>0</v>
      </c>
    </row>
    <row r="17" spans="2:5" x14ac:dyDescent="0.2">
      <c r="B17" s="259"/>
      <c r="C17" s="40"/>
      <c r="D17" s="40"/>
      <c r="E17" s="40"/>
    </row>
    <row r="18" spans="2:5" x14ac:dyDescent="0.2">
      <c r="B18" s="150" t="s">
        <v>127</v>
      </c>
      <c r="C18" s="40"/>
      <c r="D18" s="276"/>
      <c r="E18" s="276"/>
    </row>
    <row r="19" spans="2:5" x14ac:dyDescent="0.2">
      <c r="B19" s="150" t="s">
        <v>610</v>
      </c>
      <c r="C19" s="475" t="str">
        <f>IF(C20*0.1&lt;C18,"Exceed 10% Rule","")</f>
        <v/>
      </c>
      <c r="D19" s="278" t="str">
        <f>IF(D20*0.1&lt;D18,"Exceed 10% Rule","")</f>
        <v/>
      </c>
      <c r="E19" s="278" t="str">
        <f>IF(E20*0.1&lt;E18,"Exceed 10% Rule","")</f>
        <v/>
      </c>
    </row>
    <row r="20" spans="2:5" x14ac:dyDescent="0.2">
      <c r="B20" s="256" t="s">
        <v>50</v>
      </c>
      <c r="C20" s="279">
        <f>SUM(C16:C18)</f>
        <v>0</v>
      </c>
      <c r="D20" s="279">
        <f>SUM(D16:D18)</f>
        <v>11190</v>
      </c>
      <c r="E20" s="279">
        <f>SUM(E16:E18)</f>
        <v>0</v>
      </c>
    </row>
    <row r="21" spans="2:5" x14ac:dyDescent="0.2">
      <c r="B21" s="100" t="s">
        <v>135</v>
      </c>
      <c r="C21" s="47">
        <f>C14-C20</f>
        <v>11190</v>
      </c>
      <c r="D21" s="47">
        <f>D14-D20</f>
        <v>0</v>
      </c>
      <c r="E21" s="47">
        <f>E14-E20</f>
        <v>0</v>
      </c>
    </row>
    <row r="22" spans="2:5" x14ac:dyDescent="0.2">
      <c r="B22" s="625" t="str">
        <f>CONCATENATE("",E1-2,"/",E1-1,"/",E1," Budget Authority Amount:")</f>
        <v>2013/2014/2015 Budget Authority Amount:</v>
      </c>
      <c r="C22" s="249">
        <f>inputOth!B97</f>
        <v>11190</v>
      </c>
      <c r="D22" s="249">
        <f>inputPrYr!D52</f>
        <v>11190</v>
      </c>
      <c r="E22" s="626">
        <f>E20</f>
        <v>0</v>
      </c>
    </row>
    <row r="23" spans="2:5" x14ac:dyDescent="0.2">
      <c r="B23" s="675"/>
      <c r="C23" s="262" t="str">
        <f>IF(C20&gt;C22,"See Tab A","")</f>
        <v/>
      </c>
      <c r="D23" s="262" t="str">
        <f>IF(D20&gt;D22,"See Tab C","")</f>
        <v/>
      </c>
      <c r="E23" s="627" t="str">
        <f>IF(E21&lt;0,"See Tab E","")</f>
        <v/>
      </c>
    </row>
    <row r="24" spans="2:5" x14ac:dyDescent="0.2">
      <c r="B24" s="675"/>
      <c r="C24" s="262" t="str">
        <f>IF(C21&lt;0,"See Tab B","")</f>
        <v/>
      </c>
      <c r="D24" s="262" t="str">
        <f>IF(D21&lt;0,"See Tab D","")</f>
        <v/>
      </c>
      <c r="E24" s="281"/>
    </row>
    <row r="25" spans="2:5" x14ac:dyDescent="0.2">
      <c r="B25" s="20"/>
      <c r="C25" s="281"/>
      <c r="D25" s="281"/>
      <c r="E25" s="281"/>
    </row>
    <row r="26" spans="2:5" x14ac:dyDescent="0.2">
      <c r="B26" s="22" t="s">
        <v>41</v>
      </c>
      <c r="C26" s="552" t="s">
        <v>792</v>
      </c>
      <c r="D26" s="135" t="s">
        <v>793</v>
      </c>
      <c r="E26" s="135" t="s">
        <v>794</v>
      </c>
    </row>
    <row r="27" spans="2:5" x14ac:dyDescent="0.2">
      <c r="B27" s="484" t="str">
        <f>(inputPrYr!B53)</f>
        <v>Bonner Springs Center CID</v>
      </c>
      <c r="C27" s="192" t="str">
        <f>C5</f>
        <v>Actual for 2013</v>
      </c>
      <c r="D27" s="192" t="str">
        <f>D5</f>
        <v>Estimate for 2014</v>
      </c>
      <c r="E27" s="192" t="str">
        <f>E5</f>
        <v>Year for 2015</v>
      </c>
    </row>
    <row r="28" spans="2:5" x14ac:dyDescent="0.2">
      <c r="B28" s="100" t="s">
        <v>134</v>
      </c>
      <c r="C28" s="40">
        <v>0</v>
      </c>
      <c r="D28" s="148">
        <f>C42</f>
        <v>0</v>
      </c>
      <c r="E28" s="148">
        <f>D42</f>
        <v>0</v>
      </c>
    </row>
    <row r="29" spans="2:5" x14ac:dyDescent="0.2">
      <c r="B29" s="246" t="s">
        <v>136</v>
      </c>
      <c r="C29" s="148"/>
      <c r="D29" s="148"/>
      <c r="E29" s="148"/>
    </row>
    <row r="30" spans="2:5" x14ac:dyDescent="0.2">
      <c r="B30" s="259" t="s">
        <v>1188</v>
      </c>
      <c r="C30" s="40">
        <v>61440</v>
      </c>
      <c r="D30" s="40">
        <v>100000</v>
      </c>
      <c r="E30" s="40">
        <v>100000</v>
      </c>
    </row>
    <row r="31" spans="2:5" x14ac:dyDescent="0.2">
      <c r="B31" s="277" t="s">
        <v>18</v>
      </c>
      <c r="C31" s="40"/>
      <c r="D31" s="40"/>
      <c r="E31" s="40"/>
    </row>
    <row r="32" spans="2:5" x14ac:dyDescent="0.2">
      <c r="B32" s="150" t="s">
        <v>127</v>
      </c>
      <c r="C32" s="40"/>
      <c r="D32" s="40"/>
      <c r="E32" s="40"/>
    </row>
    <row r="33" spans="2:5" x14ac:dyDescent="0.2">
      <c r="B33" s="150" t="s">
        <v>609</v>
      </c>
      <c r="C33" s="475" t="str">
        <f>IF(C34*0.1&lt;C32,"Exceed 10% Rule","")</f>
        <v/>
      </c>
      <c r="D33" s="278" t="str">
        <f>IF(D34*0.1&lt;D32,"Exceed 10% Rule","")</f>
        <v/>
      </c>
      <c r="E33" s="278" t="str">
        <f>IF(E34*0.1&lt;E32,"Exceed 10% Rule","")</f>
        <v/>
      </c>
    </row>
    <row r="34" spans="2:5" x14ac:dyDescent="0.2">
      <c r="B34" s="256" t="s">
        <v>47</v>
      </c>
      <c r="C34" s="279">
        <f>SUM(C30:C32)</f>
        <v>61440</v>
      </c>
      <c r="D34" s="279">
        <f>SUM(D30:D32)</f>
        <v>100000</v>
      </c>
      <c r="E34" s="279">
        <f>SUM(E30:E32)</f>
        <v>100000</v>
      </c>
    </row>
    <row r="35" spans="2:5" x14ac:dyDescent="0.2">
      <c r="B35" s="256" t="s">
        <v>48</v>
      </c>
      <c r="C35" s="279">
        <f>C28+C34</f>
        <v>61440</v>
      </c>
      <c r="D35" s="279">
        <f>D28+D34</f>
        <v>100000</v>
      </c>
      <c r="E35" s="279">
        <f>E28+E34</f>
        <v>100000</v>
      </c>
    </row>
    <row r="36" spans="2:5" x14ac:dyDescent="0.2">
      <c r="B36" s="100" t="s">
        <v>49</v>
      </c>
      <c r="C36" s="148"/>
      <c r="D36" s="148"/>
      <c r="E36" s="148"/>
    </row>
    <row r="37" spans="2:5" x14ac:dyDescent="0.2">
      <c r="B37" s="259" t="s">
        <v>1075</v>
      </c>
      <c r="C37" s="40">
        <v>61440</v>
      </c>
      <c r="D37" s="40">
        <v>100000</v>
      </c>
      <c r="E37" s="40">
        <v>100000</v>
      </c>
    </row>
    <row r="38" spans="2:5" x14ac:dyDescent="0.2">
      <c r="B38" s="259"/>
      <c r="C38" s="40"/>
      <c r="D38" s="40"/>
      <c r="E38" s="40"/>
    </row>
    <row r="39" spans="2:5" x14ac:dyDescent="0.2">
      <c r="B39" s="150" t="s">
        <v>127</v>
      </c>
      <c r="C39" s="40"/>
      <c r="D39" s="276"/>
      <c r="E39" s="276"/>
    </row>
    <row r="40" spans="2:5" x14ac:dyDescent="0.2">
      <c r="B40" s="150" t="s">
        <v>610</v>
      </c>
      <c r="C40" s="475" t="str">
        <f>IF(C41*0.1&lt;C39,"Exceed 10% Rule","")</f>
        <v/>
      </c>
      <c r="D40" s="278" t="str">
        <f>IF(D41*0.1&lt;D39,"Exceed 10% Rule","")</f>
        <v/>
      </c>
      <c r="E40" s="278" t="str">
        <f>IF(E41*0.1&lt;E39,"Exceed 10% Rule","")</f>
        <v/>
      </c>
    </row>
    <row r="41" spans="2:5" x14ac:dyDescent="0.2">
      <c r="B41" s="256" t="s">
        <v>50</v>
      </c>
      <c r="C41" s="279">
        <f>SUM(C37:C39)</f>
        <v>61440</v>
      </c>
      <c r="D41" s="279">
        <f>SUM(D37:D39)</f>
        <v>100000</v>
      </c>
      <c r="E41" s="279">
        <f>SUM(E37:E39)</f>
        <v>100000</v>
      </c>
    </row>
    <row r="42" spans="2:5" x14ac:dyDescent="0.2">
      <c r="B42" s="100" t="s">
        <v>135</v>
      </c>
      <c r="C42" s="47">
        <f>C35-C41</f>
        <v>0</v>
      </c>
      <c r="D42" s="47">
        <f>D35-D41</f>
        <v>0</v>
      </c>
      <c r="E42" s="47">
        <f>E35-E41</f>
        <v>0</v>
      </c>
    </row>
    <row r="43" spans="2:5" x14ac:dyDescent="0.2">
      <c r="B43" s="625" t="str">
        <f>CONCATENATE("",E1-2,"/",E1-1,"/",E1," Budget Authority Amount:")</f>
        <v>2013/2014/2015 Budget Authority Amount:</v>
      </c>
      <c r="C43" s="249">
        <f>inputOth!B98</f>
        <v>100000</v>
      </c>
      <c r="D43" s="249">
        <f>inputPrYr!D53</f>
        <v>100000</v>
      </c>
      <c r="E43" s="626">
        <f>E41</f>
        <v>100000</v>
      </c>
    </row>
    <row r="44" spans="2:5" x14ac:dyDescent="0.2">
      <c r="B44" s="675"/>
      <c r="C44" s="262" t="str">
        <f>IF(C41&gt;C43,"See Tab A","")</f>
        <v/>
      </c>
      <c r="D44" s="262" t="str">
        <f>IF(D41&gt;D43,"See Tab C","")</f>
        <v/>
      </c>
      <c r="E44" s="627" t="str">
        <f>IF(E42&lt;0,"See Tab E","")</f>
        <v/>
      </c>
    </row>
    <row r="45" spans="2:5" x14ac:dyDescent="0.2">
      <c r="B45" s="675"/>
      <c r="C45" s="262" t="str">
        <f>IF(C42&lt;0,"See Tab B","")</f>
        <v/>
      </c>
      <c r="D45" s="262" t="str">
        <f>IF(D42&lt;0,"See Tab D","")</f>
        <v/>
      </c>
      <c r="E45" s="20"/>
    </row>
    <row r="46" spans="2:5" x14ac:dyDescent="0.2">
      <c r="B46" s="20"/>
      <c r="C46" s="20"/>
      <c r="D46" s="20"/>
      <c r="E46" s="20"/>
    </row>
    <row r="47" spans="2:5" x14ac:dyDescent="0.2">
      <c r="B47" s="675" t="s">
        <v>53</v>
      </c>
      <c r="C47" s="266">
        <v>21</v>
      </c>
      <c r="D47" s="20"/>
      <c r="E47" s="20"/>
    </row>
  </sheetData>
  <sheetProtection sheet="1" objects="1" scenarios="1"/>
  <conditionalFormatting sqref="C39">
    <cfRule type="cellIs" dxfId="67" priority="3" stopIfTrue="1" operator="greaterThan">
      <formula>$C$41*0.1</formula>
    </cfRule>
  </conditionalFormatting>
  <conditionalFormatting sqref="D39">
    <cfRule type="cellIs" dxfId="66" priority="4" stopIfTrue="1" operator="greaterThan">
      <formula>$D$41*0.1</formula>
    </cfRule>
  </conditionalFormatting>
  <conditionalFormatting sqref="E39">
    <cfRule type="cellIs" dxfId="65" priority="5" stopIfTrue="1" operator="greaterThan">
      <formula>$E$41*0.1</formula>
    </cfRule>
  </conditionalFormatting>
  <conditionalFormatting sqref="C32">
    <cfRule type="cellIs" dxfId="64" priority="6" stopIfTrue="1" operator="greaterThan">
      <formula>$C$34*0.1</formula>
    </cfRule>
  </conditionalFormatting>
  <conditionalFormatting sqref="C18">
    <cfRule type="cellIs" dxfId="63" priority="7" stopIfTrue="1" operator="greaterThan">
      <formula>$C$20*0.1</formula>
    </cfRule>
  </conditionalFormatting>
  <conditionalFormatting sqref="D18">
    <cfRule type="cellIs" dxfId="62" priority="8" stopIfTrue="1" operator="greaterThan">
      <formula>$D$20*0.1</formula>
    </cfRule>
  </conditionalFormatting>
  <conditionalFormatting sqref="E18">
    <cfRule type="cellIs" dxfId="61" priority="9" stopIfTrue="1" operator="greaterThan">
      <formula>$E$20*0.1</formula>
    </cfRule>
  </conditionalFormatting>
  <conditionalFormatting sqref="C11">
    <cfRule type="cellIs" dxfId="60" priority="10" stopIfTrue="1" operator="greaterThan">
      <formula>$C$13*0.1</formula>
    </cfRule>
  </conditionalFormatting>
  <conditionalFormatting sqref="D11">
    <cfRule type="cellIs" dxfId="59" priority="11" stopIfTrue="1" operator="greaterThan">
      <formula>$D$13*0.1</formula>
    </cfRule>
  </conditionalFormatting>
  <conditionalFormatting sqref="E11">
    <cfRule type="cellIs" dxfId="58" priority="12" stopIfTrue="1" operator="greaterThan">
      <formula>$E$13*0.1</formula>
    </cfRule>
  </conditionalFormatting>
  <conditionalFormatting sqref="E21 C21 E42 C42">
    <cfRule type="cellIs" dxfId="57" priority="13" stopIfTrue="1" operator="lessThan">
      <formula>0</formula>
    </cfRule>
  </conditionalFormatting>
  <conditionalFormatting sqref="C20">
    <cfRule type="cellIs" dxfId="56" priority="14" stopIfTrue="1" operator="greaterThan">
      <formula>$C$22</formula>
    </cfRule>
  </conditionalFormatting>
  <conditionalFormatting sqref="D20">
    <cfRule type="cellIs" dxfId="55" priority="15" stopIfTrue="1" operator="greaterThan">
      <formula>$D$22</formula>
    </cfRule>
  </conditionalFormatting>
  <conditionalFormatting sqref="C41">
    <cfRule type="cellIs" dxfId="54" priority="16" stopIfTrue="1" operator="greaterThan">
      <formula>$C$43</formula>
    </cfRule>
  </conditionalFormatting>
  <conditionalFormatting sqref="D41">
    <cfRule type="cellIs" dxfId="53" priority="17" stopIfTrue="1" operator="greaterThan">
      <formula>$D$43</formula>
    </cfRule>
  </conditionalFormatting>
  <conditionalFormatting sqref="D32">
    <cfRule type="cellIs" dxfId="52" priority="18" stopIfTrue="1" operator="greaterThan">
      <formula>$D$34*0.1</formula>
    </cfRule>
  </conditionalFormatting>
  <conditionalFormatting sqref="E32">
    <cfRule type="cellIs" dxfId="51" priority="19" stopIfTrue="1" operator="greaterThan">
      <formula>$E$34*0.1</formula>
    </cfRule>
  </conditionalFormatting>
  <conditionalFormatting sqref="D42">
    <cfRule type="cellIs" dxfId="50" priority="2" stopIfTrue="1" operator="lessThan">
      <formula>0</formula>
    </cfRule>
  </conditionalFormatting>
  <conditionalFormatting sqref="D21">
    <cfRule type="cellIs" dxfId="49"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7"/>
  <sheetViews>
    <sheetView workbookViewId="0">
      <selection activeCell="C18" sqref="C18"/>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(inputPrYr!B54)</f>
        <v>Bonner Springs Ctr City Contribution</v>
      </c>
      <c r="C5" s="673" t="str">
        <f>CONCATENATE("Actual for ",E1-2,"")</f>
        <v>Actual for 2013</v>
      </c>
      <c r="D5" s="673" t="str">
        <f>CONCATENATE("Estimate for ",E1-1,"")</f>
        <v>Estimate for 2014</v>
      </c>
      <c r="E5" s="192" t="str">
        <f>CONCATENATE("Year for ",E1,"")</f>
        <v>Year for 2015</v>
      </c>
    </row>
    <row r="6" spans="2:5" x14ac:dyDescent="0.2">
      <c r="B6" s="100" t="s">
        <v>134</v>
      </c>
      <c r="C6" s="40">
        <v>0</v>
      </c>
      <c r="D6" s="148">
        <f>C30</f>
        <v>0</v>
      </c>
      <c r="E6" s="148">
        <f>D30</f>
        <v>0</v>
      </c>
    </row>
    <row r="7" spans="2:5" x14ac:dyDescent="0.2">
      <c r="B7" s="246" t="s">
        <v>136</v>
      </c>
      <c r="C7" s="148"/>
      <c r="D7" s="148"/>
      <c r="E7" s="148"/>
    </row>
    <row r="8" spans="2:5" x14ac:dyDescent="0.2">
      <c r="B8" s="259" t="s">
        <v>1094</v>
      </c>
      <c r="C8" s="40">
        <v>20977</v>
      </c>
      <c r="D8" s="40">
        <v>33000</v>
      </c>
      <c r="E8" s="40">
        <v>33000</v>
      </c>
    </row>
    <row r="9" spans="2:5" x14ac:dyDescent="0.2">
      <c r="B9" s="259"/>
      <c r="C9" s="40"/>
      <c r="D9" s="40"/>
      <c r="E9" s="40"/>
    </row>
    <row r="10" spans="2:5" x14ac:dyDescent="0.2">
      <c r="B10" s="259"/>
      <c r="C10" s="40"/>
      <c r="D10" s="40"/>
      <c r="E10" s="40"/>
    </row>
    <row r="11" spans="2:5" x14ac:dyDescent="0.2">
      <c r="B11" s="259"/>
      <c r="C11" s="40"/>
      <c r="D11" s="40"/>
      <c r="E11" s="40"/>
    </row>
    <row r="12" spans="2:5" x14ac:dyDescent="0.2">
      <c r="B12" s="277" t="s">
        <v>18</v>
      </c>
      <c r="C12" s="40"/>
      <c r="D12" s="40"/>
      <c r="E12" s="40"/>
    </row>
    <row r="13" spans="2:5" x14ac:dyDescent="0.2">
      <c r="B13" s="150" t="s">
        <v>127</v>
      </c>
      <c r="C13" s="40"/>
      <c r="D13" s="276"/>
      <c r="E13" s="276"/>
    </row>
    <row r="14" spans="2:5" x14ac:dyDescent="0.2">
      <c r="B14" s="150" t="s">
        <v>609</v>
      </c>
      <c r="C14" s="475" t="str">
        <f>IF(C15*0.1&lt;C13,"Exceed 10% Rule","")</f>
        <v/>
      </c>
      <c r="D14" s="278" t="str">
        <f>IF(D15*0.1&lt;D13,"Exceed 10% Rule","")</f>
        <v/>
      </c>
      <c r="E14" s="278" t="str">
        <f>IF(E15*0.1&lt;E13,"Exceed 10% Rule","")</f>
        <v/>
      </c>
    </row>
    <row r="15" spans="2:5" x14ac:dyDescent="0.2">
      <c r="B15" s="256" t="s">
        <v>47</v>
      </c>
      <c r="C15" s="279">
        <f>SUM(C8:C13)</f>
        <v>20977</v>
      </c>
      <c r="D15" s="279">
        <f>SUM(D8:D13)</f>
        <v>33000</v>
      </c>
      <c r="E15" s="279">
        <f>SUM(E8:E13)</f>
        <v>33000</v>
      </c>
    </row>
    <row r="16" spans="2:5" x14ac:dyDescent="0.2">
      <c r="B16" s="256" t="s">
        <v>48</v>
      </c>
      <c r="C16" s="279">
        <f>C6+C15</f>
        <v>20977</v>
      </c>
      <c r="D16" s="279">
        <f>D6+D15</f>
        <v>33000</v>
      </c>
      <c r="E16" s="279">
        <f>E6+E15</f>
        <v>33000</v>
      </c>
    </row>
    <row r="17" spans="2:5" x14ac:dyDescent="0.2">
      <c r="B17" s="100" t="s">
        <v>49</v>
      </c>
      <c r="C17" s="148"/>
      <c r="D17" s="148"/>
      <c r="E17" s="148"/>
    </row>
    <row r="18" spans="2:5" x14ac:dyDescent="0.2">
      <c r="B18" s="259" t="s">
        <v>1075</v>
      </c>
      <c r="C18" s="40">
        <v>20977</v>
      </c>
      <c r="D18" s="40">
        <v>33000</v>
      </c>
      <c r="E18" s="40">
        <v>33000</v>
      </c>
    </row>
    <row r="19" spans="2:5" x14ac:dyDescent="0.2">
      <c r="B19" s="259" t="s">
        <v>18</v>
      </c>
      <c r="C19" s="40"/>
      <c r="D19" s="40"/>
      <c r="E19" s="40"/>
    </row>
    <row r="20" spans="2:5" x14ac:dyDescent="0.2">
      <c r="B20" s="259"/>
      <c r="C20" s="40"/>
      <c r="D20" s="40"/>
      <c r="E20" s="40"/>
    </row>
    <row r="21" spans="2:5" x14ac:dyDescent="0.2">
      <c r="B21" s="259"/>
      <c r="C21" s="40"/>
      <c r="D21" s="40"/>
      <c r="E21" s="40"/>
    </row>
    <row r="22" spans="2:5" x14ac:dyDescent="0.2">
      <c r="B22" s="259"/>
      <c r="C22" s="40"/>
      <c r="D22" s="40"/>
      <c r="E22" s="40"/>
    </row>
    <row r="23" spans="2:5" x14ac:dyDescent="0.2">
      <c r="B23" s="259"/>
      <c r="C23" s="40"/>
      <c r="D23" s="40"/>
      <c r="E23" s="40"/>
    </row>
    <row r="24" spans="2:5" x14ac:dyDescent="0.2">
      <c r="B24" s="259"/>
      <c r="C24" s="40"/>
      <c r="D24" s="40"/>
      <c r="E24" s="40"/>
    </row>
    <row r="25" spans="2:5" x14ac:dyDescent="0.2">
      <c r="B25" s="259"/>
      <c r="C25" s="40"/>
      <c r="D25" s="40"/>
      <c r="E25" s="40"/>
    </row>
    <row r="26" spans="2:5" x14ac:dyDescent="0.2">
      <c r="B26" s="259"/>
      <c r="C26" s="40"/>
      <c r="D26" s="40"/>
      <c r="E26" s="40"/>
    </row>
    <row r="27" spans="2:5" x14ac:dyDescent="0.2">
      <c r="B27" s="150" t="s">
        <v>127</v>
      </c>
      <c r="C27" s="40"/>
      <c r="D27" s="276"/>
      <c r="E27" s="276"/>
    </row>
    <row r="28" spans="2:5" x14ac:dyDescent="0.2">
      <c r="B28" s="150" t="s">
        <v>610</v>
      </c>
      <c r="C28" s="475" t="str">
        <f>IF(C29*0.1&lt;C27,"Exceed 10% Rule","")</f>
        <v/>
      </c>
      <c r="D28" s="278" t="str">
        <f>IF(D29*0.1&lt;D27,"Exceed 10% Rule","")</f>
        <v/>
      </c>
      <c r="E28" s="278" t="str">
        <f>IF(E29*0.1&lt;E27,"Exceed 10% Rule","")</f>
        <v/>
      </c>
    </row>
    <row r="29" spans="2:5" x14ac:dyDescent="0.2">
      <c r="B29" s="256" t="s">
        <v>50</v>
      </c>
      <c r="C29" s="279">
        <f>SUM(C18:C27)</f>
        <v>20977</v>
      </c>
      <c r="D29" s="279">
        <f>SUM(D18:D27)</f>
        <v>33000</v>
      </c>
      <c r="E29" s="279">
        <f>SUM(E18:E27)</f>
        <v>33000</v>
      </c>
    </row>
    <row r="30" spans="2:5" x14ac:dyDescent="0.2">
      <c r="B30" s="100" t="s">
        <v>135</v>
      </c>
      <c r="C30" s="47">
        <f>C16-C29</f>
        <v>0</v>
      </c>
      <c r="D30" s="47">
        <f>D16-D29</f>
        <v>0</v>
      </c>
      <c r="E30" s="47">
        <f>E16-E29</f>
        <v>0</v>
      </c>
    </row>
    <row r="31" spans="2:5" x14ac:dyDescent="0.2">
      <c r="B31" s="625" t="str">
        <f>CONCATENATE("",E1-2,"/",E1-1,"/",E1," Budget Authority Amount:")</f>
        <v>2013/2014/2015 Budget Authority Amount:</v>
      </c>
      <c r="C31" s="249">
        <f>inputOth!B99</f>
        <v>33000</v>
      </c>
      <c r="D31" s="249">
        <f>inputPrYr!D54</f>
        <v>33000</v>
      </c>
      <c r="E31" s="626">
        <f>E29</f>
        <v>33000</v>
      </c>
    </row>
    <row r="32" spans="2:5" x14ac:dyDescent="0.2">
      <c r="B32" s="675"/>
      <c r="C32" s="262" t="str">
        <f>IF(C29&gt;C31,"See Tab A","")</f>
        <v/>
      </c>
      <c r="D32" s="262" t="str">
        <f>IF(D29&gt;D31,"See Tab C","")</f>
        <v/>
      </c>
      <c r="E32" s="627" t="str">
        <f>IF(E30&lt;0,"See Tab E","")</f>
        <v/>
      </c>
    </row>
    <row r="33" spans="2:5" x14ac:dyDescent="0.2">
      <c r="B33" s="675"/>
      <c r="C33" s="262" t="str">
        <f>IF(C30&lt;0,"See Tab B","")</f>
        <v/>
      </c>
      <c r="D33" s="262" t="str">
        <f>IF(D30&lt;0,"See Tab D","")</f>
        <v/>
      </c>
      <c r="E33" s="281"/>
    </row>
    <row r="34" spans="2:5" x14ac:dyDescent="0.2">
      <c r="B34" s="20"/>
      <c r="C34" s="281"/>
      <c r="D34" s="281"/>
      <c r="E34" s="281"/>
    </row>
    <row r="35" spans="2:5" x14ac:dyDescent="0.2">
      <c r="B35" s="675"/>
      <c r="C35" s="262"/>
      <c r="D35" s="262"/>
      <c r="E35" s="706"/>
    </row>
    <row r="36" spans="2:5" x14ac:dyDescent="0.2">
      <c r="B36" s="20"/>
      <c r="C36" s="20"/>
      <c r="D36" s="20"/>
      <c r="E36" s="20"/>
    </row>
    <row r="37" spans="2:5" x14ac:dyDescent="0.2">
      <c r="B37" s="675" t="s">
        <v>53</v>
      </c>
      <c r="C37" s="266">
        <v>22</v>
      </c>
      <c r="D37" s="20"/>
      <c r="E37" s="20"/>
    </row>
  </sheetData>
  <sheetProtection sheet="1" objects="1" scenarios="1"/>
  <conditionalFormatting sqref="C27">
    <cfRule type="cellIs" dxfId="48" priority="7" stopIfTrue="1" operator="greaterThan">
      <formula>$C$29*0.1</formula>
    </cfRule>
  </conditionalFormatting>
  <conditionalFormatting sqref="D27">
    <cfRule type="cellIs" dxfId="47" priority="8" stopIfTrue="1" operator="greaterThan">
      <formula>$D$29*0.1</formula>
    </cfRule>
  </conditionalFormatting>
  <conditionalFormatting sqref="E27">
    <cfRule type="cellIs" dxfId="46" priority="9" stopIfTrue="1" operator="greaterThan">
      <formula>$E$29*0.1</formula>
    </cfRule>
  </conditionalFormatting>
  <conditionalFormatting sqref="C13">
    <cfRule type="cellIs" dxfId="45" priority="10" stopIfTrue="1" operator="greaterThan">
      <formula>$C$15*0.1</formula>
    </cfRule>
  </conditionalFormatting>
  <conditionalFormatting sqref="D13">
    <cfRule type="cellIs" dxfId="44" priority="11" stopIfTrue="1" operator="greaterThan">
      <formula>$D$15*0.1</formula>
    </cfRule>
  </conditionalFormatting>
  <conditionalFormatting sqref="E13">
    <cfRule type="cellIs" dxfId="43" priority="12" stopIfTrue="1" operator="greaterThan">
      <formula>$E$15*0.1</formula>
    </cfRule>
  </conditionalFormatting>
  <conditionalFormatting sqref="E30 C30">
    <cfRule type="cellIs" dxfId="42" priority="13" stopIfTrue="1" operator="lessThan">
      <formula>0</formula>
    </cfRule>
  </conditionalFormatting>
  <conditionalFormatting sqref="C29">
    <cfRule type="cellIs" dxfId="41" priority="14" stopIfTrue="1" operator="greaterThan">
      <formula>$C$31</formula>
    </cfRule>
  </conditionalFormatting>
  <conditionalFormatting sqref="D29">
    <cfRule type="cellIs" dxfId="40" priority="15" stopIfTrue="1" operator="greaterThan">
      <formula>$D$31</formula>
    </cfRule>
  </conditionalFormatting>
  <conditionalFormatting sqref="D30">
    <cfRule type="cellIs" dxfId="39" priority="1" stopIfTrue="1" operator="lessThan">
      <formula>0</formula>
    </cfRule>
  </conditionalFormatting>
  <printOptions horizontalCentered="1" verticalCentered="1"/>
  <pageMargins left="0.7" right="0.7" top="0.75" bottom="0.75" header="0.3" footer="0.3"/>
  <pageSetup scale="80"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workbookViewId="0">
      <selection activeCell="D17" sqref="D17"/>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(inputPrYr!B55)</f>
        <v>Enterprise Fund - Solid Waste</v>
      </c>
      <c r="C5" s="673" t="str">
        <f>CONCATENATE("Actual for ",E1-2,"")</f>
        <v>Actual for 2013</v>
      </c>
      <c r="D5" s="673" t="str">
        <f>CONCATENATE("Estimate for ",E1-1,"")</f>
        <v>Estimate for 2014</v>
      </c>
      <c r="E5" s="192" t="str">
        <f>CONCATENATE("Year for ",E1,"")</f>
        <v>Year for 2015</v>
      </c>
    </row>
    <row r="6" spans="2:5" x14ac:dyDescent="0.2">
      <c r="B6" s="100" t="s">
        <v>134</v>
      </c>
      <c r="C6" s="40">
        <v>102546</v>
      </c>
      <c r="D6" s="148">
        <f>C24</f>
        <v>102648</v>
      </c>
      <c r="E6" s="148">
        <f>D24</f>
        <v>97302</v>
      </c>
    </row>
    <row r="7" spans="2:5" x14ac:dyDescent="0.2">
      <c r="B7" s="246" t="s">
        <v>136</v>
      </c>
      <c r="C7" s="148"/>
      <c r="D7" s="148"/>
      <c r="E7" s="148"/>
    </row>
    <row r="8" spans="2:5" x14ac:dyDescent="0.2">
      <c r="B8" s="259" t="s">
        <v>1189</v>
      </c>
      <c r="C8" s="40">
        <v>329850</v>
      </c>
      <c r="D8" s="40">
        <v>370064</v>
      </c>
      <c r="E8" s="40">
        <v>402288</v>
      </c>
    </row>
    <row r="9" spans="2:5" x14ac:dyDescent="0.2">
      <c r="B9" s="259" t="s">
        <v>1190</v>
      </c>
      <c r="C9" s="40">
        <v>4456</v>
      </c>
      <c r="D9" s="40">
        <v>4200</v>
      </c>
      <c r="E9" s="40">
        <v>4200</v>
      </c>
    </row>
    <row r="10" spans="2:5" x14ac:dyDescent="0.2">
      <c r="B10" s="259" t="s">
        <v>1137</v>
      </c>
      <c r="C10" s="40">
        <v>749</v>
      </c>
      <c r="D10" s="40">
        <v>0</v>
      </c>
      <c r="E10" s="40">
        <v>0</v>
      </c>
    </row>
    <row r="11" spans="2:5" x14ac:dyDescent="0.2">
      <c r="B11" s="259" t="s">
        <v>1191</v>
      </c>
      <c r="C11" s="40">
        <v>292</v>
      </c>
      <c r="D11" s="40">
        <v>300</v>
      </c>
      <c r="E11" s="40">
        <v>300</v>
      </c>
    </row>
    <row r="12" spans="2:5" x14ac:dyDescent="0.2">
      <c r="B12" s="277" t="s">
        <v>82</v>
      </c>
      <c r="C12" s="40">
        <v>190</v>
      </c>
      <c r="D12" s="40">
        <v>200</v>
      </c>
      <c r="E12" s="40">
        <v>200</v>
      </c>
    </row>
    <row r="13" spans="2:5" x14ac:dyDescent="0.2">
      <c r="B13" s="150" t="s">
        <v>127</v>
      </c>
      <c r="C13" s="40"/>
      <c r="D13" s="276"/>
      <c r="E13" s="276"/>
    </row>
    <row r="14" spans="2:5" x14ac:dyDescent="0.2">
      <c r="B14" s="150" t="s">
        <v>609</v>
      </c>
      <c r="C14" s="475" t="str">
        <f>IF(C15*0.1&lt;C13,"Exceed 10% Rule","")</f>
        <v/>
      </c>
      <c r="D14" s="278" t="str">
        <f>IF(D15*0.1&lt;D13,"Exceed 10% Rule","")</f>
        <v/>
      </c>
      <c r="E14" s="278" t="str">
        <f>IF(E15*0.1&lt;E13,"Exceed 10% Rule","")</f>
        <v/>
      </c>
    </row>
    <row r="15" spans="2:5" x14ac:dyDescent="0.2">
      <c r="B15" s="256" t="s">
        <v>47</v>
      </c>
      <c r="C15" s="279">
        <f>SUM(C8:C13)</f>
        <v>335537</v>
      </c>
      <c r="D15" s="279">
        <f>SUM(D8:D13)</f>
        <v>374764</v>
      </c>
      <c r="E15" s="279">
        <f>SUM(E8:E13)</f>
        <v>406988</v>
      </c>
    </row>
    <row r="16" spans="2:5" x14ac:dyDescent="0.2">
      <c r="B16" s="256" t="s">
        <v>48</v>
      </c>
      <c r="C16" s="279">
        <f>C6+C15</f>
        <v>438083</v>
      </c>
      <c r="D16" s="279">
        <f>D6+D15</f>
        <v>477412</v>
      </c>
      <c r="E16" s="279">
        <f>E6+E15</f>
        <v>504290</v>
      </c>
    </row>
    <row r="17" spans="2:5" x14ac:dyDescent="0.2">
      <c r="B17" s="100" t="s">
        <v>49</v>
      </c>
      <c r="C17" s="148"/>
      <c r="D17" s="148"/>
      <c r="E17" s="148"/>
    </row>
    <row r="18" spans="2:5" x14ac:dyDescent="0.2">
      <c r="B18" s="259" t="s">
        <v>1075</v>
      </c>
      <c r="C18" s="40">
        <v>324804</v>
      </c>
      <c r="D18" s="40">
        <v>365610</v>
      </c>
      <c r="E18" s="40">
        <v>396180</v>
      </c>
    </row>
    <row r="19" spans="2:5" x14ac:dyDescent="0.2">
      <c r="B19" s="259" t="s">
        <v>1076</v>
      </c>
      <c r="C19" s="40">
        <v>131</v>
      </c>
      <c r="D19" s="40">
        <v>4000</v>
      </c>
      <c r="E19" s="40">
        <v>50000</v>
      </c>
    </row>
    <row r="20" spans="2:5" x14ac:dyDescent="0.2">
      <c r="B20" s="259" t="s">
        <v>1192</v>
      </c>
      <c r="C20" s="40">
        <v>10500</v>
      </c>
      <c r="D20" s="40">
        <v>10500</v>
      </c>
      <c r="E20" s="40">
        <v>11000</v>
      </c>
    </row>
    <row r="21" spans="2:5" x14ac:dyDescent="0.2">
      <c r="B21" s="150" t="s">
        <v>127</v>
      </c>
      <c r="C21" s="40"/>
      <c r="D21" s="276"/>
      <c r="E21" s="276"/>
    </row>
    <row r="22" spans="2:5" x14ac:dyDescent="0.2">
      <c r="B22" s="150" t="s">
        <v>610</v>
      </c>
      <c r="C22" s="475" t="str">
        <f>IF(C23*0.1&lt;C21,"Exceed 10% Rule","")</f>
        <v/>
      </c>
      <c r="D22" s="278" t="str">
        <f>IF(D23*0.1&lt;D21,"Exceed 10% Rule","")</f>
        <v/>
      </c>
      <c r="E22" s="278" t="str">
        <f>IF(E23*0.1&lt;E21,"Exceed 10% Rule","")</f>
        <v/>
      </c>
    </row>
    <row r="23" spans="2:5" x14ac:dyDescent="0.2">
      <c r="B23" s="256" t="s">
        <v>50</v>
      </c>
      <c r="C23" s="279">
        <f>SUM(C18:C21)</f>
        <v>335435</v>
      </c>
      <c r="D23" s="279">
        <f>SUM(D18:D21)</f>
        <v>380110</v>
      </c>
      <c r="E23" s="279">
        <f>SUM(E18:E21)</f>
        <v>457180</v>
      </c>
    </row>
    <row r="24" spans="2:5" x14ac:dyDescent="0.2">
      <c r="B24" s="100" t="s">
        <v>135</v>
      </c>
      <c r="C24" s="47">
        <f>C16-C23</f>
        <v>102648</v>
      </c>
      <c r="D24" s="47">
        <f>D16-D23</f>
        <v>97302</v>
      </c>
      <c r="E24" s="47">
        <f>E16-E23</f>
        <v>47110</v>
      </c>
    </row>
    <row r="25" spans="2:5" x14ac:dyDescent="0.2">
      <c r="B25" s="625" t="str">
        <f>CONCATENATE("",E1-2,"/",E1-1,"/",E1," Budget Authority Amount:")</f>
        <v>2013/2014/2015 Budget Authority Amount:</v>
      </c>
      <c r="C25" s="249">
        <f>inputOth!B100</f>
        <v>338184</v>
      </c>
      <c r="D25" s="249">
        <f>inputPrYr!D55</f>
        <v>380110</v>
      </c>
      <c r="E25" s="626">
        <f>E23</f>
        <v>457180</v>
      </c>
    </row>
    <row r="26" spans="2:5" x14ac:dyDescent="0.2">
      <c r="B26" s="675"/>
      <c r="C26" s="262" t="str">
        <f>IF(C23&gt;C25,"See Tab A","")</f>
        <v/>
      </c>
      <c r="D26" s="262" t="str">
        <f>IF(D23&gt;D25,"See Tab C","")</f>
        <v/>
      </c>
      <c r="E26" s="627" t="str">
        <f>IF(E24&lt;0,"See Tab E","")</f>
        <v/>
      </c>
    </row>
    <row r="27" spans="2:5" x14ac:dyDescent="0.2">
      <c r="B27" s="675"/>
      <c r="C27" s="262" t="str">
        <f>IF(C24&lt;0,"See Tab B","")</f>
        <v/>
      </c>
      <c r="D27" s="262" t="str">
        <f>IF(D24&lt;0,"See Tab D","")</f>
        <v/>
      </c>
      <c r="E27" s="281"/>
    </row>
    <row r="28" spans="2:5" x14ac:dyDescent="0.2">
      <c r="B28" s="20"/>
      <c r="C28" s="281"/>
      <c r="D28" s="281"/>
      <c r="E28" s="281"/>
    </row>
    <row r="29" spans="2:5" x14ac:dyDescent="0.2">
      <c r="B29" s="22" t="s">
        <v>41</v>
      </c>
      <c r="C29" s="552" t="s">
        <v>792</v>
      </c>
      <c r="D29" s="135" t="s">
        <v>793</v>
      </c>
      <c r="E29" s="135" t="s">
        <v>794</v>
      </c>
    </row>
    <row r="30" spans="2:5" x14ac:dyDescent="0.2">
      <c r="B30" s="484" t="str">
        <f>(inputPrYr!B56)</f>
        <v>Enterprise Fund - Storm Water</v>
      </c>
      <c r="C30" s="192" t="str">
        <f>C5</f>
        <v>Actual for 2013</v>
      </c>
      <c r="D30" s="192" t="str">
        <f>D5</f>
        <v>Estimate for 2014</v>
      </c>
      <c r="E30" s="192" t="str">
        <f>E5</f>
        <v>Year for 2015</v>
      </c>
    </row>
    <row r="31" spans="2:5" x14ac:dyDescent="0.2">
      <c r="B31" s="100" t="s">
        <v>134</v>
      </c>
      <c r="C31" s="40">
        <v>194193</v>
      </c>
      <c r="D31" s="148">
        <f>C49</f>
        <v>188157</v>
      </c>
      <c r="E31" s="148">
        <f>D49</f>
        <v>158659</v>
      </c>
    </row>
    <row r="32" spans="2:5" x14ac:dyDescent="0.2">
      <c r="B32" s="246" t="s">
        <v>136</v>
      </c>
      <c r="C32" s="148"/>
      <c r="D32" s="148"/>
      <c r="E32" s="148"/>
    </row>
    <row r="33" spans="2:5" x14ac:dyDescent="0.2">
      <c r="B33" s="259" t="s">
        <v>1193</v>
      </c>
      <c r="C33" s="40">
        <v>90243</v>
      </c>
      <c r="D33" s="40">
        <v>89500</v>
      </c>
      <c r="E33" s="40">
        <v>90000</v>
      </c>
    </row>
    <row r="34" spans="2:5" x14ac:dyDescent="0.2">
      <c r="B34" s="259" t="s">
        <v>1190</v>
      </c>
      <c r="C34" s="40">
        <v>1116</v>
      </c>
      <c r="D34" s="40">
        <v>1000</v>
      </c>
      <c r="E34" s="40">
        <v>925</v>
      </c>
    </row>
    <row r="35" spans="2:5" x14ac:dyDescent="0.2">
      <c r="B35" s="259" t="s">
        <v>82</v>
      </c>
      <c r="C35" s="40">
        <v>432</v>
      </c>
      <c r="D35" s="40">
        <v>380</v>
      </c>
      <c r="E35" s="40">
        <v>450</v>
      </c>
    </row>
    <row r="36" spans="2:5" x14ac:dyDescent="0.2">
      <c r="B36" s="277" t="s">
        <v>18</v>
      </c>
      <c r="C36" s="40"/>
      <c r="D36" s="40"/>
      <c r="E36" s="40"/>
    </row>
    <row r="37" spans="2:5" x14ac:dyDescent="0.2">
      <c r="B37" s="150" t="s">
        <v>127</v>
      </c>
      <c r="C37" s="40"/>
      <c r="D37" s="40"/>
      <c r="E37" s="40"/>
    </row>
    <row r="38" spans="2:5" x14ac:dyDescent="0.2">
      <c r="B38" s="150" t="s">
        <v>609</v>
      </c>
      <c r="C38" s="475" t="str">
        <f>IF(C39*0.1&lt;C37,"Exceed 10% Rule","")</f>
        <v/>
      </c>
      <c r="D38" s="278" t="str">
        <f>IF(D39*0.1&lt;D37,"Exceed 10% Rule","")</f>
        <v/>
      </c>
      <c r="E38" s="278" t="str">
        <f>IF(E39*0.1&lt;E37,"Exceed 10% Rule","")</f>
        <v/>
      </c>
    </row>
    <row r="39" spans="2:5" x14ac:dyDescent="0.2">
      <c r="B39" s="256" t="s">
        <v>47</v>
      </c>
      <c r="C39" s="279">
        <f>SUM(C33:C37)</f>
        <v>91791</v>
      </c>
      <c r="D39" s="279">
        <f>SUM(D33:D37)</f>
        <v>90880</v>
      </c>
      <c r="E39" s="279">
        <f>SUM(E33:E37)</f>
        <v>91375</v>
      </c>
    </row>
    <row r="40" spans="2:5" x14ac:dyDescent="0.2">
      <c r="B40" s="256" t="s">
        <v>48</v>
      </c>
      <c r="C40" s="279">
        <f>C31+C39</f>
        <v>285984</v>
      </c>
      <c r="D40" s="279">
        <f>D31+D39</f>
        <v>279037</v>
      </c>
      <c r="E40" s="279">
        <f>E31+E39</f>
        <v>250034</v>
      </c>
    </row>
    <row r="41" spans="2:5" x14ac:dyDescent="0.2">
      <c r="B41" s="100" t="s">
        <v>49</v>
      </c>
      <c r="C41" s="148"/>
      <c r="D41" s="148"/>
      <c r="E41" s="148"/>
    </row>
    <row r="42" spans="2:5" x14ac:dyDescent="0.2">
      <c r="B42" s="259" t="s">
        <v>1075</v>
      </c>
      <c r="C42" s="40">
        <v>67884</v>
      </c>
      <c r="D42" s="40">
        <v>92250</v>
      </c>
      <c r="E42" s="40">
        <v>157500</v>
      </c>
    </row>
    <row r="43" spans="2:5" x14ac:dyDescent="0.2">
      <c r="B43" s="259" t="s">
        <v>1081</v>
      </c>
      <c r="C43" s="40">
        <v>745</v>
      </c>
      <c r="D43" s="40">
        <v>8300</v>
      </c>
      <c r="E43" s="40">
        <v>8300</v>
      </c>
    </row>
    <row r="44" spans="2:5" x14ac:dyDescent="0.2">
      <c r="B44" s="259" t="s">
        <v>1234</v>
      </c>
      <c r="C44" s="40">
        <v>9455</v>
      </c>
      <c r="D44" s="40">
        <v>0</v>
      </c>
      <c r="E44" s="40">
        <v>0</v>
      </c>
    </row>
    <row r="45" spans="2:5" x14ac:dyDescent="0.2">
      <c r="B45" s="259" t="s">
        <v>1235</v>
      </c>
      <c r="C45" s="40">
        <v>19743</v>
      </c>
      <c r="D45" s="40">
        <v>19828</v>
      </c>
      <c r="E45" s="40">
        <v>19851</v>
      </c>
    </row>
    <row r="46" spans="2:5" x14ac:dyDescent="0.2">
      <c r="B46" s="150" t="s">
        <v>127</v>
      </c>
      <c r="C46" s="40"/>
      <c r="D46" s="276"/>
      <c r="E46" s="276"/>
    </row>
    <row r="47" spans="2:5" x14ac:dyDescent="0.2">
      <c r="B47" s="150" t="s">
        <v>610</v>
      </c>
      <c r="C47" s="475" t="str">
        <f>IF(C48*0.1&lt;C46,"Exceed 10% Rule","")</f>
        <v/>
      </c>
      <c r="D47" s="278" t="str">
        <f>IF(D48*0.1&lt;D46,"Exceed 10% Rule","")</f>
        <v/>
      </c>
      <c r="E47" s="278" t="str">
        <f>IF(E48*0.1&lt;E46,"Exceed 10% Rule","")</f>
        <v/>
      </c>
    </row>
    <row r="48" spans="2:5" x14ac:dyDescent="0.2">
      <c r="B48" s="256" t="s">
        <v>50</v>
      </c>
      <c r="C48" s="279">
        <f>SUM(C42:C46)</f>
        <v>97827</v>
      </c>
      <c r="D48" s="279">
        <f>SUM(D42:D46)</f>
        <v>120378</v>
      </c>
      <c r="E48" s="279">
        <f>SUM(E42:E46)</f>
        <v>185651</v>
      </c>
    </row>
    <row r="49" spans="2:5" x14ac:dyDescent="0.2">
      <c r="B49" s="100" t="s">
        <v>135</v>
      </c>
      <c r="C49" s="47">
        <f>C40-C48</f>
        <v>188157</v>
      </c>
      <c r="D49" s="47">
        <f>D40-D48</f>
        <v>158659</v>
      </c>
      <c r="E49" s="47">
        <f>E40-E48</f>
        <v>64383</v>
      </c>
    </row>
    <row r="50" spans="2:5" x14ac:dyDescent="0.2">
      <c r="B50" s="625" t="str">
        <f>CONCATENATE("",E1-2,"/",E1-1,"/",E1," Budget Authority Amount:")</f>
        <v>2013/2014/2015 Budget Authority Amount:</v>
      </c>
      <c r="C50" s="249">
        <f>inputOth!B101</f>
        <v>110293</v>
      </c>
      <c r="D50" s="249">
        <f>inputPrYr!D56</f>
        <v>175378</v>
      </c>
      <c r="E50" s="148">
        <f>E48</f>
        <v>185651</v>
      </c>
    </row>
    <row r="51" spans="2:5" x14ac:dyDescent="0.2">
      <c r="B51" s="675"/>
      <c r="C51" s="262" t="str">
        <f>IF(C49&lt;0,"See Tab B","")</f>
        <v/>
      </c>
      <c r="D51" s="262" t="str">
        <f>IF(D49&lt;0,"See Tab D","")</f>
        <v/>
      </c>
      <c r="E51" s="20"/>
    </row>
    <row r="52" spans="2:5" x14ac:dyDescent="0.2">
      <c r="B52" s="20"/>
      <c r="C52" s="20"/>
      <c r="D52" s="20"/>
      <c r="E52" s="20"/>
    </row>
    <row r="53" spans="2:5" x14ac:dyDescent="0.2">
      <c r="B53" s="675" t="s">
        <v>53</v>
      </c>
      <c r="C53" s="266">
        <v>23</v>
      </c>
      <c r="D53" s="20"/>
      <c r="E53" s="20"/>
    </row>
  </sheetData>
  <sheetProtection sheet="1" objects="1" scenarios="1"/>
  <conditionalFormatting sqref="C46">
    <cfRule type="cellIs" dxfId="38" priority="3" stopIfTrue="1" operator="greaterThan">
      <formula>$C$48*0.1</formula>
    </cfRule>
  </conditionalFormatting>
  <conditionalFormatting sqref="D46">
    <cfRule type="cellIs" dxfId="37" priority="4" stopIfTrue="1" operator="greaterThan">
      <formula>$D$48*0.1</formula>
    </cfRule>
  </conditionalFormatting>
  <conditionalFormatting sqref="E46">
    <cfRule type="cellIs" dxfId="36" priority="5" stopIfTrue="1" operator="greaterThan">
      <formula>$E$48*0.1</formula>
    </cfRule>
  </conditionalFormatting>
  <conditionalFormatting sqref="C37">
    <cfRule type="cellIs" dxfId="35" priority="6" stopIfTrue="1" operator="greaterThan">
      <formula>$C$39*0.1</formula>
    </cfRule>
  </conditionalFormatting>
  <conditionalFormatting sqref="C21">
    <cfRule type="cellIs" dxfId="34" priority="7" stopIfTrue="1" operator="greaterThan">
      <formula>$C$23*0.1</formula>
    </cfRule>
  </conditionalFormatting>
  <conditionalFormatting sqref="D21">
    <cfRule type="cellIs" dxfId="33" priority="8" stopIfTrue="1" operator="greaterThan">
      <formula>$D$23*0.1</formula>
    </cfRule>
  </conditionalFormatting>
  <conditionalFormatting sqref="E21">
    <cfRule type="cellIs" dxfId="32" priority="9" stopIfTrue="1" operator="greaterThan">
      <formula>$E$23*0.1</formula>
    </cfRule>
  </conditionalFormatting>
  <conditionalFormatting sqref="C13">
    <cfRule type="cellIs" dxfId="31" priority="10" stopIfTrue="1" operator="greaterThan">
      <formula>$C$15*0.1</formula>
    </cfRule>
  </conditionalFormatting>
  <conditionalFormatting sqref="D13">
    <cfRule type="cellIs" dxfId="30" priority="11" stopIfTrue="1" operator="greaterThan">
      <formula>$D$15*0.1</formula>
    </cfRule>
  </conditionalFormatting>
  <conditionalFormatting sqref="E13">
    <cfRule type="cellIs" dxfId="29" priority="12" stopIfTrue="1" operator="greaterThan">
      <formula>$E$15*0.1</formula>
    </cfRule>
  </conditionalFormatting>
  <conditionalFormatting sqref="E24 C24 E49 C49">
    <cfRule type="cellIs" dxfId="28" priority="13" stopIfTrue="1" operator="lessThan">
      <formula>0</formula>
    </cfRule>
  </conditionalFormatting>
  <conditionalFormatting sqref="C23">
    <cfRule type="cellIs" dxfId="27" priority="14" stopIfTrue="1" operator="greaterThan">
      <formula>$C$25</formula>
    </cfRule>
  </conditionalFormatting>
  <conditionalFormatting sqref="D23">
    <cfRule type="cellIs" dxfId="26" priority="15" stopIfTrue="1" operator="greaterThan">
      <formula>$D$25</formula>
    </cfRule>
  </conditionalFormatting>
  <conditionalFormatting sqref="C48">
    <cfRule type="cellIs" dxfId="25" priority="16" stopIfTrue="1" operator="greaterThan">
      <formula>$C$50</formula>
    </cfRule>
  </conditionalFormatting>
  <conditionalFormatting sqref="D48">
    <cfRule type="cellIs" dxfId="24" priority="17" stopIfTrue="1" operator="greaterThan">
      <formula>$D$50</formula>
    </cfRule>
  </conditionalFormatting>
  <conditionalFormatting sqref="D37">
    <cfRule type="cellIs" dxfId="23" priority="18" stopIfTrue="1" operator="greaterThan">
      <formula>$D$39*0.1</formula>
    </cfRule>
  </conditionalFormatting>
  <conditionalFormatting sqref="E37">
    <cfRule type="cellIs" dxfId="22" priority="19" stopIfTrue="1" operator="greaterThan">
      <formula>$E$39*0.1</formula>
    </cfRule>
  </conditionalFormatting>
  <conditionalFormatting sqref="D49">
    <cfRule type="cellIs" dxfId="21" priority="2" stopIfTrue="1" operator="lessThan">
      <formula>0</formula>
    </cfRule>
  </conditionalFormatting>
  <conditionalFormatting sqref="D24">
    <cfRule type="cellIs" dxfId="20" priority="1" stopIfTrue="1" operator="lessThan">
      <formula>0</formula>
    </cfRule>
  </conditionalFormatting>
  <printOptions horizontalCentered="1" verticalCentered="1"/>
  <pageMargins left="0.7" right="0.7" top="0.5" bottom="0.5" header="0.3" footer="0.3"/>
  <pageSetup scale="8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opLeftCell="A80" workbookViewId="0">
      <selection activeCell="A72" sqref="A72"/>
    </sheetView>
  </sheetViews>
  <sheetFormatPr defaultColWidth="8.88671875" defaultRowHeight="15" x14ac:dyDescent="0.2"/>
  <cols>
    <col min="1" max="1" width="27.21875" style="75" customWidth="1"/>
    <col min="2" max="2" width="16.6640625" style="75" customWidth="1"/>
    <col min="3" max="4" width="10.77734375" style="75" customWidth="1"/>
    <col min="5" max="5" width="11.44140625" style="75" customWidth="1"/>
    <col min="6" max="6" width="10.77734375" style="75" customWidth="1"/>
    <col min="7" max="16384" width="8.88671875" style="75"/>
  </cols>
  <sheetData>
    <row r="1" spans="1:6" ht="15.75" x14ac:dyDescent="0.2">
      <c r="A1" s="76" t="str">
        <f>inputPrYr!$D$3</f>
        <v>City of Bonner Springs</v>
      </c>
      <c r="B1" s="77"/>
      <c r="C1" s="77"/>
      <c r="D1" s="77"/>
      <c r="E1" s="265">
        <f>inputPrYr!C10</f>
        <v>2015</v>
      </c>
      <c r="F1" s="77"/>
    </row>
    <row r="2" spans="1:6" x14ac:dyDescent="0.2">
      <c r="A2" s="77"/>
      <c r="B2" s="77"/>
      <c r="C2" s="77"/>
      <c r="D2" s="77"/>
      <c r="E2" s="77"/>
      <c r="F2" s="77"/>
    </row>
    <row r="3" spans="1:6" ht="15.75" x14ac:dyDescent="0.2">
      <c r="A3" s="720" t="s">
        <v>189</v>
      </c>
      <c r="B3" s="721"/>
      <c r="C3" s="721"/>
      <c r="D3" s="721"/>
      <c r="E3" s="721"/>
      <c r="F3" s="77"/>
    </row>
    <row r="4" spans="1:6" ht="15.75" x14ac:dyDescent="0.2">
      <c r="A4" s="28"/>
      <c r="B4" s="28"/>
      <c r="C4" s="28"/>
      <c r="D4" s="28"/>
      <c r="E4" s="28"/>
      <c r="F4" s="77"/>
    </row>
    <row r="5" spans="1:6" ht="15.75" x14ac:dyDescent="0.2">
      <c r="A5" s="28"/>
      <c r="B5" s="28"/>
      <c r="C5" s="28"/>
      <c r="D5" s="28"/>
      <c r="E5" s="28"/>
      <c r="F5" s="77"/>
    </row>
    <row r="6" spans="1:6" ht="15.75" x14ac:dyDescent="0.2">
      <c r="A6" s="729" t="str">
        <f>CONCATENATE("From the County Clerks ",E1," Budget Information:")</f>
        <v>From the County Clerks 2015 Budget Information:</v>
      </c>
      <c r="B6" s="730"/>
      <c r="C6" s="730"/>
      <c r="D6" s="730"/>
      <c r="E6" s="730"/>
      <c r="F6" s="730"/>
    </row>
    <row r="7" spans="1:6" ht="15.75" x14ac:dyDescent="0.2">
      <c r="A7" s="52"/>
      <c r="B7" s="731" t="str">
        <f>CONCATENATE("Assessed Valuation       for ",E1-1,"")</f>
        <v>Assessed Valuation       for 2014</v>
      </c>
      <c r="C7" s="732" t="str">
        <f>CONCATENATE("New Improvements for ",E1-1,"")</f>
        <v>New Improvements for 2014</v>
      </c>
      <c r="D7" s="734" t="str">
        <f>CONCATENATE("Personal Property excluding oil, gas, and mobile homes- ",E1-1,"")</f>
        <v>Personal Property excluding oil, gas, and mobile homes- 2014</v>
      </c>
      <c r="E7" s="736" t="str">
        <f>CONCATENATE("Property that has changed in use for ",E1-1,"")</f>
        <v>Property that has changed in use for 2014</v>
      </c>
      <c r="F7" s="738" t="str">
        <f>CONCATENATE("Personal Property excluding oil, gas, and mobile homes- ",E1-2,"")</f>
        <v>Personal Property excluding oil, gas, and mobile homes- 2013</v>
      </c>
    </row>
    <row r="8" spans="1:6" ht="15.75" x14ac:dyDescent="0.2">
      <c r="A8" s="52"/>
      <c r="B8" s="732"/>
      <c r="C8" s="732"/>
      <c r="D8" s="734"/>
      <c r="E8" s="736"/>
      <c r="F8" s="738"/>
    </row>
    <row r="9" spans="1:6" ht="15.75" x14ac:dyDescent="0.2">
      <c r="A9" s="78"/>
      <c r="B9" s="733"/>
      <c r="C9" s="733"/>
      <c r="D9" s="735"/>
      <c r="E9" s="737"/>
      <c r="F9" s="739"/>
    </row>
    <row r="10" spans="1:6" ht="15.75" x14ac:dyDescent="0.2">
      <c r="A10" s="38" t="str">
        <f>inputPrYr!D4</f>
        <v>Wyandotte County</v>
      </c>
      <c r="B10" s="49">
        <v>63822459</v>
      </c>
      <c r="C10" s="49">
        <v>385201</v>
      </c>
      <c r="D10" s="49">
        <v>1464515</v>
      </c>
      <c r="E10" s="40">
        <v>219633</v>
      </c>
      <c r="F10" s="49">
        <v>1784004</v>
      </c>
    </row>
    <row r="11" spans="1:6" ht="15.75" x14ac:dyDescent="0.2">
      <c r="A11" s="79" t="str">
        <f>inputPrYr!D6</f>
        <v>Johnson County</v>
      </c>
      <c r="B11" s="49">
        <v>5155454</v>
      </c>
      <c r="C11" s="49">
        <v>1222133</v>
      </c>
      <c r="D11" s="49">
        <v>719143</v>
      </c>
      <c r="E11" s="40">
        <v>69247</v>
      </c>
      <c r="F11" s="49">
        <v>519402</v>
      </c>
    </row>
    <row r="12" spans="1:6" ht="15.75" x14ac:dyDescent="0.2">
      <c r="A12" s="79" t="str">
        <f>inputPrYr!D7</f>
        <v>Leavenworth County</v>
      </c>
      <c r="B12" s="49">
        <v>27044</v>
      </c>
      <c r="C12" s="49">
        <v>0</v>
      </c>
      <c r="D12" s="80">
        <v>565</v>
      </c>
      <c r="E12" s="40">
        <v>0</v>
      </c>
      <c r="F12" s="49">
        <v>614</v>
      </c>
    </row>
    <row r="13" spans="1:6" ht="15.75" x14ac:dyDescent="0.2">
      <c r="A13" s="79">
        <f>inputPrYr!D8</f>
        <v>0</v>
      </c>
      <c r="B13" s="49"/>
      <c r="C13" s="49"/>
      <c r="D13" s="49"/>
      <c r="E13" s="49"/>
      <c r="F13" s="49"/>
    </row>
    <row r="14" spans="1:6" ht="15.75" x14ac:dyDescent="0.2">
      <c r="A14" s="38" t="s">
        <v>40</v>
      </c>
      <c r="B14" s="47">
        <f>SUM(B10:B13)</f>
        <v>69004957</v>
      </c>
      <c r="C14" s="47">
        <f>SUM(C10:C13)</f>
        <v>1607334</v>
      </c>
      <c r="D14" s="47">
        <f>SUM(D10:D13)</f>
        <v>2184223</v>
      </c>
      <c r="E14" s="47">
        <f>SUM(E10:E13)</f>
        <v>288880</v>
      </c>
      <c r="F14" s="47">
        <f>SUM(F10:F13)</f>
        <v>2304020</v>
      </c>
    </row>
    <row r="15" spans="1:6" ht="15.75" x14ac:dyDescent="0.2">
      <c r="A15" s="52"/>
      <c r="B15" s="24"/>
      <c r="C15" s="24"/>
      <c r="D15" s="24"/>
      <c r="E15" s="81"/>
      <c r="F15" s="77"/>
    </row>
    <row r="16" spans="1:6" ht="15.75" x14ac:dyDescent="0.2">
      <c r="A16" s="727" t="str">
        <f>CONCATENATE("Territory Added for ",E1-1,"")</f>
        <v>Territory Added for 2014</v>
      </c>
      <c r="B16" s="728"/>
      <c r="C16" s="728"/>
      <c r="D16" s="728"/>
      <c r="E16" s="81"/>
      <c r="F16" s="77"/>
    </row>
    <row r="17" spans="1:6" ht="31.5" x14ac:dyDescent="0.2">
      <c r="A17" s="79"/>
      <c r="B17" s="82" t="s">
        <v>250</v>
      </c>
      <c r="C17" s="82" t="s">
        <v>130</v>
      </c>
      <c r="D17" s="82" t="s">
        <v>131</v>
      </c>
      <c r="E17" s="81"/>
      <c r="F17" s="77"/>
    </row>
    <row r="18" spans="1:6" ht="15.75" x14ac:dyDescent="0.2">
      <c r="A18" s="38" t="str">
        <f>inputPrYr!D4</f>
        <v>Wyandotte County</v>
      </c>
      <c r="B18" s="83">
        <v>0</v>
      </c>
      <c r="C18" s="83">
        <v>0</v>
      </c>
      <c r="D18" s="83">
        <v>0</v>
      </c>
      <c r="E18" s="81"/>
      <c r="F18" s="77"/>
    </row>
    <row r="19" spans="1:6" ht="15.75" x14ac:dyDescent="0.2">
      <c r="A19" s="38" t="str">
        <f>inputPrYr!D6</f>
        <v>Johnson County</v>
      </c>
      <c r="B19" s="83">
        <v>0</v>
      </c>
      <c r="C19" s="83">
        <v>0</v>
      </c>
      <c r="D19" s="83">
        <v>0</v>
      </c>
      <c r="E19" s="81"/>
      <c r="F19" s="77"/>
    </row>
    <row r="20" spans="1:6" ht="15.75" x14ac:dyDescent="0.2">
      <c r="A20" s="38" t="str">
        <f>inputPrYr!D7</f>
        <v>Leavenworth County</v>
      </c>
      <c r="B20" s="83">
        <v>0</v>
      </c>
      <c r="C20" s="83">
        <v>0</v>
      </c>
      <c r="D20" s="83">
        <v>0</v>
      </c>
      <c r="E20" s="81"/>
      <c r="F20" s="77"/>
    </row>
    <row r="21" spans="1:6" ht="15.75" x14ac:dyDescent="0.2">
      <c r="A21" s="38">
        <f>inputPrYr!D8</f>
        <v>0</v>
      </c>
      <c r="B21" s="83"/>
      <c r="C21" s="83"/>
      <c r="D21" s="83"/>
      <c r="E21" s="81"/>
      <c r="F21" s="77"/>
    </row>
    <row r="22" spans="1:6" ht="15.75" x14ac:dyDescent="0.2">
      <c r="A22" s="38" t="s">
        <v>40</v>
      </c>
      <c r="B22" s="84">
        <f>SUM(B18:B21)</f>
        <v>0</v>
      </c>
      <c r="C22" s="84">
        <f>SUM(C18:C21)</f>
        <v>0</v>
      </c>
      <c r="D22" s="84">
        <f>SUM(D18:D21)</f>
        <v>0</v>
      </c>
      <c r="E22" s="81"/>
      <c r="F22" s="77"/>
    </row>
    <row r="23" spans="1:6" ht="15.75" x14ac:dyDescent="0.2">
      <c r="A23" s="52"/>
      <c r="B23" s="24"/>
      <c r="C23" s="24"/>
      <c r="D23" s="24"/>
      <c r="E23" s="54"/>
      <c r="F23" s="77"/>
    </row>
    <row r="24" spans="1:6" ht="15.75" x14ac:dyDescent="0.2">
      <c r="A24" s="44" t="str">
        <f>CONCATENATE("Gross earnings (intangible) tax estimate for ",E1,"")</f>
        <v>Gross earnings (intangible) tax estimate for 2015</v>
      </c>
      <c r="B24" s="45"/>
      <c r="C24" s="45"/>
      <c r="D24" s="61"/>
      <c r="E24" s="40">
        <v>0</v>
      </c>
      <c r="F24" s="77"/>
    </row>
    <row r="25" spans="1:6" ht="15.75" x14ac:dyDescent="0.2">
      <c r="A25" s="79" t="s">
        <v>214</v>
      </c>
      <c r="B25" s="66"/>
      <c r="C25" s="66"/>
      <c r="D25" s="66"/>
      <c r="E25" s="49">
        <v>0</v>
      </c>
      <c r="F25" s="77"/>
    </row>
    <row r="26" spans="1:6" ht="15.75" x14ac:dyDescent="0.2">
      <c r="A26" s="52"/>
      <c r="B26" s="24"/>
      <c r="C26" s="24"/>
      <c r="D26" s="24"/>
      <c r="E26" s="54"/>
      <c r="F26" s="77"/>
    </row>
    <row r="27" spans="1:6" ht="15.75" x14ac:dyDescent="0.2">
      <c r="A27" s="52"/>
      <c r="B27" s="24"/>
      <c r="C27" s="24"/>
      <c r="D27" s="24"/>
      <c r="E27" s="54"/>
      <c r="F27" s="77"/>
    </row>
    <row r="28" spans="1:6" ht="16.5" thickBot="1" x14ac:dyDescent="0.25">
      <c r="A28" s="747" t="str">
        <f>CONCATENATE("Actual Tax Rates for the ",E1-1," Budget:")</f>
        <v>Actual Tax Rates for the 2014 Budget:</v>
      </c>
      <c r="B28" s="748"/>
      <c r="C28" s="748"/>
      <c r="D28" s="748"/>
      <c r="E28" s="54"/>
      <c r="F28" s="77"/>
    </row>
    <row r="29" spans="1:6" ht="15.75" x14ac:dyDescent="0.2">
      <c r="A29" s="752" t="s">
        <v>28</v>
      </c>
      <c r="B29" s="753"/>
      <c r="C29" s="77"/>
      <c r="D29" s="85" t="s">
        <v>71</v>
      </c>
      <c r="E29" s="54"/>
      <c r="F29" s="77"/>
    </row>
    <row r="30" spans="1:6" ht="15.75" x14ac:dyDescent="0.2">
      <c r="A30" s="44" t="s">
        <v>14</v>
      </c>
      <c r="B30" s="45"/>
      <c r="C30" s="24"/>
      <c r="D30" s="86">
        <v>22.789000000000001</v>
      </c>
      <c r="E30" s="54"/>
      <c r="F30" s="77"/>
    </row>
    <row r="31" spans="1:6" ht="15.75" x14ac:dyDescent="0.2">
      <c r="A31" s="79" t="s">
        <v>280</v>
      </c>
      <c r="B31" s="66"/>
      <c r="C31" s="24"/>
      <c r="D31" s="87">
        <v>5.6859999999999999</v>
      </c>
      <c r="E31" s="54"/>
      <c r="F31" s="77"/>
    </row>
    <row r="32" spans="1:6" ht="15.75" x14ac:dyDescent="0.2">
      <c r="A32" s="79" t="str">
        <f>inputPrYr!B24</f>
        <v>Library</v>
      </c>
      <c r="B32" s="66"/>
      <c r="C32" s="24"/>
      <c r="D32" s="87">
        <v>5.16</v>
      </c>
      <c r="E32" s="54"/>
      <c r="F32" s="77"/>
    </row>
    <row r="33" spans="1:6" ht="15.75" x14ac:dyDescent="0.2">
      <c r="A33" s="79">
        <f>inputPrYr!B26</f>
        <v>0</v>
      </c>
      <c r="B33" s="88"/>
      <c r="C33" s="24"/>
      <c r="D33" s="89"/>
      <c r="E33" s="54"/>
      <c r="F33" s="77"/>
    </row>
    <row r="34" spans="1:6" ht="15.75" x14ac:dyDescent="0.2">
      <c r="A34" s="90"/>
      <c r="B34" s="39" t="s">
        <v>17</v>
      </c>
      <c r="C34" s="91"/>
      <c r="D34" s="62">
        <f>SUM(D30:D33)</f>
        <v>33.635000000000005</v>
      </c>
      <c r="E34" s="90" t="s">
        <v>1074</v>
      </c>
      <c r="F34" s="77"/>
    </row>
    <row r="35" spans="1:6" x14ac:dyDescent="0.2">
      <c r="A35" s="90"/>
      <c r="B35" s="90"/>
      <c r="C35" s="90"/>
      <c r="D35" s="90"/>
      <c r="E35" s="90"/>
      <c r="F35" s="77"/>
    </row>
    <row r="36" spans="1:6" ht="16.5" thickBot="1" x14ac:dyDescent="0.25">
      <c r="A36" s="749" t="str">
        <f>CONCATENATE("Final Assessed Valuation from the November 1, ",E1-2," Abstract:")</f>
        <v>Final Assessed Valuation from the November 1, 2013 Abstract:</v>
      </c>
      <c r="B36" s="750"/>
      <c r="C36" s="750"/>
      <c r="D36" s="750"/>
      <c r="E36" s="92"/>
      <c r="F36" s="77"/>
    </row>
    <row r="37" spans="1:6" ht="15.75" x14ac:dyDescent="0.2">
      <c r="A37" s="93"/>
      <c r="B37" s="77"/>
      <c r="C37" s="77"/>
      <c r="D37" s="77"/>
      <c r="E37" s="92"/>
      <c r="F37" s="77"/>
    </row>
    <row r="38" spans="1:6" ht="15.75" x14ac:dyDescent="0.2">
      <c r="A38" s="38" t="str">
        <f>inputPrYr!D4</f>
        <v>Wyandotte County</v>
      </c>
      <c r="B38" s="90"/>
      <c r="C38" s="90"/>
      <c r="D38" s="49">
        <v>62165018</v>
      </c>
      <c r="E38" s="90"/>
      <c r="F38" s="77"/>
    </row>
    <row r="39" spans="1:6" ht="15.75" x14ac:dyDescent="0.2">
      <c r="A39" s="38" t="str">
        <f>inputPrYr!D6</f>
        <v>Johnson County</v>
      </c>
      <c r="B39" s="90"/>
      <c r="C39" s="90"/>
      <c r="D39" s="49">
        <v>3325592</v>
      </c>
      <c r="E39" s="90"/>
      <c r="F39" s="77"/>
    </row>
    <row r="40" spans="1:6" ht="15.75" x14ac:dyDescent="0.2">
      <c r="A40" s="38" t="str">
        <f>inputPrYr!D7</f>
        <v>Leavenworth County</v>
      </c>
      <c r="B40" s="90"/>
      <c r="C40" s="90"/>
      <c r="D40" s="49">
        <v>27880</v>
      </c>
      <c r="E40" s="90"/>
      <c r="F40" s="77"/>
    </row>
    <row r="41" spans="1:6" ht="15.75" x14ac:dyDescent="0.2">
      <c r="A41" s="38">
        <f>inputPrYr!D8</f>
        <v>0</v>
      </c>
      <c r="B41" s="90"/>
      <c r="C41" s="90"/>
      <c r="D41" s="49"/>
      <c r="E41" s="90"/>
      <c r="F41" s="77"/>
    </row>
    <row r="42" spans="1:6" ht="15.75" x14ac:dyDescent="0.2">
      <c r="A42" s="39" t="s">
        <v>221</v>
      </c>
      <c r="B42" s="90"/>
      <c r="C42" s="90"/>
      <c r="D42" s="47">
        <f>SUM(D38:D41)</f>
        <v>65518490</v>
      </c>
      <c r="E42" s="90"/>
      <c r="F42" s="77"/>
    </row>
    <row r="43" spans="1:6" x14ac:dyDescent="0.2">
      <c r="A43" s="90"/>
      <c r="B43" s="90"/>
      <c r="C43" s="90"/>
      <c r="D43" s="90"/>
      <c r="E43" s="90"/>
      <c r="F43" s="77"/>
    </row>
    <row r="44" spans="1:6" ht="15.75" x14ac:dyDescent="0.2">
      <c r="A44" s="94" t="str">
        <f>CONCATENATE("From the County Treasurer's Budget Information - ",E1," Budget Year Estimates:")</f>
        <v>From the County Treasurer's Budget Information - 2015 Budget Year Estimates:</v>
      </c>
      <c r="B44" s="30"/>
      <c r="C44" s="30"/>
      <c r="D44" s="95"/>
      <c r="E44" s="96"/>
      <c r="F44" s="77"/>
    </row>
    <row r="45" spans="1:6" ht="15.75" x14ac:dyDescent="0.2">
      <c r="A45" s="97"/>
      <c r="B45" s="98"/>
      <c r="C45" s="742" t="s">
        <v>222</v>
      </c>
      <c r="D45" s="751" t="s">
        <v>223</v>
      </c>
      <c r="E45" s="742" t="s">
        <v>224</v>
      </c>
      <c r="F45" s="77"/>
    </row>
    <row r="46" spans="1:6" ht="15.75" x14ac:dyDescent="0.2">
      <c r="A46" s="744" t="str">
        <f>CONCATENATE("",E1," Vehicle Tax Estimates")</f>
        <v>2015 Vehicle Tax Estimates</v>
      </c>
      <c r="B46" s="745"/>
      <c r="C46" s="743"/>
      <c r="D46" s="743"/>
      <c r="E46" s="743"/>
      <c r="F46" s="77"/>
    </row>
    <row r="47" spans="1:6" ht="15.75" x14ac:dyDescent="0.2">
      <c r="A47" s="99" t="str">
        <f>inputPrYr!D4</f>
        <v>Wyandotte County</v>
      </c>
      <c r="B47" s="67"/>
      <c r="C47" s="49">
        <v>265997</v>
      </c>
      <c r="D47" s="49">
        <v>1304</v>
      </c>
      <c r="E47" s="40">
        <v>1378</v>
      </c>
      <c r="F47" s="77"/>
    </row>
    <row r="48" spans="1:6" ht="15.75" x14ac:dyDescent="0.2">
      <c r="A48" s="100" t="str">
        <f>inputPrYr!D6</f>
        <v>Johnson County</v>
      </c>
      <c r="B48" s="67"/>
      <c r="C48" s="49">
        <v>3117.75</v>
      </c>
      <c r="D48" s="49">
        <v>0</v>
      </c>
      <c r="E48" s="40">
        <v>107.6</v>
      </c>
      <c r="F48" s="77"/>
    </row>
    <row r="49" spans="1:6" ht="15.75" x14ac:dyDescent="0.2">
      <c r="A49" s="100" t="str">
        <f>inputPrYr!D7</f>
        <v>Leavenworth County</v>
      </c>
      <c r="B49" s="67"/>
      <c r="C49" s="49">
        <v>139.38999999999999</v>
      </c>
      <c r="D49" s="49">
        <v>0</v>
      </c>
      <c r="E49" s="40">
        <v>16.309999999999999</v>
      </c>
      <c r="F49" s="77"/>
    </row>
    <row r="50" spans="1:6" ht="15.75" x14ac:dyDescent="0.2">
      <c r="A50" s="100">
        <f>inputPrYr!D8</f>
        <v>0</v>
      </c>
      <c r="B50" s="67"/>
      <c r="C50" s="101"/>
      <c r="D50" s="49"/>
      <c r="E50" s="40"/>
      <c r="F50" s="77"/>
    </row>
    <row r="51" spans="1:6" ht="15.75" x14ac:dyDescent="0.2">
      <c r="A51" s="100" t="s">
        <v>225</v>
      </c>
      <c r="B51" s="67"/>
      <c r="C51" s="102">
        <f>SUM(C47:C50)</f>
        <v>269254.14</v>
      </c>
      <c r="D51" s="47">
        <f>SUM(D47:D50)</f>
        <v>1304</v>
      </c>
      <c r="E51" s="47">
        <f>SUM(E47:E50)</f>
        <v>1501.9099999999999</v>
      </c>
      <c r="F51" s="77"/>
    </row>
    <row r="52" spans="1:6" ht="15.75" x14ac:dyDescent="0.2">
      <c r="A52" s="79"/>
      <c r="B52" s="66"/>
      <c r="C52" s="66"/>
      <c r="D52" s="46"/>
      <c r="E52" s="54"/>
      <c r="F52" s="77"/>
    </row>
    <row r="53" spans="1:6" ht="15.75" x14ac:dyDescent="0.2">
      <c r="A53" s="79" t="s">
        <v>7</v>
      </c>
      <c r="B53" s="66"/>
      <c r="C53" s="66"/>
      <c r="D53" s="103"/>
      <c r="E53" s="40">
        <v>0</v>
      </c>
      <c r="F53" s="77"/>
    </row>
    <row r="54" spans="1:6" ht="15.75" x14ac:dyDescent="0.2">
      <c r="A54" s="79" t="s">
        <v>9</v>
      </c>
      <c r="B54" s="66"/>
      <c r="C54" s="66"/>
      <c r="D54" s="103"/>
      <c r="E54" s="40">
        <v>0</v>
      </c>
      <c r="F54" s="77"/>
    </row>
    <row r="55" spans="1:6" ht="15.75" x14ac:dyDescent="0.2">
      <c r="A55" s="20"/>
      <c r="B55" s="20"/>
      <c r="C55" s="20"/>
      <c r="D55" s="20"/>
      <c r="E55" s="20"/>
      <c r="F55" s="77"/>
    </row>
    <row r="56" spans="1:6" ht="15.75" x14ac:dyDescent="0.2">
      <c r="A56" s="19" t="s">
        <v>34</v>
      </c>
      <c r="B56" s="26"/>
      <c r="C56" s="26"/>
      <c r="D56" s="20"/>
      <c r="E56" s="20"/>
      <c r="F56" s="77"/>
    </row>
    <row r="57" spans="1:6" ht="15.75" x14ac:dyDescent="0.2">
      <c r="A57" s="44" t="str">
        <f>CONCATENATE("Actual Delinquency for ",E21-3," Tax - (rate .01213 = 1.213%, key in 1.2)")</f>
        <v>Actual Delinquency for -3 Tax - (rate .01213 = 1.213%, key in 1.2)</v>
      </c>
      <c r="B57" s="45"/>
      <c r="C57" s="45"/>
      <c r="D57" s="61"/>
      <c r="E57" s="556">
        <v>0</v>
      </c>
      <c r="F57" s="77"/>
    </row>
    <row r="58" spans="1:6" ht="15.75" x14ac:dyDescent="0.2">
      <c r="A58" s="44" t="s">
        <v>797</v>
      </c>
      <c r="B58" s="52"/>
      <c r="C58" s="24"/>
      <c r="D58" s="24"/>
      <c r="E58" s="557">
        <v>5.2631400000000002E-2</v>
      </c>
      <c r="F58" s="77"/>
    </row>
    <row r="59" spans="1:6" ht="15.75" x14ac:dyDescent="0.2">
      <c r="A59" s="106" t="s">
        <v>178</v>
      </c>
      <c r="B59" s="106"/>
      <c r="C59" s="107"/>
      <c r="D59" s="107"/>
      <c r="E59" s="108"/>
      <c r="F59" s="109"/>
    </row>
    <row r="60" spans="1:6" ht="15.75" x14ac:dyDescent="0.2">
      <c r="A60" s="20"/>
      <c r="B60" s="20"/>
      <c r="C60" s="20"/>
      <c r="D60" s="20"/>
      <c r="E60" s="20"/>
      <c r="F60" s="77"/>
    </row>
    <row r="61" spans="1:6" ht="15.75" x14ac:dyDescent="0.2">
      <c r="A61" s="110" t="s">
        <v>213</v>
      </c>
      <c r="B61" s="111"/>
      <c r="C61" s="112"/>
      <c r="D61" s="112"/>
      <c r="E61" s="112"/>
      <c r="F61" s="113"/>
    </row>
    <row r="62" spans="1:6" ht="15.75" x14ac:dyDescent="0.2">
      <c r="A62" s="114" t="str">
        <f>CONCATENATE("",E1," State Distribution for Kansas Gas Tax")</f>
        <v>2015 State Distribution for Kansas Gas Tax</v>
      </c>
      <c r="B62" s="115"/>
      <c r="C62" s="115"/>
      <c r="D62" s="116"/>
      <c r="E62" s="49"/>
    </row>
    <row r="63" spans="1:6" ht="15.75" x14ac:dyDescent="0.2">
      <c r="A63" s="117" t="str">
        <f>CONCATENATE("",E1," County Transfers for Gas***")</f>
        <v>2015 County Transfers for Gas***</v>
      </c>
      <c r="B63" s="118"/>
      <c r="C63" s="118"/>
      <c r="D63" s="119"/>
      <c r="E63" s="49"/>
    </row>
    <row r="64" spans="1:6" ht="15.75" x14ac:dyDescent="0.2">
      <c r="A64" s="117" t="str">
        <f>CONCATENATE("Adjusted ",E1-1," State Distribution for Kansas Gas Tax")</f>
        <v>Adjusted 2014 State Distribution for Kansas Gas Tax</v>
      </c>
      <c r="B64" s="118"/>
      <c r="C64" s="118"/>
      <c r="D64" s="119"/>
      <c r="E64" s="49"/>
    </row>
    <row r="65" spans="1:6" ht="17.25" customHeight="1" x14ac:dyDescent="0.2">
      <c r="A65" s="117" t="str">
        <f>CONCATENATE("Adjusted ",E1-1," County Transfers for Gas***")</f>
        <v>Adjusted 2014 County Transfers for Gas***</v>
      </c>
      <c r="B65" s="118"/>
      <c r="C65" s="118"/>
      <c r="D65" s="119"/>
      <c r="E65" s="49"/>
    </row>
    <row r="66" spans="1:6" ht="17.25" customHeight="1" x14ac:dyDescent="0.2">
      <c r="A66" s="746" t="s">
        <v>226</v>
      </c>
      <c r="B66" s="725"/>
      <c r="C66" s="725"/>
      <c r="D66" s="725"/>
      <c r="E66" s="725"/>
      <c r="F66" s="725"/>
    </row>
    <row r="67" spans="1:6" x14ac:dyDescent="0.2">
      <c r="A67" s="109" t="s">
        <v>227</v>
      </c>
      <c r="B67" s="109"/>
      <c r="C67" s="109"/>
      <c r="D67" s="109"/>
      <c r="E67" s="109"/>
      <c r="F67" s="109"/>
    </row>
    <row r="68" spans="1:6" x14ac:dyDescent="0.2">
      <c r="A68" s="77"/>
      <c r="B68" s="77"/>
      <c r="C68" s="77"/>
      <c r="D68" s="77"/>
      <c r="E68" s="77"/>
    </row>
    <row r="69" spans="1:6" ht="15.75" x14ac:dyDescent="0.2">
      <c r="A69" s="754" t="str">
        <f>CONCATENATE("From the ",E1-2," Budget Certificate Page")</f>
        <v>From the 2013 Budget Certificate Page</v>
      </c>
      <c r="B69" s="755"/>
      <c r="C69" s="77"/>
      <c r="D69" s="77"/>
      <c r="E69" s="77"/>
    </row>
    <row r="70" spans="1:6" ht="15.75" x14ac:dyDescent="0.2">
      <c r="A70" s="120"/>
      <c r="B70" s="120" t="str">
        <f>CONCATENATE("",E1-2," Expenditure Amts")</f>
        <v>2013 Expenditure Amts</v>
      </c>
      <c r="C70" s="740" t="str">
        <f>CONCATENATE("Note: If the ",E1-2," budget was amended, then the")</f>
        <v>Note: If the 2013 budget was amended, then the</v>
      </c>
      <c r="D70" s="741"/>
      <c r="E70" s="741"/>
    </row>
    <row r="71" spans="1:6" ht="15.75" x14ac:dyDescent="0.2">
      <c r="A71" s="121" t="s">
        <v>232</v>
      </c>
      <c r="B71" s="121" t="s">
        <v>233</v>
      </c>
      <c r="C71" s="122" t="s">
        <v>234</v>
      </c>
      <c r="D71" s="123"/>
      <c r="E71" s="123"/>
    </row>
    <row r="72" spans="1:6" ht="15.75" x14ac:dyDescent="0.2">
      <c r="A72" s="124" t="str">
        <f>inputPrYr!B22</f>
        <v>General</v>
      </c>
      <c r="B72" s="49">
        <v>7264267</v>
      </c>
      <c r="C72" s="122" t="s">
        <v>235</v>
      </c>
      <c r="D72" s="123"/>
      <c r="E72" s="123"/>
    </row>
    <row r="73" spans="1:6" ht="15.75" x14ac:dyDescent="0.2">
      <c r="A73" s="124" t="str">
        <f>inputPrYr!B23</f>
        <v>Debt Service</v>
      </c>
      <c r="B73" s="49">
        <v>3576632</v>
      </c>
      <c r="C73" s="122"/>
      <c r="D73" s="123"/>
      <c r="E73" s="123"/>
    </row>
    <row r="74" spans="1:6" ht="15.75" x14ac:dyDescent="0.2">
      <c r="A74" s="124" t="str">
        <f>inputPrYr!B24</f>
        <v>Library</v>
      </c>
      <c r="B74" s="49">
        <v>363331</v>
      </c>
      <c r="C74" s="77" t="s">
        <v>998</v>
      </c>
      <c r="D74" s="709" t="s">
        <v>1208</v>
      </c>
      <c r="E74" s="77"/>
    </row>
    <row r="75" spans="1:6" s="668" customFormat="1" ht="15.75" x14ac:dyDescent="0.2">
      <c r="A75" s="124" t="s">
        <v>995</v>
      </c>
      <c r="B75" s="49">
        <v>1294761</v>
      </c>
      <c r="C75" s="77" t="s">
        <v>998</v>
      </c>
      <c r="D75" s="709" t="s">
        <v>1209</v>
      </c>
      <c r="E75" s="77"/>
    </row>
    <row r="76" spans="1:6" s="674" customFormat="1" ht="15.75" x14ac:dyDescent="0.2">
      <c r="A76" s="124" t="s">
        <v>996</v>
      </c>
      <c r="B76" s="49">
        <v>0</v>
      </c>
      <c r="C76" s="77"/>
      <c r="D76" s="709" t="s">
        <v>1210</v>
      </c>
      <c r="E76" s="77"/>
    </row>
    <row r="77" spans="1:6" s="668" customFormat="1" ht="15.75" x14ac:dyDescent="0.2">
      <c r="A77" s="124" t="s">
        <v>993</v>
      </c>
      <c r="B77" s="49">
        <v>0</v>
      </c>
      <c r="C77" s="77"/>
      <c r="D77" s="77"/>
      <c r="E77" s="77"/>
    </row>
    <row r="78" spans="1:6" ht="15.75" x14ac:dyDescent="0.2">
      <c r="A78" s="124" t="s">
        <v>1073</v>
      </c>
      <c r="B78" s="75">
        <v>80196</v>
      </c>
      <c r="C78" s="77"/>
      <c r="D78" s="77"/>
      <c r="E78" s="77"/>
    </row>
    <row r="79" spans="1:6" ht="15.75" x14ac:dyDescent="0.2">
      <c r="A79" s="124" t="str">
        <f>[1]inputPrYr!B32</f>
        <v>Spec. Rev. Drug &amp; Alcohol</v>
      </c>
      <c r="B79" s="49">
        <v>79325</v>
      </c>
      <c r="C79" s="77"/>
      <c r="D79" s="77"/>
      <c r="E79" s="77"/>
    </row>
    <row r="80" spans="1:6" ht="15.75" x14ac:dyDescent="0.2">
      <c r="A80" s="124" t="str">
        <f>[1]inputPrYr!B33</f>
        <v>Spec. Rev. Economic Development</v>
      </c>
      <c r="B80" s="49">
        <v>11417</v>
      </c>
      <c r="C80" s="77"/>
      <c r="D80" s="77"/>
      <c r="E80" s="77"/>
    </row>
    <row r="81" spans="1:5" ht="15.75" x14ac:dyDescent="0.2">
      <c r="A81" s="124" t="str">
        <f>[1]inputPrYr!B34</f>
        <v>Spec. Rev. Emergency Services Capital</v>
      </c>
      <c r="B81" s="49">
        <v>714118</v>
      </c>
      <c r="C81" s="77"/>
      <c r="D81" s="77"/>
      <c r="E81" s="77"/>
    </row>
    <row r="82" spans="1:5" ht="15.75" x14ac:dyDescent="0.2">
      <c r="A82" s="124" t="str">
        <f>[1]inputPrYr!B35</f>
        <v>Spec. Rev. Emergency Medical Services</v>
      </c>
      <c r="B82" s="49">
        <v>554947</v>
      </c>
      <c r="C82" s="77"/>
      <c r="D82" s="77"/>
      <c r="E82" s="77"/>
    </row>
    <row r="83" spans="1:5" ht="15.75" x14ac:dyDescent="0.2">
      <c r="A83" s="124" t="str">
        <f>[1]inputPrYr!B36</f>
        <v>Spec. Rev. Library Sales Tax</v>
      </c>
      <c r="B83" s="49">
        <v>436530</v>
      </c>
      <c r="C83" s="77"/>
      <c r="D83" s="77"/>
      <c r="E83" s="77"/>
    </row>
    <row r="84" spans="1:5" ht="15.75" x14ac:dyDescent="0.2">
      <c r="A84" s="124" t="str">
        <f>[1]inputPrYr!B37</f>
        <v>Spec. Rev. Park Dedication</v>
      </c>
      <c r="B84" s="49">
        <v>0</v>
      </c>
      <c r="C84" s="77"/>
      <c r="D84" s="77"/>
      <c r="E84" s="77"/>
    </row>
    <row r="85" spans="1:5" ht="15.75" x14ac:dyDescent="0.2">
      <c r="A85" s="124" t="str">
        <f>[1]inputPrYr!B38</f>
        <v>Spec. Rev. Recreation Programs</v>
      </c>
      <c r="B85" s="49">
        <v>143695</v>
      </c>
      <c r="C85" s="77" t="s">
        <v>998</v>
      </c>
      <c r="D85" s="77"/>
      <c r="E85" s="77"/>
    </row>
    <row r="86" spans="1:5" ht="15.75" x14ac:dyDescent="0.2">
      <c r="A86" s="124" t="str">
        <f>[1]inputPrYr!B39</f>
        <v>Spec. Rev. Risk Management</v>
      </c>
      <c r="B86" s="49">
        <v>134289</v>
      </c>
      <c r="C86" s="77"/>
      <c r="D86" s="77"/>
      <c r="E86" s="77"/>
    </row>
    <row r="87" spans="1:5" ht="15.75" x14ac:dyDescent="0.2">
      <c r="A87" s="124" t="str">
        <f>[1]inputPrYr!B40</f>
        <v>Spec. Rev. Senior Center</v>
      </c>
      <c r="B87" s="49">
        <v>47450</v>
      </c>
      <c r="C87" s="77"/>
      <c r="D87" s="77"/>
      <c r="E87" s="77"/>
    </row>
    <row r="88" spans="1:5" ht="15.75" x14ac:dyDescent="0.2">
      <c r="A88" s="124" t="str">
        <f>[1]inputPrYr!B41</f>
        <v>Spec. Rev. Sidewalk Escrow</v>
      </c>
      <c r="B88" s="49">
        <v>34383</v>
      </c>
      <c r="C88" s="77"/>
      <c r="D88" s="77"/>
      <c r="E88" s="77"/>
    </row>
    <row r="89" spans="1:5" ht="15.75" x14ac:dyDescent="0.2">
      <c r="A89" s="124" t="str">
        <f>[1]inputPrYr!B42</f>
        <v>Spec. Rev. Soccer</v>
      </c>
      <c r="B89" s="75">
        <v>16218</v>
      </c>
      <c r="C89" s="75" t="s">
        <v>998</v>
      </c>
    </row>
    <row r="90" spans="1:5" ht="15.75" x14ac:dyDescent="0.2">
      <c r="A90" s="124" t="str">
        <f>[1]inputPrYr!B43</f>
        <v>Spec. Rev. Special Parks &amp; Recreation</v>
      </c>
      <c r="B90" s="75">
        <v>105400</v>
      </c>
      <c r="C90" s="75" t="s">
        <v>998</v>
      </c>
    </row>
    <row r="91" spans="1:5" ht="15.75" x14ac:dyDescent="0.2">
      <c r="A91" s="124" t="str">
        <f>[1]inputPrYr!B44</f>
        <v>Spec. Rev. Street Projects</v>
      </c>
      <c r="B91" s="75">
        <v>578912</v>
      </c>
      <c r="C91" s="75" t="s">
        <v>998</v>
      </c>
    </row>
    <row r="92" spans="1:5" ht="15.75" x14ac:dyDescent="0.2">
      <c r="A92" s="124" t="str">
        <f>[1]inputPrYr!B45</f>
        <v>Spec. Rev. Summer Ball</v>
      </c>
      <c r="B92" s="75">
        <v>42270</v>
      </c>
    </row>
    <row r="93" spans="1:5" ht="15.75" x14ac:dyDescent="0.2">
      <c r="A93" s="124" t="str">
        <f>[1]inputPrYr!B46</f>
        <v>Spec. Rev. Swimming Pool</v>
      </c>
      <c r="B93" s="75">
        <v>245645</v>
      </c>
    </row>
    <row r="94" spans="1:5" ht="15.75" x14ac:dyDescent="0.2">
      <c r="A94" s="124" t="str">
        <f>[1]inputPrYr!B47</f>
        <v>Spec. Rev. Tiblow Transit</v>
      </c>
      <c r="B94" s="75">
        <v>98846</v>
      </c>
      <c r="C94" s="75" t="s">
        <v>998</v>
      </c>
    </row>
    <row r="95" spans="1:5" ht="15.75" x14ac:dyDescent="0.2">
      <c r="A95" s="124" t="str">
        <f>[1]inputPrYr!B48</f>
        <v>Spec. Rev. TIF Develop Funds</v>
      </c>
      <c r="B95" s="75">
        <v>0</v>
      </c>
    </row>
    <row r="96" spans="1:5" ht="15.75" x14ac:dyDescent="0.2">
      <c r="A96" s="124" t="str">
        <f>[1]inputPrYr!B49</f>
        <v>Bonner Pointe TIF Increment</v>
      </c>
      <c r="B96" s="75">
        <v>140000</v>
      </c>
    </row>
    <row r="97" spans="1:3" ht="15.75" x14ac:dyDescent="0.2">
      <c r="A97" s="124" t="str">
        <f>[1]inputPrYr!B50</f>
        <v>CID Development Fees</v>
      </c>
      <c r="B97" s="75">
        <v>11190</v>
      </c>
      <c r="C97" s="75" t="s">
        <v>998</v>
      </c>
    </row>
    <row r="98" spans="1:3" ht="15.75" x14ac:dyDescent="0.2">
      <c r="A98" s="124" t="str">
        <f>[1]inputPrYr!B51</f>
        <v>Bonner Springs Center CID</v>
      </c>
      <c r="B98" s="75">
        <v>100000</v>
      </c>
    </row>
    <row r="99" spans="1:3" ht="15.75" x14ac:dyDescent="0.2">
      <c r="A99" s="124" t="str">
        <f>[1]inputPrYr!B52</f>
        <v>Bonner Springs Ctr City Contribution</v>
      </c>
      <c r="B99" s="75">
        <v>33000</v>
      </c>
    </row>
    <row r="100" spans="1:3" ht="15.75" x14ac:dyDescent="0.2">
      <c r="A100" s="124" t="str">
        <f>[1]inputPrYr!B53</f>
        <v>Enterprise Fund - Solid Waste</v>
      </c>
      <c r="B100" s="75">
        <v>338184</v>
      </c>
    </row>
    <row r="101" spans="1:3" ht="15.75" x14ac:dyDescent="0.2">
      <c r="A101" s="124" t="str">
        <f>[1]inputPrYr!B54</f>
        <v>Enterprise Fund - Storm Water</v>
      </c>
      <c r="B101" s="75">
        <v>110293</v>
      </c>
    </row>
    <row r="102" spans="1:3" ht="15.75" x14ac:dyDescent="0.2">
      <c r="A102" s="124" t="str">
        <f>[1]inputPrYr!B55</f>
        <v>Enterprise Fund - Waste Water</v>
      </c>
      <c r="B102" s="75">
        <v>1481719</v>
      </c>
    </row>
    <row r="103" spans="1:3" ht="15.75" x14ac:dyDescent="0.2">
      <c r="A103" s="124" t="str">
        <f>[1]inputPrYr!B56</f>
        <v>Enterprise Fund - Water</v>
      </c>
      <c r="B103" s="75">
        <v>1975601</v>
      </c>
      <c r="C103" s="75" t="s">
        <v>998</v>
      </c>
    </row>
    <row r="104" spans="1:3" ht="15.75" x14ac:dyDescent="0.2">
      <c r="A104" s="124" t="str">
        <f>[1]inputPrYr!B57</f>
        <v>Non Budgeted Funds</v>
      </c>
      <c r="B104" s="75">
        <v>0</v>
      </c>
    </row>
    <row r="105" spans="1:3" ht="15.75" x14ac:dyDescent="0.2">
      <c r="A105" s="124">
        <f>[1]inputPrYr!B58</f>
        <v>0</v>
      </c>
    </row>
    <row r="106" spans="1:3" ht="15.75" x14ac:dyDescent="0.2">
      <c r="A106" s="124">
        <f>[1]inputPrYr!B59</f>
        <v>0</v>
      </c>
    </row>
  </sheetData>
  <sheetProtection sheet="1" objects="1" scenarios="1"/>
  <mergeCells count="18">
    <mergeCell ref="C70:E70"/>
    <mergeCell ref="E45:E46"/>
    <mergeCell ref="A46:B46"/>
    <mergeCell ref="A66:F66"/>
    <mergeCell ref="A28:D28"/>
    <mergeCell ref="A36:D36"/>
    <mergeCell ref="C45:C46"/>
    <mergeCell ref="D45:D46"/>
    <mergeCell ref="A29:B29"/>
    <mergeCell ref="A69:B69"/>
    <mergeCell ref="A16:D16"/>
    <mergeCell ref="A3:E3"/>
    <mergeCell ref="A6:F6"/>
    <mergeCell ref="B7:B9"/>
    <mergeCell ref="C7:C9"/>
    <mergeCell ref="D7:D9"/>
    <mergeCell ref="E7:E9"/>
    <mergeCell ref="F7:F9"/>
  </mergeCells>
  <phoneticPr fontId="10" type="noConversion"/>
  <printOptions headings="1"/>
  <pageMargins left="0.75" right="0.75" top="1" bottom="1" header="0.5" footer="0.5"/>
  <pageSetup paperSize="17" scale="3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workbookViewId="0">
      <selection activeCell="H10" sqref="H10"/>
    </sheetView>
  </sheetViews>
  <sheetFormatPr defaultColWidth="8.88671875" defaultRowHeight="15.75" x14ac:dyDescent="0.2"/>
  <cols>
    <col min="1" max="1" width="2.44140625" style="16" customWidth="1"/>
    <col min="2" max="2" width="31.4414062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(inputPrYr!B57)</f>
        <v>Enterprise Fund - Waste Water</v>
      </c>
      <c r="C5" s="673" t="str">
        <f>CONCATENATE("Actual for ",E1-2,"")</f>
        <v>Actual for 2013</v>
      </c>
      <c r="D5" s="673" t="str">
        <f>CONCATENATE("Estimate for ",E1-1,"")</f>
        <v>Estimate for 2014</v>
      </c>
      <c r="E5" s="192" t="str">
        <f>CONCATENATE("Year for ",E1,"")</f>
        <v>Year for 2015</v>
      </c>
    </row>
    <row r="6" spans="2:5" x14ac:dyDescent="0.2">
      <c r="B6" s="100" t="s">
        <v>134</v>
      </c>
      <c r="C6" s="40">
        <v>875567</v>
      </c>
      <c r="D6" s="148">
        <f>C34</f>
        <v>877290</v>
      </c>
      <c r="E6" s="148">
        <f>D34</f>
        <v>638783</v>
      </c>
    </row>
    <row r="7" spans="2:5" x14ac:dyDescent="0.2">
      <c r="B7" s="246" t="s">
        <v>136</v>
      </c>
      <c r="C7" s="148"/>
      <c r="D7" s="148"/>
      <c r="E7" s="148"/>
    </row>
    <row r="8" spans="2:5" x14ac:dyDescent="0.2">
      <c r="B8" s="259" t="s">
        <v>1189</v>
      </c>
      <c r="C8" s="40">
        <v>1317431</v>
      </c>
      <c r="D8" s="40">
        <v>1375000</v>
      </c>
      <c r="E8" s="40">
        <v>1470000</v>
      </c>
    </row>
    <row r="9" spans="2:5" x14ac:dyDescent="0.2">
      <c r="B9" s="259" t="s">
        <v>1194</v>
      </c>
      <c r="C9" s="40">
        <v>42186</v>
      </c>
      <c r="D9" s="40">
        <v>40000</v>
      </c>
      <c r="E9" s="40">
        <v>40000</v>
      </c>
    </row>
    <row r="10" spans="2:5" x14ac:dyDescent="0.2">
      <c r="B10" s="259" t="s">
        <v>1195</v>
      </c>
      <c r="C10" s="40">
        <v>78025</v>
      </c>
      <c r="D10" s="40">
        <v>40000</v>
      </c>
      <c r="E10" s="40">
        <v>50000</v>
      </c>
    </row>
    <row r="11" spans="2:5" x14ac:dyDescent="0.2">
      <c r="B11" s="259" t="s">
        <v>1190</v>
      </c>
      <c r="C11" s="40">
        <v>14067</v>
      </c>
      <c r="D11" s="40">
        <v>13700</v>
      </c>
      <c r="E11" s="40">
        <v>15000</v>
      </c>
    </row>
    <row r="12" spans="2:5" x14ac:dyDescent="0.2">
      <c r="B12" s="277" t="s">
        <v>82</v>
      </c>
      <c r="C12" s="40">
        <v>1696</v>
      </c>
      <c r="D12" s="40">
        <v>1700</v>
      </c>
      <c r="E12" s="40">
        <v>1700</v>
      </c>
    </row>
    <row r="13" spans="2:5" x14ac:dyDescent="0.2">
      <c r="B13" s="277" t="s">
        <v>1196</v>
      </c>
      <c r="C13" s="40">
        <v>595</v>
      </c>
      <c r="D13" s="276">
        <v>0</v>
      </c>
      <c r="E13" s="276">
        <v>0</v>
      </c>
    </row>
    <row r="14" spans="2:5" x14ac:dyDescent="0.2">
      <c r="B14" s="277" t="s">
        <v>1197</v>
      </c>
      <c r="C14" s="40">
        <v>9750</v>
      </c>
      <c r="D14" s="276">
        <v>10000</v>
      </c>
      <c r="E14" s="276">
        <v>10000</v>
      </c>
    </row>
    <row r="15" spans="2:5" x14ac:dyDescent="0.2">
      <c r="B15" s="277" t="s">
        <v>1052</v>
      </c>
      <c r="C15" s="40">
        <v>1377</v>
      </c>
      <c r="D15" s="276">
        <v>0</v>
      </c>
      <c r="E15" s="276">
        <v>0</v>
      </c>
    </row>
    <row r="16" spans="2:5" x14ac:dyDescent="0.2">
      <c r="B16" s="277" t="s">
        <v>1198</v>
      </c>
      <c r="C16" s="40">
        <v>2729</v>
      </c>
      <c r="D16" s="276">
        <v>0</v>
      </c>
      <c r="E16" s="276">
        <v>0</v>
      </c>
    </row>
    <row r="17" spans="2:5" x14ac:dyDescent="0.2">
      <c r="B17" s="150" t="s">
        <v>127</v>
      </c>
      <c r="C17" s="40"/>
      <c r="D17" s="276"/>
      <c r="E17" s="276"/>
    </row>
    <row r="18" spans="2:5" x14ac:dyDescent="0.2">
      <c r="B18" s="150" t="s">
        <v>609</v>
      </c>
      <c r="C18" s="475" t="str">
        <f>IF(C19*0.1&lt;C17,"Exceed 10% Rule","")</f>
        <v/>
      </c>
      <c r="D18" s="278" t="str">
        <f>IF(D19*0.1&lt;D17,"Exceed 10% Rule","")</f>
        <v/>
      </c>
      <c r="E18" s="278" t="str">
        <f>IF(E19*0.1&lt;E17,"Exceed 10% Rule","")</f>
        <v/>
      </c>
    </row>
    <row r="19" spans="2:5" x14ac:dyDescent="0.2">
      <c r="B19" s="256" t="s">
        <v>47</v>
      </c>
      <c r="C19" s="279">
        <f>SUM(C8:C17)</f>
        <v>1467856</v>
      </c>
      <c r="D19" s="279">
        <f>SUM(D8:D17)</f>
        <v>1480400</v>
      </c>
      <c r="E19" s="279">
        <f>SUM(E8:E17)</f>
        <v>1586700</v>
      </c>
    </row>
    <row r="20" spans="2:5" x14ac:dyDescent="0.2">
      <c r="B20" s="256" t="s">
        <v>48</v>
      </c>
      <c r="C20" s="279">
        <f>C6+C19</f>
        <v>2343423</v>
      </c>
      <c r="D20" s="279">
        <f>D6+D19</f>
        <v>2357690</v>
      </c>
      <c r="E20" s="279">
        <f>E6+E19</f>
        <v>2225483</v>
      </c>
    </row>
    <row r="21" spans="2:5" x14ac:dyDescent="0.2">
      <c r="B21" s="100" t="s">
        <v>49</v>
      </c>
      <c r="C21" s="148"/>
      <c r="D21" s="148"/>
      <c r="E21" s="148"/>
    </row>
    <row r="22" spans="2:5" x14ac:dyDescent="0.2">
      <c r="B22" s="259" t="s">
        <v>1080</v>
      </c>
      <c r="C22" s="40">
        <v>327885</v>
      </c>
      <c r="D22" s="40">
        <v>350088</v>
      </c>
      <c r="E22" s="40">
        <v>363545</v>
      </c>
    </row>
    <row r="23" spans="2:5" x14ac:dyDescent="0.2">
      <c r="B23" s="259" t="s">
        <v>1075</v>
      </c>
      <c r="C23" s="40">
        <v>419949</v>
      </c>
      <c r="D23" s="40">
        <v>404950</v>
      </c>
      <c r="E23" s="40">
        <v>413848</v>
      </c>
    </row>
    <row r="24" spans="2:5" x14ac:dyDescent="0.2">
      <c r="B24" s="259" t="s">
        <v>1081</v>
      </c>
      <c r="C24" s="40">
        <v>39942</v>
      </c>
      <c r="D24" s="40">
        <v>43600</v>
      </c>
      <c r="E24" s="40">
        <v>45600</v>
      </c>
    </row>
    <row r="25" spans="2:5" x14ac:dyDescent="0.2">
      <c r="B25" s="259" t="s">
        <v>1076</v>
      </c>
      <c r="C25" s="40">
        <v>122617</v>
      </c>
      <c r="D25" s="40">
        <v>320600</v>
      </c>
      <c r="E25" s="40">
        <v>160500</v>
      </c>
    </row>
    <row r="26" spans="2:5" x14ac:dyDescent="0.2">
      <c r="B26" s="259" t="s">
        <v>1200</v>
      </c>
      <c r="C26" s="40">
        <v>523705</v>
      </c>
      <c r="D26" s="40">
        <v>566169</v>
      </c>
      <c r="E26" s="40">
        <v>589461</v>
      </c>
    </row>
    <row r="27" spans="2:5" x14ac:dyDescent="0.2">
      <c r="B27" s="259" t="s">
        <v>1201</v>
      </c>
      <c r="C27" s="40">
        <v>32035</v>
      </c>
      <c r="D27" s="40">
        <v>33500</v>
      </c>
      <c r="E27" s="40">
        <v>46500</v>
      </c>
    </row>
    <row r="28" spans="2:5" x14ac:dyDescent="0.2">
      <c r="B28" s="259"/>
      <c r="C28" s="40"/>
      <c r="D28" s="40"/>
      <c r="E28" s="40"/>
    </row>
    <row r="29" spans="2:5" x14ac:dyDescent="0.2">
      <c r="B29" s="259"/>
      <c r="C29" s="40"/>
      <c r="D29" s="40"/>
      <c r="E29" s="40"/>
    </row>
    <row r="30" spans="2:5" x14ac:dyDescent="0.2">
      <c r="B30" s="259"/>
      <c r="C30" s="40"/>
      <c r="D30" s="40"/>
      <c r="E30" s="40"/>
    </row>
    <row r="31" spans="2:5" x14ac:dyDescent="0.2">
      <c r="B31" s="150" t="s">
        <v>127</v>
      </c>
      <c r="C31" s="40"/>
      <c r="D31" s="276"/>
      <c r="E31" s="276"/>
    </row>
    <row r="32" spans="2:5" x14ac:dyDescent="0.2">
      <c r="B32" s="150" t="s">
        <v>610</v>
      </c>
      <c r="C32" s="475" t="str">
        <f>IF(C33*0.1&lt;C31,"Exceed 10% Rule","")</f>
        <v/>
      </c>
      <c r="D32" s="278" t="str">
        <f>IF(D33*0.1&lt;D31,"Exceed 10% Rule","")</f>
        <v/>
      </c>
      <c r="E32" s="278" t="str">
        <f>IF(E33*0.1&lt;E31,"Exceed 10% Rule","")</f>
        <v/>
      </c>
    </row>
    <row r="33" spans="2:5" x14ac:dyDescent="0.2">
      <c r="B33" s="256" t="s">
        <v>50</v>
      </c>
      <c r="C33" s="279">
        <f>SUM(C22:C31)</f>
        <v>1466133</v>
      </c>
      <c r="D33" s="279">
        <f>SUM(D22:D31)</f>
        <v>1718907</v>
      </c>
      <c r="E33" s="279">
        <f>SUM(E22:E31)</f>
        <v>1619454</v>
      </c>
    </row>
    <row r="34" spans="2:5" x14ac:dyDescent="0.2">
      <c r="B34" s="100" t="s">
        <v>135</v>
      </c>
      <c r="C34" s="47">
        <f>C20-C33</f>
        <v>877290</v>
      </c>
      <c r="D34" s="47">
        <f>D20-D33</f>
        <v>638783</v>
      </c>
      <c r="E34" s="47">
        <f>E20-E33</f>
        <v>606029</v>
      </c>
    </row>
    <row r="35" spans="2:5" x14ac:dyDescent="0.2">
      <c r="B35" s="625" t="str">
        <f>CONCATENATE("",E1-2,"/",E1-1,"/",E1," Budget Authority Amount:")</f>
        <v>2013/2014/2015 Budget Authority Amount:</v>
      </c>
      <c r="C35" s="249">
        <f>inputOth!B102</f>
        <v>1481719</v>
      </c>
      <c r="D35" s="249">
        <f>inputPrYr!D57</f>
        <v>1718907</v>
      </c>
      <c r="E35" s="626">
        <f>E33</f>
        <v>1619454</v>
      </c>
    </row>
    <row r="36" spans="2:5" x14ac:dyDescent="0.2">
      <c r="B36" s="675"/>
      <c r="C36" s="262" t="str">
        <f>IF(C33&gt;C35,"See Tab A","")</f>
        <v/>
      </c>
      <c r="D36" s="262" t="str">
        <f>IF(D33&gt;D35,"See Tab C","")</f>
        <v/>
      </c>
      <c r="E36" s="627" t="str">
        <f>IF(E34&lt;0,"See Tab E","")</f>
        <v/>
      </c>
    </row>
    <row r="37" spans="2:5" x14ac:dyDescent="0.2">
      <c r="B37" s="675"/>
      <c r="C37" s="262" t="str">
        <f>IF(C34&lt;0,"See Tab B","")</f>
        <v/>
      </c>
      <c r="D37" s="262" t="str">
        <f>IF(D34&lt;0,"See Tab D","")</f>
        <v/>
      </c>
      <c r="E37" s="281"/>
    </row>
    <row r="38" spans="2:5" x14ac:dyDescent="0.2">
      <c r="B38" s="20"/>
      <c r="C38" s="281"/>
      <c r="D38" s="281"/>
      <c r="E38" s="281"/>
    </row>
    <row r="39" spans="2:5" x14ac:dyDescent="0.2">
      <c r="B39" s="675"/>
      <c r="C39"/>
      <c r="D39"/>
      <c r="E39"/>
    </row>
    <row r="40" spans="2:5" x14ac:dyDescent="0.2">
      <c r="B40" s="675"/>
      <c r="C40"/>
      <c r="D40"/>
      <c r="E40"/>
    </row>
    <row r="41" spans="2:5" x14ac:dyDescent="0.2">
      <c r="B41" s="20"/>
      <c r="C41"/>
      <c r="D41"/>
      <c r="E41"/>
    </row>
    <row r="42" spans="2:5" x14ac:dyDescent="0.2">
      <c r="B42" s="675" t="s">
        <v>53</v>
      </c>
      <c r="C42" s="266">
        <v>24</v>
      </c>
      <c r="D42" s="20"/>
      <c r="E42" s="20"/>
    </row>
  </sheetData>
  <sheetProtection sheet="1" objects="1" scenarios="1"/>
  <conditionalFormatting sqref="C31">
    <cfRule type="cellIs" dxfId="19" priority="7" stopIfTrue="1" operator="greaterThan">
      <formula>$C$33*0.1</formula>
    </cfRule>
  </conditionalFormatting>
  <conditionalFormatting sqref="D31">
    <cfRule type="cellIs" dxfId="18" priority="8" stopIfTrue="1" operator="greaterThan">
      <formula>$D$33*0.1</formula>
    </cfRule>
  </conditionalFormatting>
  <conditionalFormatting sqref="E31">
    <cfRule type="cellIs" dxfId="17" priority="9" stopIfTrue="1" operator="greaterThan">
      <formula>$E$33*0.1</formula>
    </cfRule>
  </conditionalFormatting>
  <conditionalFormatting sqref="C17">
    <cfRule type="cellIs" dxfId="16" priority="10" stopIfTrue="1" operator="greaterThan">
      <formula>$C$19*0.1</formula>
    </cfRule>
  </conditionalFormatting>
  <conditionalFormatting sqref="D17">
    <cfRule type="cellIs" dxfId="15" priority="11" stopIfTrue="1" operator="greaterThan">
      <formula>$D$19*0.1</formula>
    </cfRule>
  </conditionalFormatting>
  <conditionalFormatting sqref="E17">
    <cfRule type="cellIs" dxfId="14" priority="12" stopIfTrue="1" operator="greaterThan">
      <formula>$E$19*0.1</formula>
    </cfRule>
  </conditionalFormatting>
  <conditionalFormatting sqref="E34 C34">
    <cfRule type="cellIs" dxfId="13" priority="13" stopIfTrue="1" operator="lessThan">
      <formula>0</formula>
    </cfRule>
  </conditionalFormatting>
  <conditionalFormatting sqref="C33">
    <cfRule type="cellIs" dxfId="12" priority="14" stopIfTrue="1" operator="greaterThan">
      <formula>$C$35</formula>
    </cfRule>
  </conditionalFormatting>
  <conditionalFormatting sqref="D33">
    <cfRule type="cellIs" dxfId="11" priority="15" stopIfTrue="1" operator="greaterThan">
      <formula>$D$35</formula>
    </cfRule>
  </conditionalFormatting>
  <conditionalFormatting sqref="D34">
    <cfRule type="cellIs" dxfId="10" priority="1" stopIfTrue="1" operator="lessThan">
      <formula>0</formula>
    </cfRule>
  </conditionalFormatting>
  <printOptions horizontalCentered="1" verticalCentered="1"/>
  <pageMargins left="0.7" right="0.7" top="0.75" bottom="0.75" header="0.3" footer="0.3"/>
  <pageSetup scale="80"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topLeftCell="A20" workbookViewId="0">
      <selection activeCell="D13" sqref="D13"/>
    </sheetView>
  </sheetViews>
  <sheetFormatPr defaultColWidth="8.88671875" defaultRowHeight="15.75" x14ac:dyDescent="0.2"/>
  <cols>
    <col min="1" max="1" width="2.44140625" style="16" customWidth="1"/>
    <col min="2" max="2" width="31.109375" style="16" customWidth="1"/>
    <col min="3" max="4" width="15.77734375" style="16" customWidth="1"/>
    <col min="5" max="5" width="16.33203125" style="16" customWidth="1"/>
    <col min="6" max="16384" width="8.88671875" style="16"/>
  </cols>
  <sheetData>
    <row r="1" spans="2:5" x14ac:dyDescent="0.2">
      <c r="B1" s="164" t="str">
        <f>(inputPrYr!D3)</f>
        <v>City of Bonner Springs</v>
      </c>
      <c r="C1" s="20"/>
      <c r="D1" s="20"/>
      <c r="E1" s="125">
        <f>inputPrYr!$C$10</f>
        <v>2015</v>
      </c>
    </row>
    <row r="2" spans="2:5" x14ac:dyDescent="0.2">
      <c r="B2" s="20"/>
      <c r="C2" s="20"/>
      <c r="D2" s="20"/>
      <c r="E2" s="178"/>
    </row>
    <row r="3" spans="2:5" x14ac:dyDescent="0.2">
      <c r="B3" s="34" t="s">
        <v>96</v>
      </c>
      <c r="C3" s="133"/>
      <c r="D3" s="133"/>
      <c r="E3" s="127"/>
    </row>
    <row r="4" spans="2:5" x14ac:dyDescent="0.2">
      <c r="B4" s="22" t="s">
        <v>41</v>
      </c>
      <c r="C4" s="553" t="s">
        <v>792</v>
      </c>
      <c r="D4" s="554" t="s">
        <v>793</v>
      </c>
      <c r="E4" s="135" t="s">
        <v>794</v>
      </c>
    </row>
    <row r="5" spans="2:5" x14ac:dyDescent="0.2">
      <c r="B5" s="484" t="str">
        <f>(inputPrYr!B58)</f>
        <v>Enterprise Fund - Water</v>
      </c>
      <c r="C5" s="519" t="str">
        <f>CONCATENATE("Actual for ",E1-2,"")</f>
        <v>Actual for 2013</v>
      </c>
      <c r="D5" s="519" t="str">
        <f>CONCATENATE("Estimate for ",E1-1,"")</f>
        <v>Estimate for 2014</v>
      </c>
      <c r="E5" s="192" t="str">
        <f>CONCATENATE("Year for ",E1,"")</f>
        <v>Year for 2015</v>
      </c>
    </row>
    <row r="6" spans="2:5" x14ac:dyDescent="0.2">
      <c r="B6" s="100" t="s">
        <v>134</v>
      </c>
      <c r="C6" s="40">
        <v>1587491</v>
      </c>
      <c r="D6" s="148">
        <f>C36</f>
        <v>1611471</v>
      </c>
      <c r="E6" s="148">
        <f>D36</f>
        <v>1081466</v>
      </c>
    </row>
    <row r="7" spans="2:5" x14ac:dyDescent="0.2">
      <c r="B7" s="246" t="s">
        <v>136</v>
      </c>
      <c r="C7" s="148"/>
      <c r="D7" s="148"/>
      <c r="E7" s="148"/>
    </row>
    <row r="8" spans="2:5" x14ac:dyDescent="0.2">
      <c r="B8" s="259" t="s">
        <v>1189</v>
      </c>
      <c r="C8" s="40">
        <v>1725795</v>
      </c>
      <c r="D8" s="40">
        <v>1691200</v>
      </c>
      <c r="E8" s="40">
        <v>1725000</v>
      </c>
    </row>
    <row r="9" spans="2:5" x14ac:dyDescent="0.2">
      <c r="B9" s="259" t="s">
        <v>1190</v>
      </c>
      <c r="C9" s="40">
        <v>16776</v>
      </c>
      <c r="D9" s="40">
        <v>15000</v>
      </c>
      <c r="E9" s="40">
        <v>15000</v>
      </c>
    </row>
    <row r="10" spans="2:5" x14ac:dyDescent="0.2">
      <c r="B10" s="259" t="s">
        <v>1202</v>
      </c>
      <c r="C10" s="40">
        <v>925</v>
      </c>
      <c r="D10" s="40">
        <v>500</v>
      </c>
      <c r="E10" s="40">
        <v>1000</v>
      </c>
    </row>
    <row r="11" spans="2:5" x14ac:dyDescent="0.2">
      <c r="B11" s="259" t="s">
        <v>1203</v>
      </c>
      <c r="C11" s="40">
        <v>64925</v>
      </c>
      <c r="D11" s="40">
        <v>45000</v>
      </c>
      <c r="E11" s="40">
        <v>50000</v>
      </c>
    </row>
    <row r="12" spans="2:5" x14ac:dyDescent="0.2">
      <c r="B12" s="277" t="s">
        <v>1109</v>
      </c>
      <c r="C12" s="40">
        <v>71680</v>
      </c>
      <c r="D12" s="40">
        <v>40000</v>
      </c>
      <c r="E12" s="40">
        <v>60000</v>
      </c>
    </row>
    <row r="13" spans="2:5" x14ac:dyDescent="0.2">
      <c r="B13" s="277" t="s">
        <v>82</v>
      </c>
      <c r="C13" s="40">
        <v>3401</v>
      </c>
      <c r="D13" s="276">
        <v>3350</v>
      </c>
      <c r="E13" s="276">
        <v>3500</v>
      </c>
    </row>
    <row r="14" spans="2:5" x14ac:dyDescent="0.2">
      <c r="B14" s="277" t="s">
        <v>1204</v>
      </c>
      <c r="C14" s="40">
        <v>1775</v>
      </c>
      <c r="D14" s="276">
        <v>0</v>
      </c>
      <c r="E14" s="276">
        <v>0</v>
      </c>
    </row>
    <row r="15" spans="2:5" x14ac:dyDescent="0.2">
      <c r="B15" s="277" t="s">
        <v>1052</v>
      </c>
      <c r="C15" s="40">
        <v>7018</v>
      </c>
      <c r="D15" s="276">
        <v>0</v>
      </c>
      <c r="E15" s="276">
        <v>0</v>
      </c>
    </row>
    <row r="16" spans="2:5" x14ac:dyDescent="0.2">
      <c r="B16" s="277" t="s">
        <v>1060</v>
      </c>
      <c r="C16" s="40">
        <v>112942</v>
      </c>
      <c r="D16" s="276">
        <v>0</v>
      </c>
      <c r="E16" s="276">
        <v>0</v>
      </c>
    </row>
    <row r="17" spans="2:5" x14ac:dyDescent="0.2">
      <c r="B17" s="277" t="s">
        <v>1198</v>
      </c>
      <c r="C17" s="40">
        <v>32</v>
      </c>
      <c r="D17" s="276">
        <v>0</v>
      </c>
      <c r="E17" s="276">
        <v>0</v>
      </c>
    </row>
    <row r="18" spans="2:5" x14ac:dyDescent="0.2">
      <c r="B18" s="277" t="s">
        <v>1205</v>
      </c>
      <c r="C18" s="40">
        <v>1784</v>
      </c>
      <c r="D18" s="276">
        <v>0</v>
      </c>
      <c r="E18" s="276">
        <v>0</v>
      </c>
    </row>
    <row r="19" spans="2:5" x14ac:dyDescent="0.2">
      <c r="B19" s="150" t="s">
        <v>127</v>
      </c>
      <c r="C19" s="40"/>
      <c r="D19" s="276"/>
      <c r="E19" s="276"/>
    </row>
    <row r="20" spans="2:5" x14ac:dyDescent="0.2">
      <c r="B20" s="150" t="s">
        <v>609</v>
      </c>
      <c r="C20" s="475" t="str">
        <f>IF(C21*0.1&lt;C19,"Exceed 10% Rule","")</f>
        <v/>
      </c>
      <c r="D20" s="278" t="str">
        <f>IF(D21*0.1&lt;D19,"Exceed 10% Rule","")</f>
        <v/>
      </c>
      <c r="E20" s="278" t="str">
        <f>IF(E21*0.1&lt;E19,"Exceed 10% Rule","")</f>
        <v/>
      </c>
    </row>
    <row r="21" spans="2:5" x14ac:dyDescent="0.2">
      <c r="B21" s="256" t="s">
        <v>47</v>
      </c>
      <c r="C21" s="279">
        <f>SUM(C8:C19)</f>
        <v>2007053</v>
      </c>
      <c r="D21" s="279">
        <f>SUM(D8:D19)</f>
        <v>1795050</v>
      </c>
      <c r="E21" s="279">
        <f>SUM(E8:E19)</f>
        <v>1854500</v>
      </c>
    </row>
    <row r="22" spans="2:5" x14ac:dyDescent="0.2">
      <c r="B22" s="256" t="s">
        <v>48</v>
      </c>
      <c r="C22" s="279">
        <f>C6+C21</f>
        <v>3594544</v>
      </c>
      <c r="D22" s="279">
        <f>D6+D21</f>
        <v>3406521</v>
      </c>
      <c r="E22" s="279">
        <f>E6+E21</f>
        <v>2935966</v>
      </c>
    </row>
    <row r="23" spans="2:5" x14ac:dyDescent="0.2">
      <c r="B23" s="100" t="s">
        <v>49</v>
      </c>
      <c r="C23" s="148"/>
      <c r="D23" s="148"/>
      <c r="E23" s="148"/>
    </row>
    <row r="24" spans="2:5" x14ac:dyDescent="0.2">
      <c r="B24" s="259" t="s">
        <v>1080</v>
      </c>
      <c r="C24" s="40">
        <v>542906</v>
      </c>
      <c r="D24" s="40">
        <v>544792</v>
      </c>
      <c r="E24" s="40">
        <v>540754</v>
      </c>
    </row>
    <row r="25" spans="2:5" x14ac:dyDescent="0.2">
      <c r="B25" s="259" t="s">
        <v>1075</v>
      </c>
      <c r="C25" s="40">
        <v>351891</v>
      </c>
      <c r="D25" s="40">
        <v>343196</v>
      </c>
      <c r="E25" s="40">
        <v>312340</v>
      </c>
    </row>
    <row r="26" spans="2:5" x14ac:dyDescent="0.2">
      <c r="B26" s="259" t="s">
        <v>1081</v>
      </c>
      <c r="C26" s="40">
        <v>404568</v>
      </c>
      <c r="D26" s="40">
        <v>275200</v>
      </c>
      <c r="E26" s="40">
        <v>283500</v>
      </c>
    </row>
    <row r="27" spans="2:5" x14ac:dyDescent="0.2">
      <c r="B27" s="259" t="s">
        <v>1076</v>
      </c>
      <c r="C27" s="40">
        <v>274607</v>
      </c>
      <c r="D27" s="40">
        <v>693150</v>
      </c>
      <c r="E27" s="40">
        <v>333000</v>
      </c>
    </row>
    <row r="28" spans="2:5" x14ac:dyDescent="0.2">
      <c r="B28" s="259" t="s">
        <v>1206</v>
      </c>
      <c r="C28" s="40">
        <v>313001</v>
      </c>
      <c r="D28" s="40">
        <v>371257</v>
      </c>
      <c r="E28" s="40">
        <v>387799</v>
      </c>
    </row>
    <row r="29" spans="2:5" x14ac:dyDescent="0.2">
      <c r="B29" s="259" t="s">
        <v>1207</v>
      </c>
      <c r="C29" s="40">
        <v>96100</v>
      </c>
      <c r="D29" s="40">
        <v>97460</v>
      </c>
      <c r="E29" s="40">
        <v>139500</v>
      </c>
    </row>
    <row r="30" spans="2:5" x14ac:dyDescent="0.2">
      <c r="B30" s="259"/>
      <c r="C30" s="40"/>
      <c r="D30" s="40"/>
      <c r="E30" s="40"/>
    </row>
    <row r="31" spans="2:5" x14ac:dyDescent="0.2">
      <c r="B31" s="259"/>
      <c r="C31" s="40"/>
      <c r="D31" s="40"/>
      <c r="E31" s="40"/>
    </row>
    <row r="32" spans="2:5" x14ac:dyDescent="0.2">
      <c r="B32" s="259"/>
      <c r="C32" s="40"/>
      <c r="D32" s="40"/>
      <c r="E32" s="40"/>
    </row>
    <row r="33" spans="2:5" x14ac:dyDescent="0.2">
      <c r="B33" s="150" t="s">
        <v>127</v>
      </c>
      <c r="C33" s="40"/>
      <c r="D33" s="276"/>
      <c r="E33" s="276"/>
    </row>
    <row r="34" spans="2:5" x14ac:dyDescent="0.2">
      <c r="B34" s="150" t="s">
        <v>610</v>
      </c>
      <c r="C34" s="475" t="str">
        <f>IF(C35*0.1&lt;C33,"Exceed 10% Rule","")</f>
        <v/>
      </c>
      <c r="D34" s="278" t="str">
        <f>IF(D35*0.1&lt;D33,"Exceed 10% Rule","")</f>
        <v/>
      </c>
      <c r="E34" s="278" t="str">
        <f>IF(E35*0.1&lt;E33,"Exceed 10% Rule","")</f>
        <v/>
      </c>
    </row>
    <row r="35" spans="2:5" x14ac:dyDescent="0.2">
      <c r="B35" s="256" t="s">
        <v>50</v>
      </c>
      <c r="C35" s="279">
        <f>SUM(C24:C33)</f>
        <v>1983073</v>
      </c>
      <c r="D35" s="279">
        <f>SUM(D24:D33)</f>
        <v>2325055</v>
      </c>
      <c r="E35" s="279">
        <f>SUM(E24:E33)</f>
        <v>1996893</v>
      </c>
    </row>
    <row r="36" spans="2:5" x14ac:dyDescent="0.2">
      <c r="B36" s="100" t="s">
        <v>135</v>
      </c>
      <c r="C36" s="47">
        <f>C22-C35</f>
        <v>1611471</v>
      </c>
      <c r="D36" s="47">
        <f>D22-D35</f>
        <v>1081466</v>
      </c>
      <c r="E36" s="47">
        <f>E22-E35</f>
        <v>939073</v>
      </c>
    </row>
    <row r="37" spans="2:5" x14ac:dyDescent="0.2">
      <c r="B37" s="625" t="str">
        <f>CONCATENATE("",E1-2,"/",E1-1,"/",E1," Budget Authority Amount:")</f>
        <v>2013/2014/2015 Budget Authority Amount:</v>
      </c>
      <c r="C37" s="249">
        <f>inputOth!B103</f>
        <v>1975601</v>
      </c>
      <c r="D37" s="249">
        <f>inputPrYr!D58</f>
        <v>2325055</v>
      </c>
      <c r="E37" s="626">
        <f>E35</f>
        <v>1996893</v>
      </c>
    </row>
    <row r="38" spans="2:5" x14ac:dyDescent="0.2">
      <c r="B38" s="172"/>
      <c r="C38" s="262" t="str">
        <f>IF(C35&gt;C37,"See Tab A","")</f>
        <v>See Tab A</v>
      </c>
      <c r="D38" s="262" t="str">
        <f>IF(D35&gt;D37,"See Tab C","")</f>
        <v/>
      </c>
      <c r="E38" s="627" t="str">
        <f>IF(E36&lt;0,"See Tab E","")</f>
        <v/>
      </c>
    </row>
    <row r="39" spans="2:5" x14ac:dyDescent="0.2">
      <c r="B39" s="172"/>
      <c r="C39" s="262" t="str">
        <f>IF(C36&lt;0,"See Tab B","")</f>
        <v/>
      </c>
      <c r="D39" s="262" t="str">
        <f>IF(D36&lt;0,"See Tab D","")</f>
        <v/>
      </c>
      <c r="E39" s="281"/>
    </row>
    <row r="40" spans="2:5" x14ac:dyDescent="0.2">
      <c r="B40" s="20"/>
      <c r="C40" s="20"/>
      <c r="D40" s="20"/>
      <c r="E40" s="20"/>
    </row>
    <row r="41" spans="2:5" x14ac:dyDescent="0.2">
      <c r="B41" s="172" t="s">
        <v>53</v>
      </c>
      <c r="C41" s="266">
        <v>25</v>
      </c>
      <c r="D41" s="20"/>
      <c r="E41" s="20"/>
    </row>
  </sheetData>
  <sheetProtection sheet="1" objects="1" scenarios="1"/>
  <phoneticPr fontId="0" type="noConversion"/>
  <conditionalFormatting sqref="C33">
    <cfRule type="cellIs" dxfId="9" priority="7" stopIfTrue="1" operator="greaterThan">
      <formula>$C$35*0.1</formula>
    </cfRule>
  </conditionalFormatting>
  <conditionalFormatting sqref="D33">
    <cfRule type="cellIs" dxfId="8" priority="8" stopIfTrue="1" operator="greaterThan">
      <formula>$D$35*0.1</formula>
    </cfRule>
  </conditionalFormatting>
  <conditionalFormatting sqref="E33">
    <cfRule type="cellIs" dxfId="7" priority="9" stopIfTrue="1" operator="greaterThan">
      <formula>$E$35*0.1</formula>
    </cfRule>
  </conditionalFormatting>
  <conditionalFormatting sqref="C19">
    <cfRule type="cellIs" dxfId="6" priority="10" stopIfTrue="1" operator="greaterThan">
      <formula>$C$21*0.1</formula>
    </cfRule>
  </conditionalFormatting>
  <conditionalFormatting sqref="D19">
    <cfRule type="cellIs" dxfId="5" priority="11" stopIfTrue="1" operator="greaterThan">
      <formula>$D$21*0.1</formula>
    </cfRule>
  </conditionalFormatting>
  <conditionalFormatting sqref="E19">
    <cfRule type="cellIs" dxfId="4" priority="12" stopIfTrue="1" operator="greaterThan">
      <formula>$E$21*0.1</formula>
    </cfRule>
  </conditionalFormatting>
  <conditionalFormatting sqref="E36 C36">
    <cfRule type="cellIs" dxfId="3" priority="13" stopIfTrue="1" operator="lessThan">
      <formula>0</formula>
    </cfRule>
  </conditionalFormatting>
  <conditionalFormatting sqref="C35">
    <cfRule type="cellIs" dxfId="2" priority="14" stopIfTrue="1" operator="greaterThan">
      <formula>$C$37</formula>
    </cfRule>
  </conditionalFormatting>
  <conditionalFormatting sqref="D35">
    <cfRule type="cellIs" dxfId="1" priority="15" stopIfTrue="1" operator="greaterThan">
      <formula>$D$37</formula>
    </cfRule>
  </conditionalFormatting>
  <conditionalFormatting sqref="D36">
    <cfRule type="cellIs" dxfId="0" priority="1" stopIfTrue="1" operator="lessThan">
      <formula>0</formula>
    </cfRule>
  </conditionalFormatting>
  <printOptions horizontalCentered="1" verticalCentered="1"/>
  <pageMargins left="0.5" right="0.5" top="1" bottom="0.5" header="0.5" footer="0.5"/>
  <pageSetup scale="80" orientation="portrait" blackAndWhite="1" horizontalDpi="120" verticalDpi="144" r:id="rId1"/>
  <headerFooter alignWithMargins="0">
    <oddHeader xml:space="preserve">&amp;RState of Kansas
City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opLeftCell="A17" workbookViewId="0">
      <selection activeCell="H12" sqref="H12"/>
    </sheetView>
  </sheetViews>
  <sheetFormatPr defaultColWidth="8.88671875" defaultRowHeight="15.75" x14ac:dyDescent="0.2"/>
  <cols>
    <col min="1" max="1" width="12.6640625" style="3" customWidth="1"/>
    <col min="2" max="2" width="8.77734375" style="3" customWidth="1"/>
    <col min="3" max="3" width="11.5546875" style="3" customWidth="1"/>
    <col min="4" max="4" width="10.77734375" style="3" customWidth="1"/>
    <col min="5" max="5" width="11.5546875" style="3" customWidth="1"/>
    <col min="6" max="6" width="7.44140625" style="3" customWidth="1"/>
    <col min="7" max="7" width="9.33203125" style="3" customWidth="1"/>
    <col min="8" max="8" width="5" style="3" customWidth="1"/>
    <col min="9" max="9" width="9.77734375" style="3" customWidth="1"/>
    <col min="10" max="10" width="5.109375" style="3" customWidth="1"/>
    <col min="11" max="16384" width="8.88671875" style="3"/>
  </cols>
  <sheetData>
    <row r="1" spans="1:11" x14ac:dyDescent="0.2">
      <c r="A1" s="76" t="str">
        <f>inputPrYr!$D$3</f>
        <v>City of Bonner Springs</v>
      </c>
      <c r="B1" s="105"/>
      <c r="C1" s="265"/>
      <c r="D1" s="265"/>
      <c r="E1" s="265"/>
      <c r="F1" s="282" t="s">
        <v>201</v>
      </c>
      <c r="G1" s="265"/>
      <c r="H1" s="265"/>
      <c r="I1" s="265"/>
      <c r="J1" s="265"/>
      <c r="K1" s="265">
        <f>inputPrYr!$C$10</f>
        <v>2015</v>
      </c>
    </row>
    <row r="2" spans="1:11" x14ac:dyDescent="0.2">
      <c r="A2" s="265"/>
      <c r="B2" s="265"/>
      <c r="C2" s="265"/>
      <c r="D2" s="265"/>
      <c r="E2" s="265"/>
      <c r="F2" s="105" t="str">
        <f>CONCATENATE("(Only the actual budget year for ",K1-2," is to be shown)")</f>
        <v>(Only the actual budget year for 2013 is to be shown)</v>
      </c>
      <c r="G2" s="265"/>
      <c r="H2" s="265"/>
      <c r="I2" s="265"/>
      <c r="J2" s="265"/>
      <c r="K2" s="265"/>
    </row>
    <row r="3" spans="1:11" x14ac:dyDescent="0.2">
      <c r="A3" s="265" t="s">
        <v>200</v>
      </c>
      <c r="B3" s="265"/>
      <c r="C3" s="265"/>
      <c r="D3" s="265"/>
      <c r="E3" s="265"/>
      <c r="F3" s="105"/>
      <c r="G3" s="265"/>
      <c r="H3" s="265"/>
      <c r="I3" s="265"/>
      <c r="J3" s="265"/>
      <c r="K3" s="265"/>
    </row>
    <row r="4" spans="1:11" x14ac:dyDescent="0.2">
      <c r="A4" s="265" t="s">
        <v>193</v>
      </c>
      <c r="B4" s="265"/>
      <c r="C4" s="265" t="s">
        <v>194</v>
      </c>
      <c r="D4" s="265"/>
      <c r="E4" s="265" t="s">
        <v>195</v>
      </c>
      <c r="F4" s="105"/>
      <c r="G4" s="265" t="s">
        <v>196</v>
      </c>
      <c r="H4" s="265"/>
      <c r="I4" s="265" t="s">
        <v>197</v>
      </c>
      <c r="J4" s="265"/>
      <c r="K4" s="265"/>
    </row>
    <row r="5" spans="1:11" x14ac:dyDescent="0.2">
      <c r="A5" s="807" t="s">
        <v>1222</v>
      </c>
      <c r="B5" s="808"/>
      <c r="C5" s="809" t="s">
        <v>1223</v>
      </c>
      <c r="D5" s="810"/>
      <c r="E5" s="809" t="s">
        <v>1224</v>
      </c>
      <c r="F5" s="810"/>
      <c r="G5" s="805">
        <f>inputPrYr!B67</f>
        <v>0</v>
      </c>
      <c r="H5" s="806"/>
      <c r="I5" s="805">
        <f>inputPrYr!B68</f>
        <v>0</v>
      </c>
      <c r="J5" s="806"/>
      <c r="K5" s="114"/>
    </row>
    <row r="6" spans="1:11" x14ac:dyDescent="0.2">
      <c r="A6" s="284" t="s">
        <v>198</v>
      </c>
      <c r="B6" s="285"/>
      <c r="C6" s="286" t="s">
        <v>198</v>
      </c>
      <c r="D6" s="287"/>
      <c r="E6" s="286" t="s">
        <v>198</v>
      </c>
      <c r="F6" s="288"/>
      <c r="G6" s="286" t="s">
        <v>198</v>
      </c>
      <c r="H6" s="283"/>
      <c r="I6" s="286" t="s">
        <v>198</v>
      </c>
      <c r="J6" s="265"/>
      <c r="K6" s="289" t="s">
        <v>17</v>
      </c>
    </row>
    <row r="7" spans="1:11" x14ac:dyDescent="0.2">
      <c r="A7" s="290" t="s">
        <v>252</v>
      </c>
      <c r="B7" s="291">
        <v>1675764</v>
      </c>
      <c r="C7" s="292" t="s">
        <v>252</v>
      </c>
      <c r="D7" s="291">
        <v>59607</v>
      </c>
      <c r="E7" s="292" t="s">
        <v>252</v>
      </c>
      <c r="F7" s="291">
        <v>604665</v>
      </c>
      <c r="G7" s="292" t="s">
        <v>252</v>
      </c>
      <c r="H7" s="291"/>
      <c r="I7" s="292" t="s">
        <v>252</v>
      </c>
      <c r="J7" s="291"/>
      <c r="K7" s="293">
        <f>SUM(B7+D7+F7+H7+J7)</f>
        <v>2340036</v>
      </c>
    </row>
    <row r="8" spans="1:11" x14ac:dyDescent="0.2">
      <c r="A8" s="294" t="s">
        <v>136</v>
      </c>
      <c r="B8" s="295"/>
      <c r="C8" s="294" t="s">
        <v>136</v>
      </c>
      <c r="D8" s="296"/>
      <c r="E8" s="294" t="s">
        <v>136</v>
      </c>
      <c r="F8" s="105"/>
      <c r="G8" s="294" t="s">
        <v>136</v>
      </c>
      <c r="H8" s="265"/>
      <c r="I8" s="294" t="s">
        <v>136</v>
      </c>
      <c r="J8" s="265"/>
      <c r="K8" s="105"/>
    </row>
    <row r="9" spans="1:11" x14ac:dyDescent="0.2">
      <c r="A9" s="297" t="s">
        <v>82</v>
      </c>
      <c r="B9" s="291">
        <v>2633</v>
      </c>
      <c r="C9" s="297" t="s">
        <v>82</v>
      </c>
      <c r="D9" s="291">
        <v>88</v>
      </c>
      <c r="E9" s="297" t="s">
        <v>82</v>
      </c>
      <c r="F9" s="291">
        <v>1192</v>
      </c>
      <c r="G9" s="297"/>
      <c r="H9" s="291"/>
      <c r="I9" s="297"/>
      <c r="J9" s="291"/>
      <c r="K9" s="105"/>
    </row>
    <row r="10" spans="1:11" x14ac:dyDescent="0.2">
      <c r="A10" s="297" t="s">
        <v>1183</v>
      </c>
      <c r="B10" s="291">
        <v>2099609</v>
      </c>
      <c r="C10" s="297" t="s">
        <v>1060</v>
      </c>
      <c r="D10" s="291">
        <v>429104</v>
      </c>
      <c r="E10" s="297" t="s">
        <v>1203</v>
      </c>
      <c r="F10" s="291">
        <v>100111</v>
      </c>
      <c r="G10" s="297"/>
      <c r="H10" s="291"/>
      <c r="I10" s="297"/>
      <c r="J10" s="291"/>
      <c r="K10" s="105"/>
    </row>
    <row r="11" spans="1:11" x14ac:dyDescent="0.2">
      <c r="A11" s="297" t="s">
        <v>1225</v>
      </c>
      <c r="B11" s="291">
        <v>2228</v>
      </c>
      <c r="C11" s="298" t="s">
        <v>1230</v>
      </c>
      <c r="D11" s="291">
        <v>1200</v>
      </c>
      <c r="E11" s="298" t="s">
        <v>1060</v>
      </c>
      <c r="F11" s="291">
        <v>189637</v>
      </c>
      <c r="G11" s="298"/>
      <c r="H11" s="291"/>
      <c r="I11" s="299"/>
      <c r="J11" s="291"/>
      <c r="K11" s="105"/>
    </row>
    <row r="12" spans="1:11" x14ac:dyDescent="0.2">
      <c r="A12" s="297" t="s">
        <v>1226</v>
      </c>
      <c r="B12" s="300">
        <v>33054</v>
      </c>
      <c r="C12" s="297" t="s">
        <v>1231</v>
      </c>
      <c r="D12" s="291">
        <v>4640</v>
      </c>
      <c r="E12" s="301" t="s">
        <v>1230</v>
      </c>
      <c r="F12" s="291">
        <v>130</v>
      </c>
      <c r="G12" s="301"/>
      <c r="H12" s="291"/>
      <c r="I12" s="301"/>
      <c r="J12" s="291"/>
      <c r="K12" s="105"/>
    </row>
    <row r="13" spans="1:11" x14ac:dyDescent="0.2">
      <c r="A13" s="302" t="s">
        <v>1227</v>
      </c>
      <c r="B13" s="303">
        <v>9455</v>
      </c>
      <c r="C13" s="304" t="s">
        <v>1232</v>
      </c>
      <c r="D13" s="291"/>
      <c r="E13" s="304"/>
      <c r="F13" s="291"/>
      <c r="G13" s="304"/>
      <c r="H13" s="291"/>
      <c r="I13" s="299"/>
      <c r="J13" s="291"/>
      <c r="K13" s="105"/>
    </row>
    <row r="14" spans="1:11" x14ac:dyDescent="0.2">
      <c r="A14" s="297"/>
      <c r="B14" s="291"/>
      <c r="C14" s="301"/>
      <c r="D14" s="291"/>
      <c r="E14" s="301"/>
      <c r="F14" s="291"/>
      <c r="G14" s="301"/>
      <c r="H14" s="291"/>
      <c r="I14" s="301"/>
      <c r="J14" s="291"/>
      <c r="K14" s="105"/>
    </row>
    <row r="15" spans="1:11" x14ac:dyDescent="0.2">
      <c r="A15" s="297"/>
      <c r="B15" s="291"/>
      <c r="C15" s="301"/>
      <c r="D15" s="291"/>
      <c r="E15" s="301"/>
      <c r="F15" s="291"/>
      <c r="G15" s="301"/>
      <c r="H15" s="291"/>
      <c r="I15" s="301"/>
      <c r="J15" s="291"/>
      <c r="K15" s="105"/>
    </row>
    <row r="16" spans="1:11" x14ac:dyDescent="0.2">
      <c r="A16" s="297"/>
      <c r="B16" s="303"/>
      <c r="C16" s="297"/>
      <c r="D16" s="291"/>
      <c r="E16" s="297"/>
      <c r="F16" s="291"/>
      <c r="G16" s="301"/>
      <c r="H16" s="291"/>
      <c r="I16" s="297"/>
      <c r="J16" s="291"/>
      <c r="K16" s="105"/>
    </row>
    <row r="17" spans="1:12" x14ac:dyDescent="0.2">
      <c r="A17" s="294" t="s">
        <v>47</v>
      </c>
      <c r="B17" s="293">
        <f>SUM(B9:B16)</f>
        <v>2146979</v>
      </c>
      <c r="C17" s="294" t="s">
        <v>47</v>
      </c>
      <c r="D17" s="293">
        <f>SUM(D9:D16)</f>
        <v>435032</v>
      </c>
      <c r="E17" s="294" t="s">
        <v>47</v>
      </c>
      <c r="F17" s="373">
        <f>SUM(F9:F16)</f>
        <v>291070</v>
      </c>
      <c r="G17" s="294" t="s">
        <v>47</v>
      </c>
      <c r="H17" s="293">
        <f>SUM(H9:H16)</f>
        <v>0</v>
      </c>
      <c r="I17" s="294" t="s">
        <v>47</v>
      </c>
      <c r="J17" s="293">
        <f>SUM(J9:J16)</f>
        <v>0</v>
      </c>
      <c r="K17" s="293">
        <f>SUM(B17+D17+F17+H17+J17)</f>
        <v>2873081</v>
      </c>
    </row>
    <row r="18" spans="1:12" x14ac:dyDescent="0.2">
      <c r="A18" s="294" t="s">
        <v>48</v>
      </c>
      <c r="B18" s="293">
        <f>SUM(B7+B17)</f>
        <v>3822743</v>
      </c>
      <c r="C18" s="294" t="s">
        <v>48</v>
      </c>
      <c r="D18" s="293">
        <f>SUM(D7+D17)</f>
        <v>494639</v>
      </c>
      <c r="E18" s="294" t="s">
        <v>48</v>
      </c>
      <c r="F18" s="293">
        <f>SUM(F7+F17)</f>
        <v>895735</v>
      </c>
      <c r="G18" s="294" t="s">
        <v>48</v>
      </c>
      <c r="H18" s="293">
        <f>SUM(H7+H17)</f>
        <v>0</v>
      </c>
      <c r="I18" s="294" t="s">
        <v>48</v>
      </c>
      <c r="J18" s="293">
        <f>SUM(J7+J17)</f>
        <v>0</v>
      </c>
      <c r="K18" s="293">
        <f>SUM(B18+D18+F18+H18+J18)</f>
        <v>5213117</v>
      </c>
    </row>
    <row r="19" spans="1:12" x14ac:dyDescent="0.2">
      <c r="A19" s="294" t="s">
        <v>49</v>
      </c>
      <c r="B19" s="295"/>
      <c r="C19" s="294" t="s">
        <v>49</v>
      </c>
      <c r="D19" s="296"/>
      <c r="E19" s="294" t="s">
        <v>49</v>
      </c>
      <c r="F19" s="105"/>
      <c r="G19" s="294" t="s">
        <v>49</v>
      </c>
      <c r="H19" s="265"/>
      <c r="I19" s="294" t="s">
        <v>49</v>
      </c>
      <c r="J19" s="265"/>
      <c r="K19" s="105"/>
    </row>
    <row r="20" spans="1:12" x14ac:dyDescent="0.2">
      <c r="A20" s="297" t="s">
        <v>1075</v>
      </c>
      <c r="B20" s="291">
        <v>2986209</v>
      </c>
      <c r="C20" s="301" t="s">
        <v>1075</v>
      </c>
      <c r="D20" s="291">
        <v>262850</v>
      </c>
      <c r="E20" s="301" t="s">
        <v>1080</v>
      </c>
      <c r="F20" s="291">
        <v>117580</v>
      </c>
      <c r="G20" s="301"/>
      <c r="H20" s="291"/>
      <c r="I20" s="301"/>
      <c r="J20" s="291"/>
      <c r="K20" s="105"/>
    </row>
    <row r="21" spans="1:12" x14ac:dyDescent="0.2">
      <c r="A21" s="297" t="s">
        <v>1081</v>
      </c>
      <c r="B21" s="291">
        <v>1473</v>
      </c>
      <c r="C21" s="301" t="s">
        <v>1081</v>
      </c>
      <c r="D21" s="291">
        <v>180343</v>
      </c>
      <c r="E21" s="301" t="s">
        <v>1075</v>
      </c>
      <c r="F21" s="291">
        <v>73954</v>
      </c>
      <c r="G21" s="301"/>
      <c r="H21" s="291"/>
      <c r="I21" s="301"/>
      <c r="J21" s="291"/>
      <c r="K21" s="105"/>
    </row>
    <row r="22" spans="1:12" x14ac:dyDescent="0.2">
      <c r="A22" s="297" t="s">
        <v>1082</v>
      </c>
      <c r="B22" s="291">
        <v>115431</v>
      </c>
      <c r="C22" s="304"/>
      <c r="D22" s="291"/>
      <c r="E22" s="304" t="s">
        <v>1081</v>
      </c>
      <c r="F22" s="291">
        <v>4651</v>
      </c>
      <c r="G22" s="304"/>
      <c r="H22" s="291"/>
      <c r="I22" s="299"/>
      <c r="J22" s="291"/>
      <c r="K22" s="105"/>
    </row>
    <row r="23" spans="1:12" x14ac:dyDescent="0.2">
      <c r="A23" s="297" t="s">
        <v>1165</v>
      </c>
      <c r="B23" s="291">
        <v>62674</v>
      </c>
      <c r="C23" s="301"/>
      <c r="D23" s="291"/>
      <c r="E23" s="301" t="s">
        <v>1082</v>
      </c>
      <c r="F23" s="291">
        <v>5043</v>
      </c>
      <c r="G23" s="301"/>
      <c r="H23" s="291"/>
      <c r="I23" s="301"/>
      <c r="J23" s="291"/>
      <c r="K23" s="105"/>
    </row>
    <row r="24" spans="1:12" x14ac:dyDescent="0.2">
      <c r="A24" s="297" t="s">
        <v>1228</v>
      </c>
      <c r="B24" s="291">
        <v>595</v>
      </c>
      <c r="C24" s="304"/>
      <c r="D24" s="291"/>
      <c r="E24" s="304"/>
      <c r="F24" s="291"/>
      <c r="G24" s="304"/>
      <c r="H24" s="291"/>
      <c r="I24" s="299"/>
      <c r="J24" s="291"/>
      <c r="K24" s="105"/>
    </row>
    <row r="25" spans="1:12" x14ac:dyDescent="0.2">
      <c r="A25" s="297" t="s">
        <v>1192</v>
      </c>
      <c r="B25" s="291">
        <v>17510</v>
      </c>
      <c r="C25" s="301"/>
      <c r="D25" s="291"/>
      <c r="E25" s="301"/>
      <c r="F25" s="291"/>
      <c r="G25" s="301"/>
      <c r="H25" s="291"/>
      <c r="I25" s="301"/>
      <c r="J25" s="291"/>
      <c r="K25" s="105"/>
    </row>
    <row r="26" spans="1:12" x14ac:dyDescent="0.2">
      <c r="A26" s="297" t="s">
        <v>1229</v>
      </c>
      <c r="B26" s="291">
        <v>1784</v>
      </c>
      <c r="C26" s="301"/>
      <c r="D26" s="291"/>
      <c r="E26" s="301"/>
      <c r="F26" s="291"/>
      <c r="G26" s="301"/>
      <c r="H26" s="291"/>
      <c r="I26" s="301"/>
      <c r="J26" s="291"/>
      <c r="K26" s="105"/>
    </row>
    <row r="27" spans="1:12" x14ac:dyDescent="0.2">
      <c r="A27" s="297"/>
      <c r="B27" s="291"/>
      <c r="C27" s="297"/>
      <c r="D27" s="291"/>
      <c r="E27" s="297"/>
      <c r="F27" s="291"/>
      <c r="G27" s="301"/>
      <c r="H27" s="291"/>
      <c r="I27" s="301"/>
      <c r="J27" s="291"/>
      <c r="K27" s="105"/>
    </row>
    <row r="28" spans="1:12" x14ac:dyDescent="0.2">
      <c r="A28" s="294" t="s">
        <v>50</v>
      </c>
      <c r="B28" s="293">
        <f>SUM(B20:B27)</f>
        <v>3185676</v>
      </c>
      <c r="C28" s="294" t="s">
        <v>50</v>
      </c>
      <c r="D28" s="293">
        <f>SUM(D20:D27)</f>
        <v>443193</v>
      </c>
      <c r="E28" s="294" t="s">
        <v>50</v>
      </c>
      <c r="F28" s="373">
        <f>SUM(F20:F27)</f>
        <v>201228</v>
      </c>
      <c r="G28" s="294" t="s">
        <v>50</v>
      </c>
      <c r="H28" s="373">
        <f>SUM(H20:H27)</f>
        <v>0</v>
      </c>
      <c r="I28" s="294" t="s">
        <v>50</v>
      </c>
      <c r="J28" s="293">
        <f>SUM(J20:J27)</f>
        <v>0</v>
      </c>
      <c r="K28" s="293">
        <f>SUM(B28+D28+F28+H28+J28)</f>
        <v>3830097</v>
      </c>
    </row>
    <row r="29" spans="1:12" x14ac:dyDescent="0.2">
      <c r="A29" s="294" t="s">
        <v>199</v>
      </c>
      <c r="B29" s="293">
        <f>SUM(B18-B28)</f>
        <v>637067</v>
      </c>
      <c r="C29" s="294" t="s">
        <v>199</v>
      </c>
      <c r="D29" s="293">
        <f>SUM(D18-D28)</f>
        <v>51446</v>
      </c>
      <c r="E29" s="294" t="s">
        <v>199</v>
      </c>
      <c r="F29" s="293">
        <f>SUM(F18-F28)</f>
        <v>694507</v>
      </c>
      <c r="G29" s="294" t="s">
        <v>199</v>
      </c>
      <c r="H29" s="293">
        <f>SUM(H18-H28)</f>
        <v>0</v>
      </c>
      <c r="I29" s="294" t="s">
        <v>199</v>
      </c>
      <c r="J29" s="293">
        <f>SUM(J18-J28)</f>
        <v>0</v>
      </c>
      <c r="K29" s="305">
        <f>SUM(B29+D29+F29+H29+J29)</f>
        <v>1383020</v>
      </c>
      <c r="L29" s="3" t="s">
        <v>203</v>
      </c>
    </row>
    <row r="30" spans="1:12" x14ac:dyDescent="0.2">
      <c r="A30" s="294"/>
      <c r="B30" s="334" t="str">
        <f>IF(B29&lt;0,"See Tab B","")</f>
        <v/>
      </c>
      <c r="C30" s="294"/>
      <c r="D30" s="334" t="str">
        <f>IF(D29&lt;0,"See Tab B","")</f>
        <v/>
      </c>
      <c r="E30" s="294"/>
      <c r="F30" s="334" t="str">
        <f>IF(F29&lt;0,"See Tab B","")</f>
        <v/>
      </c>
      <c r="G30" s="265"/>
      <c r="H30" s="334" t="str">
        <f>IF(H29&lt;0,"See Tab B","")</f>
        <v/>
      </c>
      <c r="I30" s="265"/>
      <c r="J30" s="334" t="str">
        <f>IF(J29&lt;0,"See Tab B","")</f>
        <v/>
      </c>
      <c r="K30" s="305">
        <f>SUM(K7+K17-K28)</f>
        <v>1383020</v>
      </c>
      <c r="L30" s="3" t="s">
        <v>203</v>
      </c>
    </row>
    <row r="31" spans="1:12" x14ac:dyDescent="0.2">
      <c r="A31" s="265"/>
      <c r="B31" s="306"/>
      <c r="C31" s="265"/>
      <c r="D31" s="105"/>
      <c r="E31" s="265"/>
      <c r="F31" s="265"/>
      <c r="G31" s="13" t="s">
        <v>204</v>
      </c>
      <c r="H31" s="13"/>
      <c r="I31" s="13"/>
      <c r="J31" s="13"/>
      <c r="K31" s="265"/>
    </row>
    <row r="32" spans="1:12" x14ac:dyDescent="0.2">
      <c r="A32" s="265"/>
      <c r="B32" s="306"/>
      <c r="C32" s="265"/>
      <c r="D32" s="265"/>
      <c r="E32" s="265"/>
      <c r="F32" s="265"/>
      <c r="G32" s="265"/>
      <c r="H32" s="265"/>
      <c r="I32" s="265"/>
      <c r="J32" s="265"/>
      <c r="K32" s="265"/>
    </row>
    <row r="33" spans="1:11" x14ac:dyDescent="0.2">
      <c r="A33" s="265"/>
      <c r="B33" s="306"/>
      <c r="C33" s="265"/>
      <c r="D33" s="265"/>
      <c r="E33" s="264" t="s">
        <v>53</v>
      </c>
      <c r="F33" s="266">
        <v>26</v>
      </c>
      <c r="G33" s="265"/>
      <c r="H33" s="265"/>
      <c r="I33" s="265"/>
      <c r="J33" s="265"/>
      <c r="K33" s="265"/>
    </row>
    <row r="34" spans="1:11" x14ac:dyDescent="0.2">
      <c r="B34" s="307"/>
    </row>
    <row r="35" spans="1:11" x14ac:dyDescent="0.2">
      <c r="B35" s="307"/>
    </row>
    <row r="36" spans="1:11" x14ac:dyDescent="0.2">
      <c r="B36" s="307"/>
    </row>
    <row r="37" spans="1:11" x14ac:dyDescent="0.2">
      <c r="B37" s="307"/>
    </row>
    <row r="38" spans="1:11" x14ac:dyDescent="0.2">
      <c r="B38" s="307"/>
    </row>
    <row r="39" spans="1:11" x14ac:dyDescent="0.2">
      <c r="B39" s="307"/>
    </row>
    <row r="40" spans="1:11" x14ac:dyDescent="0.2">
      <c r="B40" s="307"/>
    </row>
    <row r="41" spans="1:11" x14ac:dyDescent="0.2">
      <c r="B41" s="307"/>
    </row>
  </sheetData>
  <sheetProtection sheet="1" objects="1" scenarios="1"/>
  <mergeCells count="5">
    <mergeCell ref="I5:J5"/>
    <mergeCell ref="A5:B5"/>
    <mergeCell ref="C5:D5"/>
    <mergeCell ref="E5:F5"/>
    <mergeCell ref="G5:H5"/>
  </mergeCells>
  <phoneticPr fontId="10" type="noConversion"/>
  <pageMargins left="0.75" right="0.75" top="1" bottom="1" header="0.5" footer="0.5"/>
  <pageSetup paperSize="17" scale="86" orientation="landscape"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2" sqref="A2"/>
    </sheetView>
  </sheetViews>
  <sheetFormatPr defaultColWidth="8.88671875" defaultRowHeight="15" x14ac:dyDescent="0.2"/>
  <cols>
    <col min="1" max="1" width="70.5546875" style="333" customWidth="1"/>
    <col min="2" max="16384" width="8.88671875" style="333"/>
  </cols>
  <sheetData>
    <row r="1" spans="1:1" ht="18.75" x14ac:dyDescent="0.2">
      <c r="A1" s="198" t="s">
        <v>331</v>
      </c>
    </row>
    <row r="2" spans="1:1" ht="15.75" x14ac:dyDescent="0.2">
      <c r="A2" s="199"/>
    </row>
    <row r="3" spans="1:1" ht="47.25" x14ac:dyDescent="0.2">
      <c r="A3" s="200" t="s">
        <v>332</v>
      </c>
    </row>
    <row r="4" spans="1:1" ht="15.75" x14ac:dyDescent="0.2">
      <c r="A4" s="201"/>
    </row>
    <row r="5" spans="1:1" ht="15.75" x14ac:dyDescent="0.2">
      <c r="A5" s="199"/>
    </row>
    <row r="6" spans="1:1" ht="31.5" x14ac:dyDescent="0.2">
      <c r="A6" s="200" t="s">
        <v>333</v>
      </c>
    </row>
    <row r="7" spans="1:1" ht="15.75" x14ac:dyDescent="0.2">
      <c r="A7" s="199"/>
    </row>
    <row r="8" spans="1:1" ht="15.75" x14ac:dyDescent="0.2">
      <c r="A8" s="201"/>
    </row>
    <row r="9" spans="1:1" ht="31.5" x14ac:dyDescent="0.2">
      <c r="A9" s="200" t="s">
        <v>334</v>
      </c>
    </row>
    <row r="10" spans="1:1" ht="15.75" x14ac:dyDescent="0.2">
      <c r="A10" s="199"/>
    </row>
    <row r="11" spans="1:1" ht="15.75" x14ac:dyDescent="0.2">
      <c r="A11" s="201"/>
    </row>
    <row r="12" spans="1:1" ht="47.25" x14ac:dyDescent="0.2">
      <c r="A12" s="200" t="s">
        <v>335</v>
      </c>
    </row>
    <row r="13" spans="1:1" ht="15.75" x14ac:dyDescent="0.2">
      <c r="A13" s="199"/>
    </row>
    <row r="14" spans="1:1" ht="15.75" x14ac:dyDescent="0.2">
      <c r="A14" s="199"/>
    </row>
    <row r="15" spans="1:1" ht="47.25" x14ac:dyDescent="0.2">
      <c r="A15" s="200" t="s">
        <v>336</v>
      </c>
    </row>
    <row r="16" spans="1:1" ht="15.75" x14ac:dyDescent="0.2">
      <c r="A16" s="199"/>
    </row>
    <row r="17" spans="1:1" ht="15.75" x14ac:dyDescent="0.2">
      <c r="A17" s="199"/>
    </row>
    <row r="18" spans="1:1" ht="47.25" x14ac:dyDescent="0.2">
      <c r="A18" s="200" t="s">
        <v>337</v>
      </c>
    </row>
    <row r="19" spans="1:1" ht="15.75" x14ac:dyDescent="0.2">
      <c r="A19" s="199"/>
    </row>
    <row r="20" spans="1:1" ht="15.75" x14ac:dyDescent="0.2">
      <c r="A20" s="199"/>
    </row>
    <row r="21" spans="1:1" ht="31.5" x14ac:dyDescent="0.2">
      <c r="A21" s="200" t="s">
        <v>338</v>
      </c>
    </row>
    <row r="22" spans="1:1" ht="15.75" x14ac:dyDescent="0.2">
      <c r="A22" s="199"/>
    </row>
    <row r="23" spans="1:1" ht="15.75" x14ac:dyDescent="0.2">
      <c r="A23" s="199"/>
    </row>
    <row r="24" spans="1:1" ht="47.25" x14ac:dyDescent="0.2">
      <c r="A24" s="200" t="s">
        <v>339</v>
      </c>
    </row>
    <row r="25" spans="1:1" ht="15.75" x14ac:dyDescent="0.2">
      <c r="A25" s="201"/>
    </row>
    <row r="26" spans="1:1" ht="15.75" x14ac:dyDescent="0.2">
      <c r="A26" s="201"/>
    </row>
    <row r="27" spans="1:1" ht="47.25" x14ac:dyDescent="0.2">
      <c r="A27" s="200" t="s">
        <v>340</v>
      </c>
    </row>
    <row r="28" spans="1:1" ht="15.75" x14ac:dyDescent="0.2">
      <c r="A28" s="199"/>
    </row>
    <row r="29" spans="1:1" ht="15.75" x14ac:dyDescent="0.2">
      <c r="A29" s="199"/>
    </row>
    <row r="30" spans="1:1" ht="31.5" x14ac:dyDescent="0.2">
      <c r="A30" s="200" t="s">
        <v>341</v>
      </c>
    </row>
    <row r="31" spans="1:1" ht="15.75" x14ac:dyDescent="0.2">
      <c r="A31" s="199"/>
    </row>
    <row r="32" spans="1:1" ht="15.75" x14ac:dyDescent="0.2">
      <c r="A32" s="199"/>
    </row>
    <row r="33" spans="1:1" ht="31.5" x14ac:dyDescent="0.2">
      <c r="A33" s="200" t="s">
        <v>342</v>
      </c>
    </row>
    <row r="34" spans="1:1" ht="15.75" x14ac:dyDescent="0.2">
      <c r="A34" s="201"/>
    </row>
    <row r="35" spans="1:1" ht="15.75" x14ac:dyDescent="0.2">
      <c r="A35" s="201"/>
    </row>
    <row r="36" spans="1:1" ht="31.5" x14ac:dyDescent="0.2">
      <c r="A36" s="200" t="s">
        <v>343</v>
      </c>
    </row>
    <row r="37" spans="1:1" ht="15.75" x14ac:dyDescent="0.2">
      <c r="A37" s="201"/>
    </row>
    <row r="38" spans="1:1" ht="15.75" x14ac:dyDescent="0.2">
      <c r="A38" s="199"/>
    </row>
    <row r="39" spans="1:1" ht="63" x14ac:dyDescent="0.2">
      <c r="A39" s="200" t="s">
        <v>344</v>
      </c>
    </row>
    <row r="40" spans="1:1" ht="15.75" x14ac:dyDescent="0.2">
      <c r="A40" s="199"/>
    </row>
    <row r="41" spans="1:1" ht="15.75" x14ac:dyDescent="0.2">
      <c r="A41" s="199"/>
    </row>
    <row r="42" spans="1:1" ht="47.25" x14ac:dyDescent="0.2">
      <c r="A42" s="200" t="s">
        <v>345</v>
      </c>
    </row>
    <row r="43" spans="1:1" ht="15.75" x14ac:dyDescent="0.2">
      <c r="A43" s="201"/>
    </row>
    <row r="44" spans="1:1" ht="15.75" x14ac:dyDescent="0.2">
      <c r="A44" s="199"/>
    </row>
    <row r="45" spans="1:1" ht="47.25" x14ac:dyDescent="0.2">
      <c r="A45" s="200" t="s">
        <v>346</v>
      </c>
    </row>
    <row r="46" spans="1:1" ht="15.75" x14ac:dyDescent="0.2">
      <c r="A46" s="199"/>
    </row>
    <row r="47" spans="1:1" ht="15.75" x14ac:dyDescent="0.2">
      <c r="A47" s="199"/>
    </row>
    <row r="48" spans="1:1" ht="31.5" x14ac:dyDescent="0.2">
      <c r="A48" s="200" t="s">
        <v>347</v>
      </c>
    </row>
    <row r="49" spans="1:1" ht="15.75" x14ac:dyDescent="0.2">
      <c r="A49" s="199"/>
    </row>
    <row r="50" spans="1:1" ht="15.75" x14ac:dyDescent="0.2">
      <c r="A50" s="199"/>
    </row>
    <row r="51" spans="1:1" ht="31.5" x14ac:dyDescent="0.2">
      <c r="A51" s="200" t="s">
        <v>348</v>
      </c>
    </row>
    <row r="52" spans="1:1" ht="15.75" x14ac:dyDescent="0.2">
      <c r="A52" s="199"/>
    </row>
    <row r="53" spans="1:1" ht="15.75" x14ac:dyDescent="0.2">
      <c r="A53" s="199"/>
    </row>
    <row r="54" spans="1:1" ht="63" x14ac:dyDescent="0.2">
      <c r="A54" s="200" t="s">
        <v>349</v>
      </c>
    </row>
    <row r="55" spans="1:1" ht="15.75" x14ac:dyDescent="0.2">
      <c r="A55" s="201"/>
    </row>
    <row r="56" spans="1:1" ht="15.75" x14ac:dyDescent="0.2">
      <c r="A56" s="201"/>
    </row>
    <row r="57" spans="1:1" ht="47.25" x14ac:dyDescent="0.2">
      <c r="A57" s="200" t="s">
        <v>350</v>
      </c>
    </row>
    <row r="58" spans="1:1" ht="15.75" x14ac:dyDescent="0.2">
      <c r="A58" s="199"/>
    </row>
    <row r="59" spans="1:1" ht="15.75" x14ac:dyDescent="0.2">
      <c r="A59" s="199"/>
    </row>
    <row r="60" spans="1:1" ht="31.5" x14ac:dyDescent="0.2">
      <c r="A60" s="200" t="s">
        <v>351</v>
      </c>
    </row>
    <row r="61" spans="1:1" ht="15.75" x14ac:dyDescent="0.2">
      <c r="A61" s="199"/>
    </row>
    <row r="62" spans="1:1" ht="15.75" x14ac:dyDescent="0.2">
      <c r="A62" s="199"/>
    </row>
    <row r="63" spans="1:1" ht="47.25" x14ac:dyDescent="0.2">
      <c r="A63" s="200" t="s">
        <v>352</v>
      </c>
    </row>
    <row r="64" spans="1:1" ht="15.75" x14ac:dyDescent="0.2">
      <c r="A64" s="201"/>
    </row>
    <row r="65" spans="1:1" ht="15.75" x14ac:dyDescent="0.2">
      <c r="A65" s="201"/>
    </row>
    <row r="66" spans="1:1" ht="47.25" x14ac:dyDescent="0.2">
      <c r="A66" s="200" t="s">
        <v>353</v>
      </c>
    </row>
    <row r="67" spans="1:1" ht="15.75" x14ac:dyDescent="0.2">
      <c r="A67" s="199"/>
    </row>
    <row r="68" spans="1:1" ht="15.75" x14ac:dyDescent="0.2">
      <c r="A68" s="199"/>
    </row>
    <row r="69" spans="1:1" ht="47.25" x14ac:dyDescent="0.2">
      <c r="A69" s="200" t="s">
        <v>354</v>
      </c>
    </row>
  </sheetData>
  <sheetProtection sheet="1" objects="1" scenarios="1"/>
  <pageMargins left="0.7" right="0.7" top="0.75" bottom="0.75" header="0.3" footer="0.3"/>
  <pageSetup orientation="portrait" r:id="rId1"/>
  <headerFooter>
    <oddFooter>&amp;Lrevised 10/5/09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6"/>
  <sheetViews>
    <sheetView topLeftCell="A52" zoomScale="75" workbookViewId="0">
      <selection activeCell="K15" sqref="K15"/>
    </sheetView>
  </sheetViews>
  <sheetFormatPr defaultColWidth="8.88671875" defaultRowHeight="15.75" x14ac:dyDescent="0.2"/>
  <cols>
    <col min="1" max="1" width="29.33203125" style="16" customWidth="1"/>
    <col min="2" max="2" width="13.44140625" style="16" customWidth="1"/>
    <col min="3" max="3" width="9.44140625" style="16" customWidth="1"/>
    <col min="4" max="4" width="13.77734375" style="16" customWidth="1"/>
    <col min="5" max="5" width="10.77734375" style="16" customWidth="1"/>
    <col min="6" max="6" width="13.109375" style="16" customWidth="1"/>
    <col min="7" max="7" width="12.21875" style="16" customWidth="1"/>
    <col min="8" max="8" width="10.5546875" style="16" customWidth="1"/>
    <col min="9" max="9" width="8.5546875" style="16" customWidth="1"/>
    <col min="10" max="10" width="12.44140625" style="16" customWidth="1"/>
    <col min="11" max="11" width="12.33203125" style="16" customWidth="1"/>
    <col min="12" max="12" width="10.5546875" style="16" customWidth="1"/>
    <col min="13" max="13" width="12.109375" style="16" customWidth="1"/>
    <col min="14" max="16384" width="8.88671875" style="16"/>
  </cols>
  <sheetData>
    <row r="1" spans="1:8" x14ac:dyDescent="0.2">
      <c r="A1" s="20"/>
      <c r="B1" s="20"/>
      <c r="C1" s="20"/>
      <c r="D1" s="20"/>
      <c r="E1" s="20"/>
      <c r="F1" s="20"/>
      <c r="G1" s="20"/>
      <c r="H1" s="125">
        <f>inputPrYr!$C$10</f>
        <v>2015</v>
      </c>
    </row>
    <row r="2" spans="1:8" x14ac:dyDescent="0.2">
      <c r="A2" s="774" t="s">
        <v>93</v>
      </c>
      <c r="B2" s="774"/>
      <c r="C2" s="774"/>
      <c r="D2" s="774"/>
      <c r="E2" s="774"/>
      <c r="F2" s="774"/>
      <c r="G2" s="774"/>
      <c r="H2" s="774"/>
    </row>
    <row r="3" spans="1:8" ht="8.4499999999999993" customHeight="1" x14ac:dyDescent="0.2">
      <c r="A3" s="20"/>
      <c r="B3" s="20"/>
      <c r="C3" s="20"/>
      <c r="D3" s="20"/>
      <c r="E3" s="20"/>
      <c r="F3" s="20"/>
      <c r="G3" s="20"/>
      <c r="H3" s="20"/>
    </row>
    <row r="4" spans="1:8" x14ac:dyDescent="0.2">
      <c r="A4" s="764" t="s">
        <v>1216</v>
      </c>
      <c r="B4" s="764"/>
      <c r="C4" s="764"/>
      <c r="D4" s="764"/>
      <c r="E4" s="764"/>
      <c r="F4" s="764"/>
      <c r="G4" s="764"/>
      <c r="H4" s="764"/>
    </row>
    <row r="5" spans="1:8" x14ac:dyDescent="0.2">
      <c r="A5" s="722" t="str">
        <f>inputPrYr!D3</f>
        <v>City of Bonner Springs</v>
      </c>
      <c r="B5" s="722"/>
      <c r="C5" s="722"/>
      <c r="D5" s="722"/>
      <c r="E5" s="722"/>
      <c r="F5" s="722"/>
      <c r="G5" s="722"/>
      <c r="H5" s="722"/>
    </row>
    <row r="6" spans="1:8" x14ac:dyDescent="0.2">
      <c r="A6" s="811" t="str">
        <f>CONCATENATE("will meet on ",inputBudSum!B7," at ",inputBudSum!B9," at ",inputBudSum!B11," for the purpose of  hearing and")</f>
        <v>will meet on August 11, 2014 at 7:30 p.m. at 205 East Second Street for the purpose of  hearing and</v>
      </c>
      <c r="B6" s="811"/>
      <c r="C6" s="811"/>
      <c r="D6" s="811"/>
      <c r="E6" s="811"/>
      <c r="F6" s="811"/>
      <c r="G6" s="811"/>
      <c r="H6" s="811"/>
    </row>
    <row r="7" spans="1:8" x14ac:dyDescent="0.2">
      <c r="A7" s="764" t="s">
        <v>1217</v>
      </c>
      <c r="B7" s="764"/>
      <c r="C7" s="764"/>
      <c r="D7" s="764"/>
      <c r="E7" s="764"/>
      <c r="F7" s="764"/>
      <c r="G7" s="764"/>
      <c r="H7" s="764"/>
    </row>
    <row r="8" spans="1:8" x14ac:dyDescent="0.2">
      <c r="A8" s="811" t="str">
        <f>CONCATENATE("Detailed budget information is available at ",inputBudSum!B14," and will be available at this hearing.")</f>
        <v>Detailed budget information is available at City Hall and will be available at this hearing.</v>
      </c>
      <c r="B8" s="811"/>
      <c r="C8" s="811"/>
      <c r="D8" s="811"/>
      <c r="E8" s="811"/>
      <c r="F8" s="811"/>
      <c r="G8" s="811"/>
      <c r="H8" s="811"/>
    </row>
    <row r="9" spans="1:8" x14ac:dyDescent="0.2">
      <c r="A9" s="712" t="s">
        <v>1218</v>
      </c>
      <c r="B9" s="702"/>
      <c r="C9" s="702"/>
      <c r="D9" s="702"/>
      <c r="E9" s="702"/>
      <c r="F9" s="702"/>
      <c r="G9" s="702"/>
      <c r="H9" s="702"/>
    </row>
    <row r="10" spans="1:8" x14ac:dyDescent="0.2">
      <c r="A10" s="25" t="s">
        <v>94</v>
      </c>
      <c r="B10" s="26"/>
      <c r="C10" s="26"/>
      <c r="D10" s="26"/>
      <c r="E10" s="26"/>
      <c r="F10" s="26"/>
      <c r="G10" s="26"/>
      <c r="H10" s="26"/>
    </row>
    <row r="11" spans="1:8" x14ac:dyDescent="0.2">
      <c r="A11" s="308" t="str">
        <f>CONCATENATE("Proposed Budget ",H1," Expenditures and Amount of ",D14," Ad Valorem Tax establish the maximum limits of the ",H1," budget.")</f>
        <v>Proposed Budget 2015 Expenditures and Amount of Current Year Estimate for 2014 Ad Valorem Tax establish the maximum limits of the 2015 budget.</v>
      </c>
      <c r="B11" s="309"/>
      <c r="C11" s="309"/>
      <c r="D11" s="309"/>
      <c r="E11" s="309"/>
      <c r="F11" s="309"/>
      <c r="G11" s="309"/>
      <c r="H11" s="309"/>
    </row>
    <row r="12" spans="1:8" x14ac:dyDescent="0.2">
      <c r="A12" s="27" t="s">
        <v>141</v>
      </c>
      <c r="B12" s="26"/>
      <c r="C12" s="26"/>
      <c r="D12" s="26"/>
      <c r="E12" s="26"/>
      <c r="F12" s="26"/>
      <c r="G12" s="26"/>
      <c r="H12" s="26"/>
    </row>
    <row r="13" spans="1:8" ht="6" customHeight="1" x14ac:dyDescent="0.2">
      <c r="A13" s="20"/>
      <c r="B13" s="280"/>
      <c r="C13" s="280"/>
      <c r="D13" s="280"/>
      <c r="E13" s="280"/>
      <c r="F13" s="280"/>
      <c r="G13" s="280"/>
      <c r="H13" s="280"/>
    </row>
    <row r="14" spans="1:8" x14ac:dyDescent="0.2">
      <c r="A14" s="20"/>
      <c r="B14" s="310" t="str">
        <f>CONCATENATE("Prior Year Actual for ",H1-2,"")</f>
        <v>Prior Year Actual for 2013</v>
      </c>
      <c r="C14" s="132"/>
      <c r="D14" s="310" t="str">
        <f>CONCATENATE("Current Year Estimate for ",H1-1,"")</f>
        <v>Current Year Estimate for 2014</v>
      </c>
      <c r="E14" s="132"/>
      <c r="F14" s="311" t="str">
        <f>CONCATENATE("Proposed Budget for ",H1,"")</f>
        <v>Proposed Budget for 2015</v>
      </c>
      <c r="G14" s="312"/>
      <c r="H14" s="132"/>
    </row>
    <row r="15" spans="1:8" ht="22.5" customHeight="1" x14ac:dyDescent="0.2">
      <c r="A15" s="20"/>
      <c r="B15" s="135"/>
      <c r="C15" s="135" t="s">
        <v>54</v>
      </c>
      <c r="D15" s="135"/>
      <c r="E15" s="135" t="s">
        <v>54</v>
      </c>
      <c r="F15" s="135" t="s">
        <v>233</v>
      </c>
      <c r="G15" s="313" t="str">
        <f>CONCATENATE("Amount of ",H1-1,"")</f>
        <v>Amount of 2014</v>
      </c>
      <c r="H15" s="135" t="s">
        <v>176</v>
      </c>
    </row>
    <row r="16" spans="1:8" ht="17.25" customHeight="1" x14ac:dyDescent="0.2">
      <c r="A16" s="44" t="s">
        <v>55</v>
      </c>
      <c r="B16" s="138" t="s">
        <v>24</v>
      </c>
      <c r="C16" s="138" t="s">
        <v>56</v>
      </c>
      <c r="D16" s="138" t="s">
        <v>174</v>
      </c>
      <c r="E16" s="138" t="s">
        <v>56</v>
      </c>
      <c r="F16" s="138" t="s">
        <v>696</v>
      </c>
      <c r="G16" s="213" t="s">
        <v>42</v>
      </c>
      <c r="H16" s="138" t="s">
        <v>56</v>
      </c>
    </row>
    <row r="17" spans="1:13" x14ac:dyDescent="0.2">
      <c r="A17" s="38" t="s">
        <v>14</v>
      </c>
      <c r="B17" s="182">
        <f>IF((general!$C$81)&lt;&gt;0,general!$C$81,"  ")</f>
        <v>6560070</v>
      </c>
      <c r="C17" s="314">
        <f>IF(inputPrYr!D73&gt;0,inputPrYr!D73,"  ")</f>
        <v>18.533000000000001</v>
      </c>
      <c r="D17" s="182">
        <f>IF((general!$D$81)&lt;&gt;0,general!$D$81,"  ")</f>
        <v>7466219</v>
      </c>
      <c r="E17" s="314">
        <f>IF(inputOth!D30&gt;0,inputOth!D30,"  ")</f>
        <v>22.789000000000001</v>
      </c>
      <c r="F17" s="182">
        <f>IF((general!$E$81)&lt;&gt;0,general!$E$81,"  ")</f>
        <v>8311549</v>
      </c>
      <c r="G17" s="182">
        <f>IF((general!$E$88)&lt;&gt;0,(general!$E$88),"  ")</f>
        <v>1656635.9500000002</v>
      </c>
      <c r="H17" s="314">
        <f>IF((general!E88&gt;0),ROUND(G17/$F$54*1000,3),"  ")</f>
        <v>24.007000000000001</v>
      </c>
    </row>
    <row r="18" spans="1:13" x14ac:dyDescent="0.2">
      <c r="A18" s="59" t="str">
        <f>IF((inputPrYr!$B23&gt;"  "),(inputPrYr!$B23),"  ")</f>
        <v>Debt Service</v>
      </c>
      <c r="B18" s="182">
        <f>IF(('DebtSvs-Library'!$C$35)&lt;&gt;0,'DebtSvs-Library'!$C$35,"  ")</f>
        <v>3539572</v>
      </c>
      <c r="C18" s="314">
        <f>IF(inputPrYr!D74&gt;0,inputPrYr!D74,"  ")</f>
        <v>7.1269999999999998</v>
      </c>
      <c r="D18" s="182">
        <f>IF(('DebtSvs-Library'!$D$35)&lt;&gt;0,'DebtSvs-Library'!$D$35,"  ")</f>
        <v>2732591</v>
      </c>
      <c r="E18" s="314">
        <f>IF(inputOth!D31&gt;0,inputOth!D31,"  ")</f>
        <v>5.6859999999999999</v>
      </c>
      <c r="F18" s="182">
        <f>IF(('DebtSvs-Library'!$E$35)&lt;&gt;0,'DebtSvs-Library'!$E$35,"  ")</f>
        <v>2247318</v>
      </c>
      <c r="G18" s="182">
        <f>IF(('DebtSvs-Library'!$E$42)&lt;&gt;0,('DebtSvs-Library'!$E$42),"  ")</f>
        <v>309029</v>
      </c>
      <c r="H18" s="314">
        <f>IF(('DebtSvs-Library'!E42&gt;0),ROUND(G18/$F$54*1000,3),"  ")</f>
        <v>4.4779999999999998</v>
      </c>
    </row>
    <row r="19" spans="1:13" x14ac:dyDescent="0.2">
      <c r="A19" s="59" t="str">
        <f>IF((inputPrYr!$B24&gt;"  "),(inputPrYr!$B24),"  ")</f>
        <v>Library</v>
      </c>
      <c r="B19" s="182">
        <f>IF(('DebtSvs-Library'!$C$64)&lt;&gt;0,('DebtSvs-Library'!$C$64),"  ")</f>
        <v>362301</v>
      </c>
      <c r="C19" s="314">
        <f>IF(inputPrYr!D75&gt;0,inputPrYr!D75,"  ")</f>
        <v>4.9450000000000003</v>
      </c>
      <c r="D19" s="182">
        <f>IF(('DebtSvs-Library'!$D$64)&lt;&gt;0,('DebtSvs-Library'!$D$64),"  ")</f>
        <v>372748</v>
      </c>
      <c r="E19" s="314">
        <f>IF(inputOth!D32&gt;0,inputOth!D32,"  ")</f>
        <v>5.16</v>
      </c>
      <c r="F19" s="182">
        <f>IF(('DebtSvs-Library'!$E$64)&lt;&gt;0,('DebtSvs-Library'!$E$64),"  ")</f>
        <v>388200</v>
      </c>
      <c r="G19" s="182">
        <f>IF(('DebtSvs-Library'!$E$71)&lt;&gt;0,('DebtSvs-Library'!$E$71),"  ")</f>
        <v>355317</v>
      </c>
      <c r="H19" s="314">
        <f>IF('DebtSvs-Library'!E71&gt;0,ROUND(G19/$F$54*1000,3),"")</f>
        <v>5.149</v>
      </c>
    </row>
    <row r="20" spans="1:13" x14ac:dyDescent="0.2">
      <c r="A20" s="59" t="str">
        <f>IF((inputPrYr!$B30&gt;"  "),(inputPrYr!$B30),"  ")</f>
        <v>Spec. Rev. Aquatic Park Facility Sales Tax</v>
      </c>
      <c r="B20" s="182">
        <f>'Aquatic Park CIP Sales'!C24</f>
        <v>1294760</v>
      </c>
      <c r="C20" s="146"/>
      <c r="D20" s="182">
        <f>'Aquatic Park CIP Sales'!D24</f>
        <v>101494</v>
      </c>
      <c r="E20" s="146"/>
      <c r="F20" s="182">
        <f>'Aquatic Park CIP Sales'!E24</f>
        <v>0</v>
      </c>
      <c r="G20" s="146"/>
      <c r="H20" s="146"/>
    </row>
    <row r="21" spans="1:13" x14ac:dyDescent="0.25">
      <c r="A21" s="59" t="str">
        <f>IF((inputPrYr!$B31&gt;"  "),(inputPrYr!$B31),"  ")</f>
        <v>Spec. Rev. CIP Sales Tax</v>
      </c>
      <c r="B21" s="182">
        <f>'Aquatic Park CIP Sales'!C49</f>
        <v>0</v>
      </c>
      <c r="C21" s="146"/>
      <c r="D21" s="222">
        <f>'Aquatic Park CIP Sales'!D49</f>
        <v>350100</v>
      </c>
      <c r="E21" s="146"/>
      <c r="F21" s="182">
        <f>'Aquatic Park CIP Sales'!E49</f>
        <v>450600</v>
      </c>
      <c r="G21" s="146"/>
      <c r="H21" s="146"/>
      <c r="J21" s="814" t="str">
        <f>CONCATENATE("Want The Mill Rate The Same As For ",H1-1,"?")</f>
        <v>Want The Mill Rate The Same As For 2014?</v>
      </c>
      <c r="K21" s="821"/>
      <c r="L21" s="821"/>
      <c r="M21" s="822"/>
    </row>
    <row r="22" spans="1:13" x14ac:dyDescent="0.25">
      <c r="A22" s="59" t="str">
        <f>IF((inputPrYr!$B32&gt;"  "),(inputPrYr!$B32),"  ")</f>
        <v>Spec. Rev. County Infrastructure</v>
      </c>
      <c r="B22" s="182">
        <f>'Co Infrastructure Tourism'!C20</f>
        <v>0</v>
      </c>
      <c r="C22" s="146"/>
      <c r="D22" s="182">
        <f>'Co Infrastructure Tourism'!D20</f>
        <v>0</v>
      </c>
      <c r="E22" s="146"/>
      <c r="F22" s="182">
        <f>'Co Infrastructure Tourism'!D20</f>
        <v>0</v>
      </c>
      <c r="G22" s="146"/>
      <c r="H22" s="146"/>
      <c r="J22" s="438"/>
      <c r="K22" s="442"/>
      <c r="L22" s="442"/>
      <c r="M22" s="437"/>
    </row>
    <row r="23" spans="1:13" x14ac:dyDescent="0.25">
      <c r="A23" s="59" t="str">
        <f>IF((inputPrYr!$B33&gt;"  "),(inputPrYr!$B33),"  ")</f>
        <v>Spec. Rev. Tourism</v>
      </c>
      <c r="B23" s="182">
        <f>'Co Infrastructure Tourism'!C47</f>
        <v>79755</v>
      </c>
      <c r="C23" s="146"/>
      <c r="D23" s="182">
        <f>'Co Infrastructure Tourism'!D47</f>
        <v>103366</v>
      </c>
      <c r="E23" s="146"/>
      <c r="F23" s="182">
        <f>'Co Infrastructure Tourism'!E47</f>
        <v>111965</v>
      </c>
      <c r="G23" s="146"/>
      <c r="H23" s="146"/>
      <c r="J23" s="438" t="str">
        <f>CONCATENATE("",H1-1," Mill Rate Was:")</f>
        <v>2014 Mill Rate Was:</v>
      </c>
      <c r="K23" s="442"/>
      <c r="L23" s="442"/>
      <c r="M23" s="436">
        <f>E50</f>
        <v>33.635000000000005</v>
      </c>
    </row>
    <row r="24" spans="1:13" x14ac:dyDescent="0.25">
      <c r="A24" s="59" t="str">
        <f>IF((inputPrYr!$B34&gt;"  "),(inputPrYr!$B34),"  ")</f>
        <v>Spec. Rev. Drug &amp; Alcohol</v>
      </c>
      <c r="B24" s="182">
        <f>'Drug Econ Dev'!C23</f>
        <v>72462</v>
      </c>
      <c r="C24" s="146"/>
      <c r="D24" s="182">
        <f>'Drug Econ Dev'!D23</f>
        <v>67280</v>
      </c>
      <c r="E24" s="146"/>
      <c r="F24" s="182">
        <f>'Drug Econ Dev'!E23</f>
        <v>85400</v>
      </c>
      <c r="G24" s="146"/>
      <c r="H24" s="146"/>
      <c r="J24" s="435" t="str">
        <f>CONCATENATE("",H1," Tax Levy Fund Expenditures Must Be")</f>
        <v>2015 Tax Levy Fund Expenditures Must Be</v>
      </c>
      <c r="K24" s="434"/>
      <c r="L24" s="434"/>
      <c r="M24" s="437"/>
    </row>
    <row r="25" spans="1:13" x14ac:dyDescent="0.25">
      <c r="A25" s="59" t="str">
        <f>IF((inputPrYr!$B35&gt;"  "),(inputPrYr!$B35),"  ")</f>
        <v>Spec. Rev. Economic Development</v>
      </c>
      <c r="B25" s="182">
        <f>'Drug Econ Dev'!C48</f>
        <v>11092</v>
      </c>
      <c r="C25" s="146"/>
      <c r="D25" s="182">
        <f>'Drug Econ Dev'!D48</f>
        <v>12574</v>
      </c>
      <c r="E25" s="146"/>
      <c r="F25" s="182">
        <f>'Drug Econ Dev'!E48</f>
        <v>12252</v>
      </c>
      <c r="G25" s="146"/>
      <c r="H25" s="146"/>
      <c r="J25" s="435" t="str">
        <f>IF(M25&gt;0,"Increased By:","")</f>
        <v>Increased By:</v>
      </c>
      <c r="K25" s="434"/>
      <c r="L25" s="434"/>
      <c r="M25" s="515">
        <f>IF(M54&lt;0,M54*-1,0)</f>
        <v>4.9999999813735485E-2</v>
      </c>
    </row>
    <row r="26" spans="1:13" x14ac:dyDescent="0.2">
      <c r="A26" s="59" t="str">
        <f>IF((inputPrYr!$B36&gt;"  "),(inputPrYr!$B36),"  ")</f>
        <v>Spec. Rev. Emergency Services Capital</v>
      </c>
      <c r="B26" s="182">
        <f>'Emer Cap &amp; EMS '!C22</f>
        <v>595337</v>
      </c>
      <c r="C26" s="146"/>
      <c r="D26" s="182">
        <f>'Emer Cap &amp; EMS '!D22</f>
        <v>407446</v>
      </c>
      <c r="E26" s="146"/>
      <c r="F26" s="182">
        <f>'Emer Cap &amp; EMS '!E22</f>
        <v>712176</v>
      </c>
      <c r="G26" s="146"/>
      <c r="H26" s="146"/>
      <c r="J26" s="516" t="str">
        <f>IF(M26&lt;0,"Reduced By:","")</f>
        <v/>
      </c>
      <c r="K26" s="467"/>
      <c r="L26" s="467"/>
      <c r="M26" s="517">
        <f>IF(M54&gt;0,M54*-1,0)</f>
        <v>0</v>
      </c>
    </row>
    <row r="27" spans="1:13" x14ac:dyDescent="0.2">
      <c r="A27" s="59" t="str">
        <f>IF((inputPrYr!$B37&gt;"  "),(inputPrYr!$B37),"  ")</f>
        <v>Spec. Rev. Emergency Medical Services</v>
      </c>
      <c r="B27" s="684">
        <f>'Emer Cap &amp; EMS '!C48</f>
        <v>524832</v>
      </c>
      <c r="C27" s="179"/>
      <c r="D27" s="684">
        <f>'Emer Cap &amp; EMS '!D48</f>
        <v>576020</v>
      </c>
      <c r="E27" s="179"/>
      <c r="F27" s="684">
        <f>'Emer Cap &amp; EMS '!E48</f>
        <v>687130</v>
      </c>
      <c r="G27" s="179"/>
      <c r="H27" s="179"/>
      <c r="J27" s="521"/>
      <c r="K27" s="521"/>
      <c r="L27" s="521"/>
      <c r="M27" s="685"/>
    </row>
    <row r="28" spans="1:13" x14ac:dyDescent="0.2">
      <c r="A28" s="59" t="str">
        <f>IF((inputPrYr!$B38&gt;"  "),(inputPrYr!$B38),"  ")</f>
        <v>Spec. Rev. Library Sales Tax</v>
      </c>
      <c r="B28" s="684">
        <f>'Lib Sales &amp; Park Ded'!C22</f>
        <v>387470</v>
      </c>
      <c r="C28" s="179"/>
      <c r="D28" s="711">
        <f>'Lib Sales &amp; Park Ded'!D22</f>
        <v>837280</v>
      </c>
      <c r="E28" s="179"/>
      <c r="F28" s="684">
        <f>'Lib Sales &amp; Park Ded'!E22</f>
        <v>423825</v>
      </c>
      <c r="G28" s="179"/>
      <c r="H28" s="179"/>
      <c r="J28" s="521"/>
      <c r="K28" s="521"/>
      <c r="L28" s="521"/>
      <c r="M28" s="685"/>
    </row>
    <row r="29" spans="1:13" x14ac:dyDescent="0.2">
      <c r="A29" s="59" t="str">
        <f>IF((inputPrYr!$B39&gt;"  "),(inputPrYr!$B39),"  ")</f>
        <v>Spec. Rev. Park Dedication</v>
      </c>
      <c r="B29" s="684">
        <f>'Lib Sales &amp; Park Ded'!C46</f>
        <v>0</v>
      </c>
      <c r="C29" s="179"/>
      <c r="D29" s="684">
        <f>'Lib Sales &amp; Park Ded'!D46</f>
        <v>0</v>
      </c>
      <c r="E29" s="179"/>
      <c r="F29" s="684">
        <f>'Lib Sales &amp; Park Ded'!E46</f>
        <v>0</v>
      </c>
      <c r="G29" s="179"/>
      <c r="H29" s="179"/>
      <c r="J29" s="521"/>
      <c r="K29" s="521"/>
      <c r="L29" s="521"/>
      <c r="M29" s="685"/>
    </row>
    <row r="30" spans="1:13" x14ac:dyDescent="0.2">
      <c r="A30" s="59" t="str">
        <f>IF((inputPrYr!$B40&gt;"  "),(inputPrYr!$B40),"  ")</f>
        <v>Spec. Rev. Recreation Programs</v>
      </c>
      <c r="B30" s="684">
        <f>'Rec Prog Risk Mgmt'!C24</f>
        <v>88102</v>
      </c>
      <c r="C30" s="179"/>
      <c r="D30" s="684">
        <f>'Rec Prog Risk Mgmt'!D24</f>
        <v>137195</v>
      </c>
      <c r="E30" s="179"/>
      <c r="F30" s="684">
        <f>'Rec Prog Risk Mgmt'!E24</f>
        <v>134615</v>
      </c>
      <c r="G30" s="179"/>
      <c r="H30" s="179"/>
      <c r="J30" s="521"/>
      <c r="K30" s="521"/>
      <c r="L30" s="521"/>
      <c r="M30" s="685"/>
    </row>
    <row r="31" spans="1:13" x14ac:dyDescent="0.2">
      <c r="A31" s="59" t="str">
        <f>IF((inputPrYr!$B41&gt;"  "),(inputPrYr!$B41),"  ")</f>
        <v>Spec. Rev. Risk Management</v>
      </c>
      <c r="B31" s="684">
        <f>'Rec Prog Risk Mgmt'!C48</f>
        <v>31787</v>
      </c>
      <c r="C31" s="179"/>
      <c r="D31" s="684">
        <f>'Rec Prog Risk Mgmt'!D48</f>
        <v>5161</v>
      </c>
      <c r="E31" s="179"/>
      <c r="F31" s="684">
        <f>'Rec Prog Risk Mgmt'!E48</f>
        <v>141164</v>
      </c>
      <c r="G31" s="179"/>
      <c r="H31" s="179"/>
      <c r="J31" s="521"/>
      <c r="K31" s="521"/>
      <c r="L31" s="521"/>
      <c r="M31" s="685"/>
    </row>
    <row r="32" spans="1:13" x14ac:dyDescent="0.2">
      <c r="A32" s="59" t="str">
        <f>IF((inputPrYr!$B42&gt;"  "),(inputPrYr!$B42),"  ")</f>
        <v>Spec. Rev. Senior Center</v>
      </c>
      <c r="B32" s="684">
        <f>'Sen Ctr Sidewalk'!C25</f>
        <v>44265</v>
      </c>
      <c r="C32" s="179"/>
      <c r="D32" s="684">
        <f>'Sen Ctr Sidewalk'!D25</f>
        <v>48280</v>
      </c>
      <c r="E32" s="179"/>
      <c r="F32" s="684">
        <f>'Sen Ctr Sidewalk'!E25</f>
        <v>48823</v>
      </c>
      <c r="G32" s="179"/>
      <c r="H32" s="179"/>
      <c r="J32" s="521"/>
      <c r="K32" s="521"/>
      <c r="L32" s="521"/>
      <c r="M32" s="685"/>
    </row>
    <row r="33" spans="1:13" x14ac:dyDescent="0.2">
      <c r="A33" s="59" t="str">
        <f>IF((inputPrYr!$B43&gt;"  "),(inputPrYr!$B43),"  ")</f>
        <v>Spec. Rev. Sidewalk Escrow</v>
      </c>
      <c r="B33" s="684">
        <f>'Sen Ctr Sidewalk'!C47</f>
        <v>0</v>
      </c>
      <c r="C33" s="179"/>
      <c r="D33" s="684">
        <f>'Sen Ctr Sidewalk'!D47</f>
        <v>0</v>
      </c>
      <c r="E33" s="179"/>
      <c r="F33" s="684">
        <f>'Sen Ctr Sidewalk'!E47</f>
        <v>34452</v>
      </c>
      <c r="G33" s="179"/>
      <c r="H33" s="179"/>
      <c r="J33" s="521"/>
      <c r="K33" s="521"/>
      <c r="L33" s="521"/>
      <c r="M33" s="685"/>
    </row>
    <row r="34" spans="1:13" x14ac:dyDescent="0.2">
      <c r="A34" s="59" t="str">
        <f>IF((inputPrYr!$B44&gt;"  "),(inputPrYr!$B44),"  ")</f>
        <v>Spec. Rev. Soccer</v>
      </c>
      <c r="B34" s="684">
        <f>'Soccer Spec Parks'!C22</f>
        <v>16218</v>
      </c>
      <c r="C34" s="179"/>
      <c r="D34" s="711">
        <f>'Soccer Spec Parks'!D22</f>
        <v>15755</v>
      </c>
      <c r="E34" s="179"/>
      <c r="F34" s="684">
        <f>'Soccer Spec Parks'!E22</f>
        <v>17505</v>
      </c>
      <c r="G34" s="179"/>
      <c r="H34" s="179"/>
      <c r="J34" s="521"/>
      <c r="K34" s="521"/>
      <c r="L34" s="521"/>
      <c r="M34" s="685"/>
    </row>
    <row r="35" spans="1:13" x14ac:dyDescent="0.2">
      <c r="A35" s="59" t="str">
        <f>IF((inputPrYr!$B45&gt;"  "),(inputPrYr!$B45),"  ")</f>
        <v>Spec. Rev. Special Parks &amp; Recreation</v>
      </c>
      <c r="B35" s="684">
        <f>'Soccer Spec Parks'!C47</f>
        <v>96195</v>
      </c>
      <c r="C35" s="179"/>
      <c r="D35" s="684">
        <f>'Soccer Spec Parks'!D47</f>
        <v>60342</v>
      </c>
      <c r="E35" s="179"/>
      <c r="F35" s="684">
        <f>'Soccer Spec Parks'!E47</f>
        <v>88500</v>
      </c>
      <c r="G35" s="179"/>
      <c r="H35" s="179"/>
      <c r="J35" s="521"/>
      <c r="K35" s="521"/>
      <c r="L35" s="521"/>
      <c r="M35" s="685"/>
    </row>
    <row r="36" spans="1:13" x14ac:dyDescent="0.2">
      <c r="A36" s="59" t="str">
        <f>IF((inputPrYr!$B46&gt;"  "),(inputPrYr!$B46),"  ")</f>
        <v>Spec. Rev. Street Projects</v>
      </c>
      <c r="B36" s="684">
        <f>'Streets Summer Ball'!C25</f>
        <v>490802</v>
      </c>
      <c r="C36" s="179"/>
      <c r="D36" s="711">
        <f>'Streets Summer Ball'!D25</f>
        <v>902226</v>
      </c>
      <c r="E36" s="179"/>
      <c r="F36" s="684">
        <f>'Streets Summer Ball'!E25</f>
        <v>914100</v>
      </c>
      <c r="G36" s="179"/>
      <c r="H36" s="179"/>
      <c r="J36" s="521"/>
      <c r="K36" s="521"/>
      <c r="L36" s="521"/>
      <c r="M36" s="685"/>
    </row>
    <row r="37" spans="1:13" x14ac:dyDescent="0.2">
      <c r="A37" s="59" t="str">
        <f>IF((inputPrYr!$B47&gt;"  "),(inputPrYr!$B47),"  ")</f>
        <v>Spec. Rev. Summer Ball</v>
      </c>
      <c r="B37" s="684">
        <f>'Streets Summer Ball'!C49</f>
        <v>36010</v>
      </c>
      <c r="C37" s="179"/>
      <c r="D37" s="684">
        <f>'Streets Summer Ball'!D49</f>
        <v>46250</v>
      </c>
      <c r="E37" s="179"/>
      <c r="F37" s="684">
        <f>'Streets Summer Ball'!E49</f>
        <v>29515</v>
      </c>
      <c r="G37" s="179"/>
      <c r="H37" s="179"/>
      <c r="J37" s="521"/>
      <c r="K37" s="521"/>
      <c r="L37" s="521"/>
      <c r="M37" s="685"/>
    </row>
    <row r="38" spans="1:13" x14ac:dyDescent="0.2">
      <c r="A38" s="59" t="str">
        <f>IF((inputPrYr!$B48&gt;"  "),(inputPrYr!$B48),"  ")</f>
        <v>Spec. Rev. Swimming Pool</v>
      </c>
      <c r="B38" s="684">
        <f>'Swim Pool &amp; Tiblow'!C35</f>
        <v>210536</v>
      </c>
      <c r="C38" s="179"/>
      <c r="D38" s="684">
        <f>'Swim Pool &amp; Tiblow'!D35</f>
        <v>261924</v>
      </c>
      <c r="E38" s="179"/>
      <c r="F38" s="684">
        <f>'Swim Pool &amp; Tiblow'!E35</f>
        <v>248881</v>
      </c>
      <c r="G38" s="179"/>
      <c r="H38" s="179"/>
      <c r="J38" s="521"/>
      <c r="K38" s="521"/>
      <c r="L38" s="521"/>
      <c r="M38" s="685"/>
    </row>
    <row r="39" spans="1:13" x14ac:dyDescent="0.2">
      <c r="A39" s="59" t="str">
        <f>IF((inputPrYr!$B49&gt;"  "),(inputPrYr!$B49),"  ")</f>
        <v>Spec. Rev. Tiblow Transit</v>
      </c>
      <c r="B39" s="684">
        <f>'Swim Pool &amp; Tiblow'!C60</f>
        <v>97610</v>
      </c>
      <c r="C39" s="179"/>
      <c r="D39" s="711">
        <f>'Swim Pool &amp; Tiblow'!D60</f>
        <v>93533</v>
      </c>
      <c r="E39" s="179"/>
      <c r="F39" s="684">
        <f>'Swim Pool &amp; Tiblow'!E60</f>
        <v>86228</v>
      </c>
      <c r="G39" s="179"/>
      <c r="H39" s="179"/>
      <c r="J39" s="521"/>
      <c r="K39" s="521"/>
      <c r="L39" s="521"/>
      <c r="M39" s="685"/>
    </row>
    <row r="40" spans="1:13" x14ac:dyDescent="0.2">
      <c r="A40" s="59" t="str">
        <f>IF((inputPrYr!$B50&gt;"  "),(inputPrYr!$B50),"  ")</f>
        <v>Spec. Rev. TIF Develop Funds</v>
      </c>
      <c r="B40" s="684">
        <f>'TIF Dev &amp; TIF Increment'!C22</f>
        <v>0</v>
      </c>
      <c r="C40" s="179"/>
      <c r="D40" s="684">
        <f>'TIF Dev &amp; TIF Increment'!D22</f>
        <v>0</v>
      </c>
      <c r="E40" s="179"/>
      <c r="F40" s="684">
        <f>'TIF Dev &amp; TIF Increment'!E22</f>
        <v>0</v>
      </c>
      <c r="G40" s="179"/>
      <c r="H40" s="179"/>
      <c r="J40" s="521"/>
      <c r="K40" s="521"/>
      <c r="L40" s="521"/>
      <c r="M40" s="685"/>
    </row>
    <row r="41" spans="1:13" x14ac:dyDescent="0.2">
      <c r="A41" s="59" t="str">
        <f>IF((inputPrYr!$B51&gt;"  "),(inputPrYr!$B51),"  ")</f>
        <v>Bonner Pointe TIF Increment</v>
      </c>
      <c r="B41" s="684">
        <f>'TIF Dev &amp; TIF Increment'!C43</f>
        <v>116920</v>
      </c>
      <c r="C41" s="179"/>
      <c r="D41" s="684">
        <f>'TIF Dev &amp; TIF Increment'!D43</f>
        <v>180000</v>
      </c>
      <c r="E41" s="179"/>
      <c r="F41" s="684">
        <f>'TIF Dev &amp; TIF Increment'!E43</f>
        <v>225000</v>
      </c>
      <c r="G41" s="179"/>
      <c r="H41" s="179"/>
      <c r="J41" s="521"/>
      <c r="K41" s="521"/>
      <c r="L41" s="521"/>
      <c r="M41" s="685"/>
    </row>
    <row r="42" spans="1:13" x14ac:dyDescent="0.2">
      <c r="A42" s="59" t="str">
        <f>IF((inputPrYr!$B52&gt;"  "),(inputPrYr!$B52),"  ")</f>
        <v>CID Development Fees</v>
      </c>
      <c r="B42" s="684">
        <f>'CID Dev Fees &amp; CID'!C20</f>
        <v>0</v>
      </c>
      <c r="C42" s="179"/>
      <c r="D42" s="711">
        <f>'CID Dev Fees &amp; CID'!D20</f>
        <v>11190</v>
      </c>
      <c r="E42" s="179"/>
      <c r="F42" s="684">
        <f>'CID Dev Fees &amp; CID'!E20</f>
        <v>0</v>
      </c>
      <c r="G42" s="179"/>
      <c r="H42" s="179"/>
      <c r="J42" s="521"/>
      <c r="K42" s="521"/>
      <c r="L42" s="521"/>
      <c r="M42" s="685"/>
    </row>
    <row r="43" spans="1:13" x14ac:dyDescent="0.2">
      <c r="A43" s="59" t="str">
        <f>IF((inputPrYr!$B53&gt;"  "),(inputPrYr!$B53),"  ")</f>
        <v>Bonner Springs Center CID</v>
      </c>
      <c r="B43" s="684">
        <f>'CID Dev Fees &amp; CID'!C41</f>
        <v>61440</v>
      </c>
      <c r="C43" s="179"/>
      <c r="D43" s="684">
        <f>'CID Dev Fees &amp; CID'!D41</f>
        <v>100000</v>
      </c>
      <c r="E43" s="179"/>
      <c r="F43" s="684">
        <f>'CID Dev Fees &amp; CID'!E41</f>
        <v>100000</v>
      </c>
      <c r="G43" s="179"/>
      <c r="H43" s="179"/>
      <c r="J43" s="521"/>
      <c r="K43" s="521"/>
      <c r="L43" s="521"/>
      <c r="M43" s="685"/>
    </row>
    <row r="44" spans="1:13" x14ac:dyDescent="0.2">
      <c r="A44" s="59" t="str">
        <f>IF((inputPrYr!$B54&gt;"  "),(inputPrYr!$B54),"  ")</f>
        <v>Bonner Springs Ctr City Contribution</v>
      </c>
      <c r="B44" s="684">
        <f>'Ctr City Contribution'!C29</f>
        <v>20977</v>
      </c>
      <c r="C44" s="179"/>
      <c r="D44" s="684">
        <f>'Ctr City Contribution'!D29</f>
        <v>33000</v>
      </c>
      <c r="E44" s="179"/>
      <c r="F44" s="684">
        <f>'Ctr City Contribution'!E29</f>
        <v>33000</v>
      </c>
      <c r="G44" s="179"/>
      <c r="H44" s="179"/>
      <c r="J44" s="521"/>
      <c r="K44" s="521"/>
      <c r="L44" s="521"/>
      <c r="M44" s="685"/>
    </row>
    <row r="45" spans="1:13" x14ac:dyDescent="0.2">
      <c r="A45" s="59" t="str">
        <f>IF((inputPrYr!$B55&gt;"  "),(inputPrYr!$B55),"  ")</f>
        <v>Enterprise Fund - Solid Waste</v>
      </c>
      <c r="B45" s="684">
        <f>'Solid Waste &amp; Storm '!C23</f>
        <v>335435</v>
      </c>
      <c r="C45" s="179"/>
      <c r="D45" s="684">
        <f>'Solid Waste &amp; Storm '!D23</f>
        <v>380110</v>
      </c>
      <c r="E45" s="179"/>
      <c r="F45" s="684">
        <f>'Solid Waste &amp; Storm '!E23</f>
        <v>457180</v>
      </c>
      <c r="G45" s="179"/>
      <c r="H45" s="179"/>
      <c r="J45" s="521"/>
      <c r="K45" s="521"/>
      <c r="L45" s="521"/>
      <c r="M45" s="685"/>
    </row>
    <row r="46" spans="1:13" x14ac:dyDescent="0.2">
      <c r="A46" s="59" t="str">
        <f>IF((inputPrYr!$B56&gt;"  "),(inputPrYr!$B56),"  ")</f>
        <v>Enterprise Fund - Storm Water</v>
      </c>
      <c r="B46" s="684">
        <f>'Solid Waste &amp; Storm '!C48</f>
        <v>97827</v>
      </c>
      <c r="C46" s="179"/>
      <c r="D46" s="684">
        <f>'Solid Waste &amp; Storm '!D48</f>
        <v>120378</v>
      </c>
      <c r="E46" s="179"/>
      <c r="F46" s="684">
        <f>'Solid Waste &amp; Storm '!E48</f>
        <v>185651</v>
      </c>
      <c r="G46" s="179"/>
      <c r="H46" s="179"/>
      <c r="J46" s="521"/>
      <c r="K46" s="521"/>
      <c r="L46" s="521"/>
      <c r="M46" s="685"/>
    </row>
    <row r="47" spans="1:13" x14ac:dyDescent="0.2">
      <c r="A47" s="59" t="str">
        <f>IF((inputPrYr!$B57&gt;"  "),(inputPrYr!$B57),"  ")</f>
        <v>Enterprise Fund - Waste Water</v>
      </c>
      <c r="B47" s="684">
        <f>'Waste Water'!C33</f>
        <v>1466133</v>
      </c>
      <c r="C47" s="179"/>
      <c r="D47" s="711">
        <f>'Waste Water'!D33</f>
        <v>1718907</v>
      </c>
      <c r="E47" s="179"/>
      <c r="F47" s="684">
        <f>'Waste Water'!E33</f>
        <v>1619454</v>
      </c>
      <c r="G47" s="179"/>
      <c r="H47" s="179"/>
      <c r="J47" s="521"/>
      <c r="K47" s="521"/>
      <c r="L47" s="521"/>
      <c r="M47" s="685"/>
    </row>
    <row r="48" spans="1:13" x14ac:dyDescent="0.2">
      <c r="A48" s="59" t="str">
        <f>IF((inputPrYr!$B58&gt;"  "),(inputPrYr!$B58),"  ")</f>
        <v>Enterprise Fund - Water</v>
      </c>
      <c r="B48" s="684">
        <f>Water!C35</f>
        <v>1983073</v>
      </c>
      <c r="C48" s="179"/>
      <c r="D48" s="684">
        <f>Water!D35</f>
        <v>2325055</v>
      </c>
      <c r="E48" s="179"/>
      <c r="F48" s="684">
        <f>Water!E35</f>
        <v>1996893</v>
      </c>
      <c r="G48" s="179"/>
      <c r="H48" s="179"/>
      <c r="J48" s="521"/>
      <c r="K48" s="521"/>
      <c r="L48" s="521"/>
      <c r="M48" s="685"/>
    </row>
    <row r="49" spans="1:13" ht="16.5" thickBot="1" x14ac:dyDescent="0.25">
      <c r="A49" s="59" t="str">
        <f>IF((inputPrYr!$B59&gt;"  "),(inputPrYr!$B59),"  ")</f>
        <v>Non Budgeted Funds</v>
      </c>
      <c r="B49" s="684">
        <f>nonbud!K28</f>
        <v>3830097</v>
      </c>
      <c r="C49" s="179"/>
      <c r="D49" s="684">
        <v>0</v>
      </c>
      <c r="E49" s="179"/>
      <c r="F49" s="684">
        <v>0</v>
      </c>
      <c r="G49" s="179"/>
      <c r="H49" s="179"/>
      <c r="J49" s="521"/>
      <c r="K49" s="521"/>
      <c r="L49" s="521"/>
      <c r="M49" s="685"/>
    </row>
    <row r="50" spans="1:13" x14ac:dyDescent="0.25">
      <c r="A50" s="485" t="s">
        <v>701</v>
      </c>
      <c r="B50" s="489">
        <f>SUM(B17:B49)</f>
        <v>22451078</v>
      </c>
      <c r="C50" s="490">
        <f>SUM(C17:C19)</f>
        <v>30.605</v>
      </c>
      <c r="D50" s="489">
        <f>SUM(D17:D49)</f>
        <v>19466424</v>
      </c>
      <c r="E50" s="490">
        <f>SUM(E17:E19)</f>
        <v>33.635000000000005</v>
      </c>
      <c r="F50" s="489">
        <f>SUM(F17:F49)</f>
        <v>19791376</v>
      </c>
      <c r="G50" s="489">
        <f>SUM(G17:G49)</f>
        <v>2320981.9500000002</v>
      </c>
      <c r="H50" s="490">
        <f>SUM(H17:H19)</f>
        <v>33.634</v>
      </c>
      <c r="J50" s="814" t="str">
        <f>CONCATENATE("Impact On Keeping The Same Mill Rate As For ",H1-1,"")</f>
        <v>Impact On Keeping The Same Mill Rate As For 2014</v>
      </c>
      <c r="K50" s="815"/>
      <c r="L50" s="815"/>
      <c r="M50" s="816"/>
    </row>
    <row r="51" spans="1:13" x14ac:dyDescent="0.25">
      <c r="A51" s="22" t="s">
        <v>57</v>
      </c>
      <c r="B51" s="479">
        <f>Transfers!$C$43</f>
        <v>3964558</v>
      </c>
      <c r="C51" s="316"/>
      <c r="D51" s="479">
        <f>Transfers!$D$43</f>
        <v>3364720</v>
      </c>
      <c r="E51" s="317"/>
      <c r="F51" s="479">
        <f>Transfers!$E$43</f>
        <v>3351136</v>
      </c>
      <c r="G51" s="486"/>
      <c r="H51" s="487"/>
      <c r="I51" s="488"/>
      <c r="J51" s="438"/>
      <c r="K51" s="442"/>
      <c r="L51" s="442"/>
      <c r="M51" s="437"/>
    </row>
    <row r="52" spans="1:13" ht="16.5" thickBot="1" x14ac:dyDescent="0.3">
      <c r="A52" s="22" t="s">
        <v>58</v>
      </c>
      <c r="B52" s="183">
        <f>B50-B51</f>
        <v>18486520</v>
      </c>
      <c r="C52" s="104"/>
      <c r="D52" s="477">
        <f>D50-D51</f>
        <v>16101704</v>
      </c>
      <c r="E52" s="316"/>
      <c r="F52" s="477">
        <f>F50-F51</f>
        <v>16440240</v>
      </c>
      <c r="G52" s="20"/>
      <c r="H52" s="20"/>
      <c r="I52" s="128"/>
      <c r="J52" s="438" t="str">
        <f>CONCATENATE("",H1," Ad Valorem Tax Revenue:")</f>
        <v>2015 Ad Valorem Tax Revenue:</v>
      </c>
      <c r="K52" s="442"/>
      <c r="L52" s="442"/>
      <c r="M52" s="441">
        <f>G50</f>
        <v>2320981.9500000002</v>
      </c>
    </row>
    <row r="53" spans="1:13" ht="16.5" thickTop="1" x14ac:dyDescent="0.25">
      <c r="A53" s="22" t="s">
        <v>59</v>
      </c>
      <c r="B53" s="476">
        <f>inputPrYr!$E$79</f>
        <v>2025736</v>
      </c>
      <c r="C53" s="104"/>
      <c r="D53" s="476">
        <f>inputPrYr!E27</f>
        <v>2203824</v>
      </c>
      <c r="E53" s="104"/>
      <c r="F53" s="478"/>
      <c r="G53" s="104"/>
      <c r="H53" s="104"/>
      <c r="J53" s="438" t="str">
        <f>CONCATENATE("",H1-1," Ad Valorem Tax Revenue:")</f>
        <v>2014 Ad Valorem Tax Revenue:</v>
      </c>
      <c r="K53" s="442"/>
      <c r="L53" s="442"/>
      <c r="M53" s="430">
        <f>ROUND(F54*M23/1000,0)</f>
        <v>2320982</v>
      </c>
    </row>
    <row r="54" spans="1:13" x14ac:dyDescent="0.25">
      <c r="A54" s="22" t="s">
        <v>60</v>
      </c>
      <c r="B54" s="182">
        <f>inputPrYr!$E$80</f>
        <v>65521617</v>
      </c>
      <c r="C54" s="104"/>
      <c r="D54" s="182">
        <f>inputOth!D42</f>
        <v>65518490</v>
      </c>
      <c r="E54" s="104"/>
      <c r="F54" s="479">
        <f>inputOth!B14</f>
        <v>69004957</v>
      </c>
      <c r="G54" s="104"/>
      <c r="H54" s="104"/>
      <c r="J54" s="433" t="s">
        <v>692</v>
      </c>
      <c r="K54" s="432"/>
      <c r="L54" s="432"/>
      <c r="M54" s="440">
        <f>SUM(M52-M53)</f>
        <v>-4.9999999813735485E-2</v>
      </c>
    </row>
    <row r="55" spans="1:13" x14ac:dyDescent="0.25">
      <c r="A55" s="22" t="s">
        <v>61</v>
      </c>
      <c r="B55" s="20"/>
      <c r="C55" s="20"/>
      <c r="D55" s="20"/>
      <c r="E55" s="20"/>
      <c r="F55" s="20"/>
      <c r="G55" s="104"/>
      <c r="H55" s="104"/>
      <c r="J55" s="439"/>
      <c r="K55" s="439"/>
      <c r="L55" s="439"/>
      <c r="M55" s="431"/>
    </row>
    <row r="56" spans="1:13" x14ac:dyDescent="0.25">
      <c r="A56" s="22" t="s">
        <v>62</v>
      </c>
      <c r="B56" s="318">
        <f>$H$1-3</f>
        <v>2012</v>
      </c>
      <c r="C56" s="20"/>
      <c r="D56" s="318">
        <f>$H$1-2</f>
        <v>2013</v>
      </c>
      <c r="E56" s="20"/>
      <c r="F56" s="318">
        <f>$H$1-1</f>
        <v>2014</v>
      </c>
      <c r="G56" s="104"/>
      <c r="H56" s="104"/>
      <c r="J56" s="814" t="s">
        <v>693</v>
      </c>
      <c r="K56" s="817"/>
      <c r="L56" s="817"/>
      <c r="M56" s="818"/>
    </row>
    <row r="57" spans="1:13" x14ac:dyDescent="0.25">
      <c r="A57" s="22" t="s">
        <v>63</v>
      </c>
      <c r="B57" s="182">
        <f>inputPrYr!$D$84</f>
        <v>22570000</v>
      </c>
      <c r="C57" s="20"/>
      <c r="D57" s="182">
        <f>inputPrYr!$E$84</f>
        <v>20645000</v>
      </c>
      <c r="E57" s="20"/>
      <c r="F57" s="182">
        <f>debt!$G$20</f>
        <v>17820000</v>
      </c>
      <c r="G57" s="20"/>
      <c r="H57" s="20"/>
      <c r="J57" s="438"/>
      <c r="K57" s="442"/>
      <c r="L57" s="442"/>
      <c r="M57" s="437"/>
    </row>
    <row r="58" spans="1:13" x14ac:dyDescent="0.25">
      <c r="A58" s="22" t="s">
        <v>64</v>
      </c>
      <c r="B58" s="182">
        <f>inputPrYr!$D$85</f>
        <v>0</v>
      </c>
      <c r="C58" s="20"/>
      <c r="D58" s="182">
        <f>inputPrYr!$E$85</f>
        <v>0</v>
      </c>
      <c r="E58" s="20"/>
      <c r="F58" s="182">
        <f>debt!$G$27</f>
        <v>0</v>
      </c>
      <c r="G58" s="20"/>
      <c r="H58" s="20"/>
      <c r="J58" s="438" t="str">
        <f>CONCATENATE("Current ",H1," Estimated Mill Rate:")</f>
        <v>Current 2015 Estimated Mill Rate:</v>
      </c>
      <c r="K58" s="442"/>
      <c r="L58" s="442"/>
      <c r="M58" s="436">
        <f>H50</f>
        <v>33.634</v>
      </c>
    </row>
    <row r="59" spans="1:13" x14ac:dyDescent="0.25">
      <c r="A59" s="21" t="s">
        <v>83</v>
      </c>
      <c r="B59" s="182">
        <f>inputPrYr!$D$86</f>
        <v>0</v>
      </c>
      <c r="C59" s="20"/>
      <c r="D59" s="182">
        <f>inputPrYr!$E$86</f>
        <v>1750000</v>
      </c>
      <c r="E59" s="20"/>
      <c r="F59" s="319">
        <f>debt!$G$35</f>
        <v>1750000</v>
      </c>
      <c r="G59" s="20"/>
      <c r="H59" s="20"/>
      <c r="J59" s="438" t="str">
        <f>CONCATENATE("Desired ",H1," Mill Rate:")</f>
        <v>Desired 2015 Mill Rate:</v>
      </c>
      <c r="K59" s="442"/>
      <c r="L59" s="442"/>
      <c r="M59" s="429">
        <v>37</v>
      </c>
    </row>
    <row r="60" spans="1:13" x14ac:dyDescent="0.25">
      <c r="A60" s="22" t="s">
        <v>142</v>
      </c>
      <c r="B60" s="182">
        <f>inputPrYr!$D$87</f>
        <v>279147</v>
      </c>
      <c r="C60" s="20"/>
      <c r="D60" s="182">
        <f>inputPrYr!$E$87</f>
        <v>115918</v>
      </c>
      <c r="E60" s="20"/>
      <c r="F60" s="182">
        <f>lpform!$G$32</f>
        <v>0</v>
      </c>
      <c r="G60" s="20"/>
      <c r="H60" s="20"/>
      <c r="J60" s="438" t="str">
        <f>CONCATENATE("",H1," Ad Valorem Tax:")</f>
        <v>2015 Ad Valorem Tax:</v>
      </c>
      <c r="K60" s="442"/>
      <c r="L60" s="442"/>
      <c r="M60" s="430">
        <f>ROUND(F54*M59/1000,0)</f>
        <v>2553183</v>
      </c>
    </row>
    <row r="61" spans="1:13" ht="16.5" thickBot="1" x14ac:dyDescent="0.3">
      <c r="A61" s="22" t="s">
        <v>65</v>
      </c>
      <c r="B61" s="183">
        <f>SUM(B57:B60)</f>
        <v>22849147</v>
      </c>
      <c r="C61" s="20"/>
      <c r="D61" s="183">
        <f>SUM(D57:D60)</f>
        <v>22510918</v>
      </c>
      <c r="E61" s="20"/>
      <c r="F61" s="183">
        <f>SUM(F57:F60)</f>
        <v>19570000</v>
      </c>
      <c r="G61" s="20"/>
      <c r="H61" s="20"/>
      <c r="J61" s="433" t="str">
        <f>CONCATENATE("",H1," Tax Levy Fund Exp. Changed By:")</f>
        <v>2015 Tax Levy Fund Exp. Changed By:</v>
      </c>
      <c r="K61" s="432"/>
      <c r="L61" s="432"/>
      <c r="M61" s="440">
        <f>IF(M59=0,0,(M60-G50))</f>
        <v>232201.04999999981</v>
      </c>
    </row>
    <row r="62" spans="1:13" ht="16.5" thickTop="1" x14ac:dyDescent="0.2">
      <c r="A62" s="22" t="s">
        <v>66</v>
      </c>
      <c r="B62" s="20"/>
      <c r="C62" s="20"/>
      <c r="D62" s="20"/>
      <c r="E62" s="20"/>
      <c r="F62" s="20"/>
      <c r="G62" s="20"/>
      <c r="H62" s="20"/>
    </row>
    <row r="63" spans="1:13" x14ac:dyDescent="0.2">
      <c r="A63" s="20"/>
      <c r="B63" s="20"/>
      <c r="C63" s="20"/>
      <c r="D63" s="20"/>
      <c r="E63" s="20"/>
      <c r="F63" s="20"/>
      <c r="G63" s="20"/>
      <c r="H63" s="20"/>
    </row>
    <row r="64" spans="1:13" x14ac:dyDescent="0.2">
      <c r="A64" s="812" t="str">
        <f>inputBudSum!B3</f>
        <v>City of Bonner Springs</v>
      </c>
      <c r="B64" s="813"/>
      <c r="C64" s="20"/>
      <c r="D64" s="20"/>
      <c r="E64" s="20"/>
      <c r="F64" s="20"/>
      <c r="G64" s="20"/>
      <c r="H64" s="20"/>
    </row>
    <row r="65" spans="1:13" x14ac:dyDescent="0.2">
      <c r="A65" s="823" t="str">
        <f>CONCATENATE("City Official Title: ",inputBudSum!B5,"")</f>
        <v>City Official Title: City Clerk</v>
      </c>
      <c r="B65" s="824"/>
      <c r="C65" s="20"/>
      <c r="D65" s="20"/>
      <c r="E65" s="20"/>
      <c r="F65" s="20"/>
      <c r="G65" s="20"/>
      <c r="H65" s="20"/>
    </row>
    <row r="66" spans="1:13" x14ac:dyDescent="0.2">
      <c r="A66" s="819"/>
      <c r="B66" s="820"/>
      <c r="C66" s="820"/>
      <c r="D66" s="20"/>
      <c r="E66" s="20"/>
      <c r="F66" s="20"/>
      <c r="G66" s="20"/>
      <c r="H66" s="20"/>
    </row>
    <row r="67" spans="1:13" x14ac:dyDescent="0.2">
      <c r="A67" s="20"/>
      <c r="B67" s="20"/>
      <c r="C67" s="20"/>
      <c r="D67" s="20"/>
      <c r="E67" s="20"/>
      <c r="F67" s="20"/>
      <c r="G67" s="20"/>
      <c r="H67" s="20"/>
    </row>
    <row r="68" spans="1:13" x14ac:dyDescent="0.2">
      <c r="A68" s="20"/>
      <c r="B68" s="20"/>
      <c r="C68" s="172" t="s">
        <v>67</v>
      </c>
      <c r="D68" s="266">
        <v>27</v>
      </c>
      <c r="E68" s="20"/>
      <c r="F68" s="20"/>
      <c r="G68" s="20"/>
      <c r="H68" s="20"/>
    </row>
    <row r="69" spans="1:13" x14ac:dyDescent="0.2">
      <c r="A69" s="3"/>
      <c r="B69" s="3"/>
      <c r="C69" s="3"/>
      <c r="D69" s="3"/>
      <c r="E69" s="3"/>
      <c r="F69" s="3"/>
      <c r="G69" s="3"/>
      <c r="H69" s="3"/>
    </row>
    <row r="70" spans="1:13" x14ac:dyDescent="0.2">
      <c r="I70" s="3"/>
      <c r="J70" s="3"/>
      <c r="K70" s="3"/>
      <c r="L70" s="3"/>
      <c r="M70" s="3"/>
    </row>
    <row r="109" spans="1:9" x14ac:dyDescent="0.2">
      <c r="A109" s="3"/>
      <c r="B109" s="3"/>
      <c r="C109" s="3"/>
      <c r="D109" s="3"/>
      <c r="E109" s="3"/>
      <c r="F109" s="3"/>
      <c r="G109" s="3"/>
      <c r="H109" s="3"/>
    </row>
    <row r="110" spans="1:9" x14ac:dyDescent="0.2">
      <c r="I110" s="3"/>
    </row>
    <row r="120" spans="1:8" x14ac:dyDescent="0.2">
      <c r="A120" s="3"/>
      <c r="B120" s="3"/>
      <c r="C120" s="3"/>
      <c r="D120" s="3"/>
      <c r="E120" s="3"/>
      <c r="F120" s="3"/>
      <c r="G120" s="3"/>
      <c r="H120" s="3"/>
    </row>
    <row r="142" spans="1:15" x14ac:dyDescent="0.2">
      <c r="A142" s="3"/>
      <c r="B142" s="3"/>
      <c r="C142" s="3"/>
      <c r="D142" s="3"/>
      <c r="E142" s="3"/>
      <c r="F142" s="3"/>
      <c r="G142" s="3"/>
      <c r="H142" s="3"/>
      <c r="I142" s="3"/>
      <c r="J142" s="3"/>
      <c r="K142" s="3"/>
      <c r="L142" s="3"/>
      <c r="M142" s="3"/>
      <c r="N142" s="3"/>
      <c r="O142" s="3"/>
    </row>
    <row r="186" spans="1:17" x14ac:dyDescent="0.2">
      <c r="A186" s="3"/>
      <c r="B186" s="3"/>
      <c r="C186" s="3"/>
      <c r="D186" s="3"/>
      <c r="E186" s="3"/>
      <c r="F186" s="3"/>
      <c r="G186" s="3"/>
      <c r="H186" s="3"/>
      <c r="I186" s="3"/>
      <c r="J186" s="3"/>
      <c r="K186" s="3"/>
      <c r="L186" s="3"/>
      <c r="M186" s="3"/>
      <c r="N186" s="3"/>
      <c r="O186" s="3"/>
      <c r="P186" s="3"/>
      <c r="Q186" s="3"/>
    </row>
  </sheetData>
  <sheetProtection sheet="1" objects="1" scenarios="1"/>
  <mergeCells count="12">
    <mergeCell ref="A64:B64"/>
    <mergeCell ref="J50:M50"/>
    <mergeCell ref="J56:M56"/>
    <mergeCell ref="A66:C66"/>
    <mergeCell ref="J21:M21"/>
    <mergeCell ref="A65:B65"/>
    <mergeCell ref="A7:H7"/>
    <mergeCell ref="A8:H8"/>
    <mergeCell ref="A2:H2"/>
    <mergeCell ref="A4:H4"/>
    <mergeCell ref="A5:H5"/>
    <mergeCell ref="A6:H6"/>
  </mergeCells>
  <phoneticPr fontId="0" type="noConversion"/>
  <pageMargins left="0.5" right="0.5" top="1" bottom="0.5" header="0.5" footer="0.5"/>
  <pageSetup scale="62" orientation="portrait" blackAndWhite="1" horizontalDpi="120" verticalDpi="144" r:id="rId1"/>
  <headerFooter alignWithMargins="0">
    <oddHeader xml:space="preserve">&amp;RState of Kansas
City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14" workbookViewId="0">
      <selection activeCell="F33" sqref="F33"/>
    </sheetView>
  </sheetViews>
  <sheetFormatPr defaultColWidth="8.88671875" defaultRowHeight="15" x14ac:dyDescent="0.2"/>
  <cols>
    <col min="1" max="1" width="12" style="75" customWidth="1"/>
    <col min="2" max="2" width="19.6640625" style="75" customWidth="1"/>
    <col min="3" max="5" width="11.77734375" style="75" customWidth="1"/>
    <col min="6" max="16384" width="8.88671875" style="75"/>
  </cols>
  <sheetData>
    <row r="1" spans="1:6" ht="15.75" x14ac:dyDescent="0.2">
      <c r="A1" s="320" t="str">
        <f>inputPrYr!D3</f>
        <v>City of Bonner Springs</v>
      </c>
      <c r="B1" s="17"/>
      <c r="C1" s="17"/>
      <c r="D1" s="17"/>
      <c r="E1" s="17"/>
      <c r="F1" s="17">
        <f>inputPrYr!C10</f>
        <v>2015</v>
      </c>
    </row>
    <row r="2" spans="1:6" ht="15.75" x14ac:dyDescent="0.2">
      <c r="A2" s="320"/>
      <c r="B2" s="17"/>
      <c r="C2" s="17"/>
      <c r="D2" s="17"/>
      <c r="E2" s="17"/>
      <c r="F2" s="17"/>
    </row>
    <row r="3" spans="1:6" ht="15.75" x14ac:dyDescent="0.2">
      <c r="A3" s="17"/>
      <c r="B3" s="17"/>
      <c r="C3" s="17"/>
      <c r="D3" s="17"/>
      <c r="E3" s="17"/>
      <c r="F3" s="17"/>
    </row>
    <row r="4" spans="1:6" ht="15.75" x14ac:dyDescent="0.2">
      <c r="A4" s="20"/>
      <c r="B4" s="775" t="str">
        <f>CONCATENATE("",F1," Neighborhood Revitalization Rebate")</f>
        <v>2015 Neighborhood Revitalization Rebate</v>
      </c>
      <c r="C4" s="826"/>
      <c r="D4" s="826"/>
      <c r="E4" s="827"/>
      <c r="F4" s="17"/>
    </row>
    <row r="5" spans="1:6" ht="15.75" x14ac:dyDescent="0.2">
      <c r="A5" s="20"/>
      <c r="B5" s="20"/>
      <c r="C5" s="20"/>
      <c r="D5" s="20"/>
      <c r="E5" s="20"/>
      <c r="F5" s="17"/>
    </row>
    <row r="6" spans="1:6" ht="51.75" customHeight="1" x14ac:dyDescent="0.2">
      <c r="A6" s="20"/>
      <c r="B6" s="321" t="str">
        <f>CONCATENATE("Budgeted Funds               for ",F1,"")</f>
        <v>Budgeted Funds               for 2015</v>
      </c>
      <c r="C6" s="321" t="str">
        <f>CONCATENATE("",F1-1," Ad Valorem before Rebate**")</f>
        <v>2014 Ad Valorem before Rebate**</v>
      </c>
      <c r="D6" s="322" t="str">
        <f>CONCATENATE("",F1-1," Mil Rate before Rebate")</f>
        <v>2014 Mil Rate before Rebate</v>
      </c>
      <c r="E6" s="323" t="str">
        <f>CONCATENATE("Estimate ",F1," NR Rebate")</f>
        <v>Estimate 2015 NR Rebate</v>
      </c>
      <c r="F6" s="17"/>
    </row>
    <row r="7" spans="1:6" ht="15.75" x14ac:dyDescent="0.2">
      <c r="A7" s="20"/>
      <c r="B7" s="38" t="str">
        <f>inputPrYr!B22</f>
        <v>General</v>
      </c>
      <c r="C7" s="324"/>
      <c r="D7" s="325" t="str">
        <f t="shared" ref="D7:D13" si="0">IF(C7&gt;0,C7/$D$19,"")</f>
        <v/>
      </c>
      <c r="E7" s="182" t="str">
        <f t="shared" ref="E7:E12" si="1">IF(C7&gt;0,ROUND(D7*$D$23,0),"")</f>
        <v/>
      </c>
      <c r="F7" s="17"/>
    </row>
    <row r="8" spans="1:6" ht="15.75" x14ac:dyDescent="0.2">
      <c r="A8" s="20"/>
      <c r="B8" s="38" t="str">
        <f>IF(inputPrYr!B23&gt;"",inputPrYr!B23,"")</f>
        <v>Debt Service</v>
      </c>
      <c r="C8" s="324"/>
      <c r="D8" s="325" t="str">
        <f t="shared" si="0"/>
        <v/>
      </c>
      <c r="E8" s="182" t="str">
        <f t="shared" si="1"/>
        <v/>
      </c>
      <c r="F8" s="17"/>
    </row>
    <row r="9" spans="1:6" ht="15.75" x14ac:dyDescent="0.2">
      <c r="A9" s="20"/>
      <c r="B9" s="59" t="str">
        <f>IF((inputPrYr!$B24&gt;"  "),(inputPrYr!$B24),"  ")</f>
        <v>Library</v>
      </c>
      <c r="C9" s="324"/>
      <c r="D9" s="325" t="str">
        <f t="shared" si="0"/>
        <v/>
      </c>
      <c r="E9" s="182" t="str">
        <f t="shared" si="1"/>
        <v/>
      </c>
      <c r="F9" s="17"/>
    </row>
    <row r="10" spans="1:6" ht="15.75" x14ac:dyDescent="0.2">
      <c r="A10" s="20"/>
      <c r="B10" s="59" t="s">
        <v>18</v>
      </c>
      <c r="C10" s="324"/>
      <c r="D10" s="325" t="str">
        <f t="shared" si="0"/>
        <v/>
      </c>
      <c r="E10" s="182" t="str">
        <f t="shared" si="1"/>
        <v/>
      </c>
      <c r="F10" s="17"/>
    </row>
    <row r="11" spans="1:6" ht="15.75" x14ac:dyDescent="0.2">
      <c r="A11" s="20"/>
      <c r="B11" s="59" t="s">
        <v>18</v>
      </c>
      <c r="C11" s="324"/>
      <c r="D11" s="325" t="str">
        <f t="shared" si="0"/>
        <v/>
      </c>
      <c r="E11" s="182" t="str">
        <f t="shared" si="1"/>
        <v/>
      </c>
      <c r="F11" s="17"/>
    </row>
    <row r="12" spans="1:6" ht="15.75" x14ac:dyDescent="0.2">
      <c r="A12" s="20"/>
      <c r="B12" s="59" t="s">
        <v>18</v>
      </c>
      <c r="C12" s="324"/>
      <c r="D12" s="325" t="str">
        <f t="shared" si="0"/>
        <v/>
      </c>
      <c r="E12" s="182" t="str">
        <f t="shared" si="1"/>
        <v/>
      </c>
      <c r="F12" s="17"/>
    </row>
    <row r="13" spans="1:6" ht="15.75" x14ac:dyDescent="0.2">
      <c r="A13" s="20"/>
      <c r="B13" s="59" t="str">
        <f>IF((inputPrYr!B26&gt;"  "),(inputPrYr!B26),"  ")</f>
        <v xml:space="preserve">  </v>
      </c>
      <c r="C13" s="374"/>
      <c r="D13" s="325" t="str">
        <f t="shared" si="0"/>
        <v/>
      </c>
      <c r="E13" s="182" t="str">
        <f>IF(C13&gt;0,ROUND(D13*$D$23,0),"")</f>
        <v/>
      </c>
      <c r="F13" s="17"/>
    </row>
    <row r="14" spans="1:6" ht="16.5" thickBot="1" x14ac:dyDescent="0.25">
      <c r="A14" s="20"/>
      <c r="B14" s="39" t="s">
        <v>35</v>
      </c>
      <c r="C14" s="326">
        <f>SUM(C7:C13)</f>
        <v>0</v>
      </c>
      <c r="D14" s="327">
        <f>SUM(D7:D13)</f>
        <v>0</v>
      </c>
      <c r="E14" s="326">
        <f>SUM(E7:E13)</f>
        <v>0</v>
      </c>
      <c r="F14" s="17"/>
    </row>
    <row r="15" spans="1:6" ht="16.5" thickTop="1" x14ac:dyDescent="0.2">
      <c r="A15" s="20"/>
      <c r="B15" s="20"/>
      <c r="C15" s="20"/>
      <c r="D15" s="20"/>
      <c r="E15" s="20"/>
      <c r="F15" s="17"/>
    </row>
    <row r="16" spans="1:6" ht="15.75" x14ac:dyDescent="0.2">
      <c r="A16" s="20"/>
      <c r="B16" s="20"/>
      <c r="C16" s="20"/>
      <c r="D16" s="20"/>
      <c r="E16" s="20"/>
      <c r="F16" s="17"/>
    </row>
    <row r="17" spans="1:6" ht="15.75" x14ac:dyDescent="0.2">
      <c r="A17" s="828" t="str">
        <f>CONCATENATE("",F1-1," July 1 Valuation:")</f>
        <v>2014 July 1 Valuation:</v>
      </c>
      <c r="B17" s="798"/>
      <c r="C17" s="828"/>
      <c r="D17" s="315">
        <f>(inputOth!B14)</f>
        <v>69004957</v>
      </c>
      <c r="E17" s="20"/>
      <c r="F17" s="17"/>
    </row>
    <row r="18" spans="1:6" ht="15.75" x14ac:dyDescent="0.2">
      <c r="A18" s="20"/>
      <c r="B18" s="20"/>
      <c r="C18" s="20"/>
      <c r="D18" s="20"/>
      <c r="E18" s="20"/>
      <c r="F18" s="17"/>
    </row>
    <row r="19" spans="1:6" ht="15.75" x14ac:dyDescent="0.2">
      <c r="A19" s="20"/>
      <c r="B19" s="828" t="s">
        <v>328</v>
      </c>
      <c r="C19" s="828"/>
      <c r="D19" s="328">
        <f>IF(D17&gt;0,(D17*0.001),"")</f>
        <v>69004.956999999995</v>
      </c>
      <c r="E19" s="20"/>
      <c r="F19" s="17"/>
    </row>
    <row r="20" spans="1:6" ht="15.75" x14ac:dyDescent="0.2">
      <c r="A20" s="20"/>
      <c r="B20" s="172"/>
      <c r="C20" s="172"/>
      <c r="D20" s="329"/>
      <c r="E20" s="20"/>
      <c r="F20" s="17"/>
    </row>
    <row r="21" spans="1:6" ht="15.75" x14ac:dyDescent="0.2">
      <c r="A21" s="825" t="s">
        <v>329</v>
      </c>
      <c r="B21" s="827"/>
      <c r="C21" s="827"/>
      <c r="D21" s="330">
        <f>inputOth!E25</f>
        <v>0</v>
      </c>
      <c r="E21" s="77"/>
      <c r="F21" s="77"/>
    </row>
    <row r="22" spans="1:6" x14ac:dyDescent="0.2">
      <c r="A22" s="77"/>
      <c r="B22" s="77"/>
      <c r="C22" s="77"/>
      <c r="D22" s="18"/>
      <c r="E22" s="77"/>
      <c r="F22" s="77"/>
    </row>
    <row r="23" spans="1:6" ht="15.75" x14ac:dyDescent="0.2">
      <c r="A23" s="77"/>
      <c r="B23" s="825" t="s">
        <v>330</v>
      </c>
      <c r="C23" s="798"/>
      <c r="D23" s="331" t="str">
        <f>IF(D21&gt;0,(D21*0.001),"")</f>
        <v/>
      </c>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ht="15.75" x14ac:dyDescent="0.25">
      <c r="A27" s="358" t="str">
        <f>CONCATENATE("**This information comes from the ",F1," Budget Summary page.  See instructions tab #13 for completing")</f>
        <v>**This information comes from the 2015 Budget Summary page.  See instructions tab #13 for completing</v>
      </c>
      <c r="B27" s="77"/>
      <c r="C27" s="77"/>
      <c r="D27" s="77"/>
      <c r="E27" s="77"/>
      <c r="F27" s="77"/>
    </row>
    <row r="28" spans="1:6" ht="15.75" x14ac:dyDescent="0.25">
      <c r="A28" s="358" t="s">
        <v>595</v>
      </c>
      <c r="B28" s="77"/>
      <c r="C28" s="77"/>
      <c r="D28" s="77"/>
      <c r="E28" s="77"/>
      <c r="F28" s="77"/>
    </row>
    <row r="29" spans="1:6" ht="15.75" x14ac:dyDescent="0.25">
      <c r="A29" s="358"/>
      <c r="B29" s="77"/>
      <c r="C29" s="77"/>
      <c r="D29" s="77"/>
      <c r="E29" s="77"/>
      <c r="F29" s="77"/>
    </row>
    <row r="30" spans="1:6" ht="15.75" x14ac:dyDescent="0.25">
      <c r="A30" s="358"/>
      <c r="B30" s="77"/>
      <c r="C30" s="77"/>
      <c r="D30" s="77"/>
      <c r="E30" s="77"/>
      <c r="F30" s="77"/>
    </row>
    <row r="31" spans="1:6" ht="15.75" x14ac:dyDescent="0.25">
      <c r="A31" s="358"/>
      <c r="B31" s="77"/>
      <c r="C31" s="77"/>
      <c r="D31" s="77"/>
      <c r="E31" s="77"/>
      <c r="F31" s="77"/>
    </row>
    <row r="32" spans="1:6" ht="15.75" x14ac:dyDescent="0.25">
      <c r="A32" s="358"/>
      <c r="B32" s="77"/>
      <c r="C32" s="77"/>
      <c r="D32" s="77"/>
      <c r="E32" s="77"/>
      <c r="F32" s="77"/>
    </row>
    <row r="33" spans="1:6" ht="15.75" x14ac:dyDescent="0.25">
      <c r="A33" s="358"/>
      <c r="B33" s="77"/>
      <c r="C33" s="77"/>
      <c r="D33" s="77"/>
      <c r="E33" s="77"/>
      <c r="F33" s="77"/>
    </row>
    <row r="34" spans="1:6" x14ac:dyDescent="0.2">
      <c r="A34" s="77"/>
      <c r="B34" s="77"/>
      <c r="C34" s="77"/>
      <c r="D34" s="77"/>
      <c r="E34" s="77"/>
      <c r="F34" s="77"/>
    </row>
    <row r="35" spans="1:6" ht="15.75" x14ac:dyDescent="0.2">
      <c r="A35" s="77"/>
      <c r="B35" s="264" t="s">
        <v>53</v>
      </c>
      <c r="C35" s="266">
        <v>28</v>
      </c>
      <c r="D35" s="77"/>
      <c r="E35" s="77"/>
      <c r="F35" s="77"/>
    </row>
  </sheetData>
  <mergeCells count="5">
    <mergeCell ref="B23:C23"/>
    <mergeCell ref="B4:E4"/>
    <mergeCell ref="A17:C17"/>
    <mergeCell ref="B19:C19"/>
    <mergeCell ref="A21:C21"/>
  </mergeCells>
  <phoneticPr fontId="10" type="noConversion"/>
  <pageMargins left="0.75" right="0.75" top="1" bottom="1" header="0.5" footer="0.5"/>
  <pageSetup scale="92" orientation="portrait"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7"/>
  <sheetViews>
    <sheetView workbookViewId="0">
      <selection activeCell="C4" sqref="C4:I4"/>
    </sheetView>
  </sheetViews>
  <sheetFormatPr defaultRowHeight="15" x14ac:dyDescent="0.2"/>
  <sheetData>
    <row r="2" spans="3:9" ht="15.75" x14ac:dyDescent="0.25">
      <c r="I2" s="656">
        <f>inputPrYr!C10</f>
        <v>2015</v>
      </c>
    </row>
    <row r="3" spans="3:9" ht="15.75" thickBot="1" x14ac:dyDescent="0.25"/>
    <row r="4" spans="3:9" ht="19.5" thickBot="1" x14ac:dyDescent="0.35">
      <c r="C4" s="832" t="s">
        <v>939</v>
      </c>
      <c r="D4" s="833"/>
      <c r="E4" s="833"/>
      <c r="F4" s="833"/>
      <c r="G4" s="833"/>
      <c r="H4" s="833"/>
      <c r="I4" s="834"/>
    </row>
    <row r="5" spans="3:9" ht="16.5" thickBot="1" x14ac:dyDescent="0.3">
      <c r="C5" s="653"/>
      <c r="D5" s="653"/>
      <c r="E5" s="654"/>
      <c r="F5" s="655"/>
      <c r="G5" s="653"/>
      <c r="H5" s="653"/>
      <c r="I5" s="653"/>
    </row>
    <row r="6" spans="3:9" ht="15.75" x14ac:dyDescent="0.25">
      <c r="C6" s="835" t="str">
        <f>CONCATENATE("Notice of Vote - ",inputPrYr!D3)</f>
        <v>Notice of Vote - City of Bonner Springs</v>
      </c>
      <c r="D6" s="836"/>
      <c r="E6" s="836"/>
      <c r="F6" s="836"/>
      <c r="G6" s="836"/>
      <c r="H6" s="836"/>
      <c r="I6" s="837"/>
    </row>
    <row r="7" spans="3:9" ht="60.75" customHeight="1" thickBot="1" x14ac:dyDescent="0.25">
      <c r="C7" s="829"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0"/>
      <c r="E7" s="830"/>
      <c r="F7" s="830"/>
      <c r="G7" s="830"/>
      <c r="H7" s="830"/>
      <c r="I7" s="831"/>
    </row>
  </sheetData>
  <mergeCells count="3">
    <mergeCell ref="C7:I7"/>
    <mergeCell ref="C4:I4"/>
    <mergeCell ref="C6:I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G15" sqref="G15"/>
    </sheetView>
  </sheetViews>
  <sheetFormatPr defaultRowHeight="15" x14ac:dyDescent="0.2"/>
  <cols>
    <col min="4" max="4" width="12.21875" customWidth="1"/>
    <col min="6" max="6" width="3.33203125" customWidth="1"/>
  </cols>
  <sheetData>
    <row r="2" spans="2:7" ht="15.75" x14ac:dyDescent="0.25">
      <c r="G2" s="656" t="s">
        <v>18</v>
      </c>
    </row>
    <row r="3" spans="2:7" ht="15.75" thickBot="1" x14ac:dyDescent="0.25"/>
    <row r="4" spans="2:7" ht="19.5" thickBot="1" x14ac:dyDescent="0.35">
      <c r="B4" s="838" t="s">
        <v>18</v>
      </c>
      <c r="C4" s="839"/>
      <c r="D4" s="839"/>
      <c r="E4" s="839"/>
      <c r="F4" s="839"/>
      <c r="G4" s="840"/>
    </row>
    <row r="5" spans="2:7" ht="16.5" thickBot="1" x14ac:dyDescent="0.3">
      <c r="B5" s="657"/>
      <c r="C5" s="657"/>
      <c r="D5" s="657"/>
      <c r="E5" s="657"/>
      <c r="F5" s="657"/>
      <c r="G5" s="657"/>
    </row>
    <row r="6" spans="2:7" ht="15.75" x14ac:dyDescent="0.25">
      <c r="B6" s="835" t="str">
        <f>CONCATENATE("Notice of Vote - ",inputPrYr!D3)</f>
        <v>Notice of Vote - City of Bonner Springs</v>
      </c>
      <c r="C6" s="836"/>
      <c r="D6" s="836"/>
      <c r="E6" s="836"/>
      <c r="F6" s="836"/>
      <c r="G6" s="837"/>
    </row>
    <row r="7" spans="2:7" ht="15.75" x14ac:dyDescent="0.25">
      <c r="B7" s="841" t="s">
        <v>940</v>
      </c>
      <c r="C7" s="842"/>
      <c r="D7" s="842"/>
      <c r="E7" s="842"/>
      <c r="F7" s="842"/>
      <c r="G7" s="843"/>
    </row>
    <row r="8" spans="2:7" ht="15.75" x14ac:dyDescent="0.25">
      <c r="B8" s="841" t="s">
        <v>941</v>
      </c>
      <c r="C8" s="842"/>
      <c r="D8" s="842"/>
      <c r="E8" s="842"/>
      <c r="F8" s="842"/>
      <c r="G8" s="843"/>
    </row>
    <row r="9" spans="2:7" ht="15.75" x14ac:dyDescent="0.25">
      <c r="B9" s="660" t="s">
        <v>1130</v>
      </c>
      <c r="C9" s="663" t="s">
        <v>105</v>
      </c>
      <c r="D9" s="665">
        <f>inputPrYr!E27</f>
        <v>2203824</v>
      </c>
      <c r="E9" s="658"/>
      <c r="F9" s="658"/>
      <c r="G9" s="659"/>
    </row>
    <row r="10" spans="2:7" ht="15.75" x14ac:dyDescent="0.25">
      <c r="B10" s="660" t="s">
        <v>1236</v>
      </c>
      <c r="C10" s="663" t="s">
        <v>105</v>
      </c>
      <c r="D10" s="666">
        <f>cert!F53</f>
        <v>2320981.9500000002</v>
      </c>
      <c r="E10" s="658"/>
      <c r="F10" s="658"/>
      <c r="G10" s="659"/>
    </row>
    <row r="11" spans="2:7" ht="15.75" x14ac:dyDescent="0.25">
      <c r="B11" s="660"/>
      <c r="C11" s="658"/>
      <c r="D11" s="658" t="s">
        <v>1242</v>
      </c>
      <c r="F11" s="713" t="s">
        <v>18</v>
      </c>
      <c r="G11" s="714"/>
    </row>
    <row r="12" spans="2:7" ht="16.5" thickBot="1" x14ac:dyDescent="0.3">
      <c r="B12" s="661"/>
      <c r="C12" s="662"/>
      <c r="D12" s="662"/>
      <c r="E12" s="662"/>
      <c r="F12" s="662"/>
      <c r="G12" s="664"/>
    </row>
  </sheetData>
  <mergeCells count="4">
    <mergeCell ref="B4:G4"/>
    <mergeCell ref="B6:G6"/>
    <mergeCell ref="B7:G7"/>
    <mergeCell ref="B8:G8"/>
  </mergeCells>
  <printOptions horizontalCentered="1" verticalCentered="1"/>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heetViews>
  <sheetFormatPr defaultRowHeight="15" x14ac:dyDescent="0.2"/>
  <cols>
    <col min="1" max="1" width="71.33203125" customWidth="1"/>
  </cols>
  <sheetData>
    <row r="3" spans="1:12" x14ac:dyDescent="0.2">
      <c r="A3" s="345" t="s">
        <v>375</v>
      </c>
      <c r="B3" s="345"/>
      <c r="C3" s="345"/>
      <c r="D3" s="345"/>
      <c r="E3" s="345"/>
      <c r="F3" s="345"/>
      <c r="G3" s="345"/>
      <c r="H3" s="345"/>
      <c r="I3" s="345"/>
      <c r="J3" s="345"/>
      <c r="K3" s="345"/>
      <c r="L3" s="345"/>
    </row>
    <row r="5" spans="1:12" x14ac:dyDescent="0.2">
      <c r="A5" s="346" t="s">
        <v>376</v>
      </c>
    </row>
    <row r="6" spans="1:12" x14ac:dyDescent="0.2">
      <c r="A6" s="346" t="str">
        <f>CONCATENATE(inputPrYr!C10-2," 'total expenditures' exceed your ",inputPrYr!C10-2," 'budget authority.'")</f>
        <v>2013 'total expenditures' exceed your 2013 'budget authority.'</v>
      </c>
    </row>
    <row r="7" spans="1:12" x14ac:dyDescent="0.2">
      <c r="A7" s="346"/>
    </row>
    <row r="8" spans="1:12" x14ac:dyDescent="0.2">
      <c r="A8" s="346" t="s">
        <v>377</v>
      </c>
    </row>
    <row r="9" spans="1:12" x14ac:dyDescent="0.2">
      <c r="A9" s="346" t="s">
        <v>378</v>
      </c>
    </row>
    <row r="10" spans="1:12" x14ac:dyDescent="0.2">
      <c r="A10" s="346" t="s">
        <v>379</v>
      </c>
    </row>
    <row r="11" spans="1:12" x14ac:dyDescent="0.2">
      <c r="A11" s="346"/>
    </row>
    <row r="12" spans="1:12" x14ac:dyDescent="0.2">
      <c r="A12" s="346"/>
    </row>
    <row r="13" spans="1:12" x14ac:dyDescent="0.2">
      <c r="A13" s="347" t="s">
        <v>380</v>
      </c>
    </row>
    <row r="15" spans="1:12" x14ac:dyDescent="0.2">
      <c r="A15" s="346" t="s">
        <v>381</v>
      </c>
    </row>
    <row r="16" spans="1:12" x14ac:dyDescent="0.2">
      <c r="A16" s="346" t="str">
        <f>CONCATENATE("(i.e. an audit has not been completed, or the ",inputPrYr!C10," adopted")</f>
        <v>(i.e. an audit has not been completed, or the 2015 adopted</v>
      </c>
    </row>
    <row r="17" spans="1:1" x14ac:dyDescent="0.2">
      <c r="A17" s="346" t="s">
        <v>382</v>
      </c>
    </row>
    <row r="18" spans="1:1" x14ac:dyDescent="0.2">
      <c r="A18" s="346" t="s">
        <v>383</v>
      </c>
    </row>
    <row r="19" spans="1:1" x14ac:dyDescent="0.2">
      <c r="A19" s="346" t="s">
        <v>384</v>
      </c>
    </row>
    <row r="21" spans="1:1" x14ac:dyDescent="0.2">
      <c r="A21" s="347" t="s">
        <v>385</v>
      </c>
    </row>
    <row r="22" spans="1:1" x14ac:dyDescent="0.2">
      <c r="A22" s="347"/>
    </row>
    <row r="23" spans="1:1" x14ac:dyDescent="0.2">
      <c r="A23" s="346" t="s">
        <v>386</v>
      </c>
    </row>
    <row r="24" spans="1:1" x14ac:dyDescent="0.2">
      <c r="A24" s="346" t="s">
        <v>387</v>
      </c>
    </row>
    <row r="25" spans="1:1" x14ac:dyDescent="0.2">
      <c r="A25" s="346" t="str">
        <f>CONCATENATE("particular fund.  If your ",inputPrYr!C10-2," budget was amended, did you")</f>
        <v>particular fund.  If your 2013 budget was amended, did you</v>
      </c>
    </row>
    <row r="26" spans="1:1" x14ac:dyDescent="0.2">
      <c r="A26" s="346" t="s">
        <v>388</v>
      </c>
    </row>
    <row r="27" spans="1:1" x14ac:dyDescent="0.2">
      <c r="A27" s="346"/>
    </row>
    <row r="28" spans="1:1" x14ac:dyDescent="0.2">
      <c r="A28" s="346" t="str">
        <f>CONCATENATE("Next, look to see if any of your ",inputPrYr!C10-2," expenditures can be")</f>
        <v>Next, look to see if any of your 2013 expenditures can be</v>
      </c>
    </row>
    <row r="29" spans="1:1" x14ac:dyDescent="0.2">
      <c r="A29" s="346" t="s">
        <v>389</v>
      </c>
    </row>
    <row r="30" spans="1:1" x14ac:dyDescent="0.2">
      <c r="A30" s="346" t="s">
        <v>390</v>
      </c>
    </row>
    <row r="31" spans="1:1" x14ac:dyDescent="0.2">
      <c r="A31" s="346" t="s">
        <v>391</v>
      </c>
    </row>
    <row r="32" spans="1:1" x14ac:dyDescent="0.2">
      <c r="A32" s="346"/>
    </row>
    <row r="33" spans="1:1" x14ac:dyDescent="0.2">
      <c r="A33" s="346" t="str">
        <f>CONCATENATE("Additionally, do your ",inputPrYr!C10-2," receipts contain a reimbursement")</f>
        <v>Additionally, do your 2013 receipts contain a reimbursement</v>
      </c>
    </row>
    <row r="34" spans="1:1" x14ac:dyDescent="0.2">
      <c r="A34" s="346" t="s">
        <v>392</v>
      </c>
    </row>
    <row r="35" spans="1:1" x14ac:dyDescent="0.2">
      <c r="A35" s="346" t="s">
        <v>393</v>
      </c>
    </row>
    <row r="36" spans="1:1" x14ac:dyDescent="0.2">
      <c r="A36" s="346"/>
    </row>
    <row r="37" spans="1:1" x14ac:dyDescent="0.2">
      <c r="A37" s="346" t="s">
        <v>394</v>
      </c>
    </row>
    <row r="38" spans="1:1" x14ac:dyDescent="0.2">
      <c r="A38" s="346" t="s">
        <v>395</v>
      </c>
    </row>
    <row r="39" spans="1:1" x14ac:dyDescent="0.2">
      <c r="A39" s="346" t="s">
        <v>396</v>
      </c>
    </row>
    <row r="40" spans="1:1" x14ac:dyDescent="0.2">
      <c r="A40" s="346" t="s">
        <v>397</v>
      </c>
    </row>
    <row r="41" spans="1:1" x14ac:dyDescent="0.2">
      <c r="A41" s="346" t="s">
        <v>398</v>
      </c>
    </row>
    <row r="42" spans="1:1" x14ac:dyDescent="0.2">
      <c r="A42" s="346" t="s">
        <v>399</v>
      </c>
    </row>
    <row r="43" spans="1:1" x14ac:dyDescent="0.2">
      <c r="A43" s="346" t="s">
        <v>400</v>
      </c>
    </row>
    <row r="44" spans="1:1" x14ac:dyDescent="0.2">
      <c r="A44" s="346" t="s">
        <v>401</v>
      </c>
    </row>
    <row r="45" spans="1:1" x14ac:dyDescent="0.2">
      <c r="A45" s="346"/>
    </row>
    <row r="46" spans="1:1" x14ac:dyDescent="0.2">
      <c r="A46" s="346" t="s">
        <v>402</v>
      </c>
    </row>
    <row r="47" spans="1:1" x14ac:dyDescent="0.2">
      <c r="A47" s="346" t="s">
        <v>403</v>
      </c>
    </row>
    <row r="48" spans="1:1" x14ac:dyDescent="0.2">
      <c r="A48" s="346" t="s">
        <v>404</v>
      </c>
    </row>
    <row r="49" spans="1:1" x14ac:dyDescent="0.2">
      <c r="A49" s="346"/>
    </row>
    <row r="50" spans="1:1" x14ac:dyDescent="0.2">
      <c r="A50" s="346" t="s">
        <v>405</v>
      </c>
    </row>
    <row r="51" spans="1:1" x14ac:dyDescent="0.2">
      <c r="A51" s="346" t="s">
        <v>406</v>
      </c>
    </row>
    <row r="52" spans="1:1" x14ac:dyDescent="0.2">
      <c r="A52" s="346" t="s">
        <v>407</v>
      </c>
    </row>
    <row r="53" spans="1:1" x14ac:dyDescent="0.2">
      <c r="A53" s="346"/>
    </row>
    <row r="54" spans="1:1" x14ac:dyDescent="0.2">
      <c r="A54" s="347" t="s">
        <v>408</v>
      </c>
    </row>
    <row r="55" spans="1:1" x14ac:dyDescent="0.2">
      <c r="A55" s="346"/>
    </row>
    <row r="56" spans="1:1" x14ac:dyDescent="0.2">
      <c r="A56" s="346" t="s">
        <v>409</v>
      </c>
    </row>
    <row r="57" spans="1:1" x14ac:dyDescent="0.2">
      <c r="A57" s="346" t="s">
        <v>410</v>
      </c>
    </row>
    <row r="58" spans="1:1" x14ac:dyDescent="0.2">
      <c r="A58" s="346" t="s">
        <v>411</v>
      </c>
    </row>
    <row r="59" spans="1:1" x14ac:dyDescent="0.2">
      <c r="A59" s="346" t="s">
        <v>412</v>
      </c>
    </row>
    <row r="60" spans="1:1" x14ac:dyDescent="0.2">
      <c r="A60" s="346" t="s">
        <v>413</v>
      </c>
    </row>
    <row r="61" spans="1:1" x14ac:dyDescent="0.2">
      <c r="A61" s="346" t="s">
        <v>414</v>
      </c>
    </row>
    <row r="62" spans="1:1" x14ac:dyDescent="0.2">
      <c r="A62" s="346" t="s">
        <v>415</v>
      </c>
    </row>
    <row r="63" spans="1:1" x14ac:dyDescent="0.2">
      <c r="A63" s="346" t="s">
        <v>416</v>
      </c>
    </row>
    <row r="64" spans="1:1" x14ac:dyDescent="0.2">
      <c r="A64" s="346" t="s">
        <v>417</v>
      </c>
    </row>
    <row r="65" spans="1:1" x14ac:dyDescent="0.2">
      <c r="A65" s="346" t="s">
        <v>418</v>
      </c>
    </row>
    <row r="66" spans="1:1" x14ac:dyDescent="0.2">
      <c r="A66" s="346" t="s">
        <v>419</v>
      </c>
    </row>
    <row r="67" spans="1:1" x14ac:dyDescent="0.2">
      <c r="A67" s="346" t="s">
        <v>420</v>
      </c>
    </row>
    <row r="68" spans="1:1" x14ac:dyDescent="0.2">
      <c r="A68" s="346" t="s">
        <v>421</v>
      </c>
    </row>
    <row r="69" spans="1:1" x14ac:dyDescent="0.2">
      <c r="A69" s="346"/>
    </row>
    <row r="70" spans="1:1" x14ac:dyDescent="0.2">
      <c r="A70" s="346" t="s">
        <v>422</v>
      </c>
    </row>
    <row r="71" spans="1:1" x14ac:dyDescent="0.2">
      <c r="A71" s="346" t="s">
        <v>423</v>
      </c>
    </row>
    <row r="72" spans="1:1" x14ac:dyDescent="0.2">
      <c r="A72" s="346" t="s">
        <v>424</v>
      </c>
    </row>
    <row r="73" spans="1:1" x14ac:dyDescent="0.2">
      <c r="A73" s="346"/>
    </row>
    <row r="74" spans="1:1" x14ac:dyDescent="0.2">
      <c r="A74" s="347" t="str">
        <f>CONCATENATE("What if the ",inputPrYr!C10-2," financial records have been closed?")</f>
        <v>What if the 2013 financial records have been closed?</v>
      </c>
    </row>
    <row r="76" spans="1:1" x14ac:dyDescent="0.2">
      <c r="A76" s="346" t="s">
        <v>425</v>
      </c>
    </row>
    <row r="77" spans="1:1" x14ac:dyDescent="0.2">
      <c r="A77" s="346" t="str">
        <f>CONCATENATE("(i.e. an audit for ",inputPrYr!C10-2," has been completed, or the ",inputPrYr!C10)</f>
        <v>(i.e. an audit for 2013 has been completed, or the 2015</v>
      </c>
    </row>
    <row r="78" spans="1:1" x14ac:dyDescent="0.2">
      <c r="A78" s="346" t="s">
        <v>426</v>
      </c>
    </row>
    <row r="79" spans="1:1" x14ac:dyDescent="0.2">
      <c r="A79" s="346" t="s">
        <v>427</v>
      </c>
    </row>
    <row r="80" spans="1:1" x14ac:dyDescent="0.2">
      <c r="A80" s="346"/>
    </row>
    <row r="81" spans="1:1" x14ac:dyDescent="0.2">
      <c r="A81" s="346" t="s">
        <v>428</v>
      </c>
    </row>
    <row r="82" spans="1:1" x14ac:dyDescent="0.2">
      <c r="A82" s="346" t="s">
        <v>429</v>
      </c>
    </row>
    <row r="83" spans="1:1" x14ac:dyDescent="0.2">
      <c r="A83" s="346" t="s">
        <v>430</v>
      </c>
    </row>
    <row r="84" spans="1:1" x14ac:dyDescent="0.2">
      <c r="A84" s="346"/>
    </row>
    <row r="85" spans="1:1" x14ac:dyDescent="0.2">
      <c r="A85" s="346" t="s">
        <v>431</v>
      </c>
    </row>
  </sheetData>
  <sheetProtection sheet="1"/>
  <pageMargins left="0.7" right="0.7" top="0.75" bottom="0.75" header="0.3" footer="0.3"/>
  <pageSetup orientation="portrait" r:id="rId1"/>
  <headerFooter>
    <oddFooter>&amp;Lrevised 10/5/09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x14ac:dyDescent="0.2"/>
  <cols>
    <col min="1" max="1" width="71.33203125" customWidth="1"/>
  </cols>
  <sheetData>
    <row r="3" spans="1:10" x14ac:dyDescent="0.2">
      <c r="A3" s="345" t="s">
        <v>432</v>
      </c>
      <c r="B3" s="345"/>
      <c r="C3" s="345"/>
      <c r="D3" s="345"/>
      <c r="E3" s="345"/>
      <c r="F3" s="345"/>
      <c r="G3" s="345"/>
      <c r="H3" s="348"/>
      <c r="I3" s="348"/>
      <c r="J3" s="348"/>
    </row>
    <row r="5" spans="1:10" x14ac:dyDescent="0.2">
      <c r="A5" s="346" t="s">
        <v>433</v>
      </c>
    </row>
    <row r="6" spans="1:10" x14ac:dyDescent="0.2">
      <c r="A6" t="str">
        <f>CONCATENATE(inputPrYr!C10-2," expenditures show that you finished the year with a ")</f>
        <v xml:space="preserve">2013 expenditures show that you finished the year with a </v>
      </c>
    </row>
    <row r="7" spans="1:10" x14ac:dyDescent="0.2">
      <c r="A7" t="s">
        <v>434</v>
      </c>
    </row>
    <row r="9" spans="1:10" x14ac:dyDescent="0.2">
      <c r="A9" t="s">
        <v>435</v>
      </c>
    </row>
    <row r="10" spans="1:10" x14ac:dyDescent="0.2">
      <c r="A10" t="s">
        <v>436</v>
      </c>
    </row>
    <row r="11" spans="1:10" x14ac:dyDescent="0.2">
      <c r="A11" t="s">
        <v>437</v>
      </c>
    </row>
    <row r="13" spans="1:10" x14ac:dyDescent="0.2">
      <c r="A13" s="347" t="s">
        <v>438</v>
      </c>
    </row>
    <row r="14" spans="1:10" x14ac:dyDescent="0.2">
      <c r="A14" s="347"/>
    </row>
    <row r="15" spans="1:10" x14ac:dyDescent="0.2">
      <c r="A15" s="346" t="s">
        <v>439</v>
      </c>
    </row>
    <row r="16" spans="1:10" x14ac:dyDescent="0.2">
      <c r="A16" s="346" t="s">
        <v>440</v>
      </c>
    </row>
    <row r="17" spans="1:1" x14ac:dyDescent="0.2">
      <c r="A17" s="346" t="s">
        <v>441</v>
      </c>
    </row>
    <row r="18" spans="1:1" x14ac:dyDescent="0.2">
      <c r="A18" s="346"/>
    </row>
    <row r="19" spans="1:1" x14ac:dyDescent="0.2">
      <c r="A19" s="347" t="s">
        <v>442</v>
      </c>
    </row>
    <row r="20" spans="1:1" x14ac:dyDescent="0.2">
      <c r="A20" s="347"/>
    </row>
    <row r="21" spans="1:1" x14ac:dyDescent="0.2">
      <c r="A21" s="346" t="s">
        <v>443</v>
      </c>
    </row>
    <row r="22" spans="1:1" x14ac:dyDescent="0.2">
      <c r="A22" s="346" t="s">
        <v>444</v>
      </c>
    </row>
    <row r="23" spans="1:1" x14ac:dyDescent="0.2">
      <c r="A23" s="346" t="s">
        <v>445</v>
      </c>
    </row>
    <row r="24" spans="1:1" x14ac:dyDescent="0.2">
      <c r="A24" s="346"/>
    </row>
    <row r="25" spans="1:1" x14ac:dyDescent="0.2">
      <c r="A25" s="347" t="s">
        <v>446</v>
      </c>
    </row>
    <row r="26" spans="1:1" x14ac:dyDescent="0.2">
      <c r="A26" s="347"/>
    </row>
    <row r="27" spans="1:1" x14ac:dyDescent="0.2">
      <c r="A27" s="346" t="s">
        <v>447</v>
      </c>
    </row>
    <row r="28" spans="1:1" x14ac:dyDescent="0.2">
      <c r="A28" s="346" t="s">
        <v>448</v>
      </c>
    </row>
    <row r="29" spans="1:1" x14ac:dyDescent="0.2">
      <c r="A29" s="346" t="s">
        <v>449</v>
      </c>
    </row>
    <row r="30" spans="1:1" x14ac:dyDescent="0.2">
      <c r="A30" s="346"/>
    </row>
    <row r="31" spans="1:1" x14ac:dyDescent="0.2">
      <c r="A31" s="347" t="s">
        <v>450</v>
      </c>
    </row>
    <row r="32" spans="1:1" x14ac:dyDescent="0.2">
      <c r="A32" s="347"/>
    </row>
    <row r="33" spans="1:8" x14ac:dyDescent="0.2">
      <c r="A33" s="346" t="str">
        <f>CONCATENATE("If your financial records for ",inputPrYr!C10-2," are not closed")</f>
        <v>If your financial records for 2013 are not closed</v>
      </c>
      <c r="B33" s="346"/>
      <c r="C33" s="346"/>
      <c r="D33" s="346"/>
      <c r="E33" s="346"/>
      <c r="F33" s="346"/>
      <c r="G33" s="346"/>
      <c r="H33" s="346"/>
    </row>
    <row r="34" spans="1:8" x14ac:dyDescent="0.2">
      <c r="A34" s="346" t="str">
        <f>CONCATENATE("(i.e. an audit has not been completed, or the ",inputPrYr!C10," adopted ")</f>
        <v xml:space="preserve">(i.e. an audit has not been completed, or the 2015 adopted </v>
      </c>
      <c r="B34" s="346"/>
      <c r="C34" s="346"/>
      <c r="D34" s="346"/>
      <c r="E34" s="346"/>
      <c r="F34" s="346"/>
      <c r="G34" s="346"/>
      <c r="H34" s="346"/>
    </row>
    <row r="35" spans="1:8" x14ac:dyDescent="0.2">
      <c r="A35" s="346" t="s">
        <v>451</v>
      </c>
      <c r="B35" s="346"/>
      <c r="C35" s="346"/>
      <c r="D35" s="346"/>
      <c r="E35" s="346"/>
      <c r="F35" s="346"/>
      <c r="G35" s="346"/>
      <c r="H35" s="346"/>
    </row>
    <row r="36" spans="1:8" x14ac:dyDescent="0.2">
      <c r="A36" s="346" t="s">
        <v>452</v>
      </c>
      <c r="B36" s="346"/>
      <c r="C36" s="346"/>
      <c r="D36" s="346"/>
      <c r="E36" s="346"/>
      <c r="F36" s="346"/>
      <c r="G36" s="346"/>
      <c r="H36" s="346"/>
    </row>
    <row r="37" spans="1:8" x14ac:dyDescent="0.2">
      <c r="A37" s="346" t="s">
        <v>453</v>
      </c>
      <c r="B37" s="346"/>
      <c r="C37" s="346"/>
      <c r="D37" s="346"/>
      <c r="E37" s="346"/>
      <c r="F37" s="346"/>
      <c r="G37" s="346"/>
      <c r="H37" s="346"/>
    </row>
    <row r="38" spans="1:8" x14ac:dyDescent="0.2">
      <c r="A38" s="346" t="s">
        <v>454</v>
      </c>
      <c r="B38" s="346"/>
      <c r="C38" s="346"/>
      <c r="D38" s="346"/>
      <c r="E38" s="346"/>
      <c r="F38" s="346"/>
      <c r="G38" s="346"/>
      <c r="H38" s="346"/>
    </row>
    <row r="39" spans="1:8" x14ac:dyDescent="0.2">
      <c r="A39" s="346" t="s">
        <v>455</v>
      </c>
      <c r="B39" s="346"/>
      <c r="C39" s="346"/>
      <c r="D39" s="346"/>
      <c r="E39" s="346"/>
      <c r="F39" s="346"/>
      <c r="G39" s="346"/>
      <c r="H39" s="346"/>
    </row>
    <row r="40" spans="1:8" x14ac:dyDescent="0.2">
      <c r="A40" s="346"/>
      <c r="B40" s="346"/>
      <c r="C40" s="346"/>
      <c r="D40" s="346"/>
      <c r="E40" s="346"/>
      <c r="F40" s="346"/>
      <c r="G40" s="346"/>
      <c r="H40" s="346"/>
    </row>
    <row r="41" spans="1:8" x14ac:dyDescent="0.2">
      <c r="A41" s="346" t="s">
        <v>456</v>
      </c>
      <c r="B41" s="346"/>
      <c r="C41" s="346"/>
      <c r="D41" s="346"/>
      <c r="E41" s="346"/>
      <c r="F41" s="346"/>
      <c r="G41" s="346"/>
      <c r="H41" s="346"/>
    </row>
    <row r="42" spans="1:8" x14ac:dyDescent="0.2">
      <c r="A42" s="346" t="s">
        <v>457</v>
      </c>
      <c r="B42" s="346"/>
      <c r="C42" s="346"/>
      <c r="D42" s="346"/>
      <c r="E42" s="346"/>
      <c r="F42" s="346"/>
      <c r="G42" s="346"/>
      <c r="H42" s="346"/>
    </row>
    <row r="43" spans="1:8" x14ac:dyDescent="0.2">
      <c r="A43" s="346" t="s">
        <v>458</v>
      </c>
      <c r="B43" s="346"/>
      <c r="C43" s="346"/>
      <c r="D43" s="346"/>
      <c r="E43" s="346"/>
      <c r="F43" s="346"/>
      <c r="G43" s="346"/>
      <c r="H43" s="346"/>
    </row>
    <row r="44" spans="1:8" x14ac:dyDescent="0.2">
      <c r="A44" s="346" t="s">
        <v>459</v>
      </c>
      <c r="B44" s="346"/>
      <c r="C44" s="346"/>
      <c r="D44" s="346"/>
      <c r="E44" s="346"/>
      <c r="F44" s="346"/>
      <c r="G44" s="346"/>
      <c r="H44" s="346"/>
    </row>
    <row r="45" spans="1:8" x14ac:dyDescent="0.2">
      <c r="A45" s="346"/>
      <c r="B45" s="346"/>
      <c r="C45" s="346"/>
      <c r="D45" s="346"/>
      <c r="E45" s="346"/>
      <c r="F45" s="346"/>
      <c r="G45" s="346"/>
      <c r="H45" s="346"/>
    </row>
    <row r="46" spans="1:8" x14ac:dyDescent="0.2">
      <c r="A46" s="346" t="s">
        <v>460</v>
      </c>
      <c r="B46" s="346"/>
      <c r="C46" s="346"/>
      <c r="D46" s="346"/>
      <c r="E46" s="346"/>
      <c r="F46" s="346"/>
      <c r="G46" s="346"/>
      <c r="H46" s="346"/>
    </row>
    <row r="47" spans="1:8" x14ac:dyDescent="0.2">
      <c r="A47" s="346" t="s">
        <v>461</v>
      </c>
      <c r="B47" s="346"/>
      <c r="C47" s="346"/>
      <c r="D47" s="346"/>
      <c r="E47" s="346"/>
      <c r="F47" s="346"/>
      <c r="G47" s="346"/>
      <c r="H47" s="346"/>
    </row>
    <row r="48" spans="1:8" x14ac:dyDescent="0.2">
      <c r="A48" s="346" t="s">
        <v>462</v>
      </c>
      <c r="B48" s="346"/>
      <c r="C48" s="346"/>
      <c r="D48" s="346"/>
      <c r="E48" s="346"/>
      <c r="F48" s="346"/>
      <c r="G48" s="346"/>
      <c r="H48" s="346"/>
    </row>
    <row r="49" spans="1:8" x14ac:dyDescent="0.2">
      <c r="A49" s="346" t="s">
        <v>463</v>
      </c>
      <c r="B49" s="346"/>
      <c r="C49" s="346"/>
      <c r="D49" s="346"/>
      <c r="E49" s="346"/>
      <c r="F49" s="346"/>
      <c r="G49" s="346"/>
      <c r="H49" s="346"/>
    </row>
    <row r="50" spans="1:8" x14ac:dyDescent="0.2">
      <c r="A50" s="346" t="s">
        <v>464</v>
      </c>
      <c r="B50" s="346"/>
      <c r="C50" s="346"/>
      <c r="D50" s="346"/>
      <c r="E50" s="346"/>
      <c r="F50" s="346"/>
      <c r="G50" s="346"/>
      <c r="H50" s="346"/>
    </row>
    <row r="51" spans="1:8" x14ac:dyDescent="0.2">
      <c r="A51" s="346"/>
      <c r="B51" s="346"/>
      <c r="C51" s="346"/>
      <c r="D51" s="346"/>
      <c r="E51" s="346"/>
      <c r="F51" s="346"/>
      <c r="G51" s="346"/>
      <c r="H51" s="346"/>
    </row>
    <row r="52" spans="1:8" x14ac:dyDescent="0.2">
      <c r="A52" s="347" t="s">
        <v>465</v>
      </c>
      <c r="B52" s="347"/>
      <c r="C52" s="347"/>
      <c r="D52" s="347"/>
      <c r="E52" s="347"/>
      <c r="F52" s="347"/>
      <c r="G52" s="347"/>
      <c r="H52" s="346"/>
    </row>
    <row r="53" spans="1:8" x14ac:dyDescent="0.2">
      <c r="A53" s="347" t="s">
        <v>466</v>
      </c>
      <c r="B53" s="347"/>
      <c r="C53" s="347"/>
      <c r="D53" s="347"/>
      <c r="E53" s="347"/>
      <c r="F53" s="347"/>
      <c r="G53" s="347"/>
      <c r="H53" s="346"/>
    </row>
    <row r="54" spans="1:8" x14ac:dyDescent="0.2">
      <c r="A54" s="346"/>
      <c r="B54" s="346"/>
      <c r="C54" s="346"/>
      <c r="D54" s="346"/>
      <c r="E54" s="346"/>
      <c r="F54" s="346"/>
      <c r="G54" s="346"/>
      <c r="H54" s="346"/>
    </row>
    <row r="55" spans="1:8" x14ac:dyDescent="0.2">
      <c r="A55" s="346" t="s">
        <v>467</v>
      </c>
      <c r="B55" s="346"/>
      <c r="C55" s="346"/>
      <c r="D55" s="346"/>
      <c r="E55" s="346"/>
      <c r="F55" s="346"/>
      <c r="G55" s="346"/>
      <c r="H55" s="346"/>
    </row>
    <row r="56" spans="1:8" x14ac:dyDescent="0.2">
      <c r="A56" s="346" t="s">
        <v>468</v>
      </c>
      <c r="B56" s="346"/>
      <c r="C56" s="346"/>
      <c r="D56" s="346"/>
      <c r="E56" s="346"/>
      <c r="F56" s="346"/>
      <c r="G56" s="346"/>
      <c r="H56" s="346"/>
    </row>
    <row r="57" spans="1:8" x14ac:dyDescent="0.2">
      <c r="A57" s="346" t="s">
        <v>469</v>
      </c>
      <c r="B57" s="346"/>
      <c r="C57" s="346"/>
      <c r="D57" s="346"/>
      <c r="E57" s="346"/>
      <c r="F57" s="346"/>
      <c r="G57" s="346"/>
      <c r="H57" s="346"/>
    </row>
    <row r="58" spans="1:8" x14ac:dyDescent="0.2">
      <c r="A58" s="346" t="s">
        <v>470</v>
      </c>
      <c r="B58" s="346"/>
      <c r="C58" s="346"/>
      <c r="D58" s="346"/>
      <c r="E58" s="346"/>
      <c r="F58" s="346"/>
      <c r="G58" s="346"/>
      <c r="H58" s="346"/>
    </row>
    <row r="59" spans="1:8" x14ac:dyDescent="0.2">
      <c r="A59" s="346"/>
      <c r="B59" s="346"/>
      <c r="C59" s="346"/>
      <c r="D59" s="346"/>
      <c r="E59" s="346"/>
      <c r="F59" s="346"/>
      <c r="G59" s="346"/>
      <c r="H59" s="346"/>
    </row>
    <row r="60" spans="1:8" x14ac:dyDescent="0.2">
      <c r="A60" s="346" t="s">
        <v>471</v>
      </c>
      <c r="B60" s="346"/>
      <c r="C60" s="346"/>
      <c r="D60" s="346"/>
      <c r="E60" s="346"/>
      <c r="F60" s="346"/>
      <c r="G60" s="346"/>
      <c r="H60" s="346"/>
    </row>
    <row r="61" spans="1:8" x14ac:dyDescent="0.2">
      <c r="A61" s="346" t="s">
        <v>472</v>
      </c>
      <c r="B61" s="346"/>
      <c r="C61" s="346"/>
      <c r="D61" s="346"/>
      <c r="E61" s="346"/>
      <c r="F61" s="346"/>
      <c r="G61" s="346"/>
      <c r="H61" s="346"/>
    </row>
    <row r="62" spans="1:8" x14ac:dyDescent="0.2">
      <c r="A62" s="346" t="s">
        <v>473</v>
      </c>
      <c r="B62" s="346"/>
      <c r="C62" s="346"/>
      <c r="D62" s="346"/>
      <c r="E62" s="346"/>
      <c r="F62" s="346"/>
      <c r="G62" s="346"/>
      <c r="H62" s="346"/>
    </row>
    <row r="63" spans="1:8" x14ac:dyDescent="0.2">
      <c r="A63" s="346" t="s">
        <v>474</v>
      </c>
      <c r="B63" s="346"/>
      <c r="C63" s="346"/>
      <c r="D63" s="346"/>
      <c r="E63" s="346"/>
      <c r="F63" s="346"/>
      <c r="G63" s="346"/>
      <c r="H63" s="346"/>
    </row>
    <row r="64" spans="1:8" x14ac:dyDescent="0.2">
      <c r="A64" s="346" t="s">
        <v>475</v>
      </c>
      <c r="B64" s="346"/>
      <c r="C64" s="346"/>
      <c r="D64" s="346"/>
      <c r="E64" s="346"/>
      <c r="F64" s="346"/>
      <c r="G64" s="346"/>
      <c r="H64" s="346"/>
    </row>
    <row r="65" spans="1:8" x14ac:dyDescent="0.2">
      <c r="A65" s="346" t="s">
        <v>476</v>
      </c>
      <c r="B65" s="346"/>
      <c r="C65" s="346"/>
      <c r="D65" s="346"/>
      <c r="E65" s="346"/>
      <c r="F65" s="346"/>
      <c r="G65" s="346"/>
      <c r="H65" s="346"/>
    </row>
    <row r="66" spans="1:8" x14ac:dyDescent="0.2">
      <c r="A66" s="346"/>
      <c r="B66" s="346"/>
      <c r="C66" s="346"/>
      <c r="D66" s="346"/>
      <c r="E66" s="346"/>
      <c r="F66" s="346"/>
      <c r="G66" s="346"/>
      <c r="H66" s="346"/>
    </row>
    <row r="67" spans="1:8" x14ac:dyDescent="0.2">
      <c r="A67" s="346" t="s">
        <v>477</v>
      </c>
      <c r="B67" s="346"/>
      <c r="C67" s="346"/>
      <c r="D67" s="346"/>
      <c r="E67" s="346"/>
      <c r="F67" s="346"/>
      <c r="G67" s="346"/>
      <c r="H67" s="346"/>
    </row>
    <row r="68" spans="1:8" x14ac:dyDescent="0.2">
      <c r="A68" s="346" t="s">
        <v>478</v>
      </c>
      <c r="B68" s="346"/>
      <c r="C68" s="346"/>
      <c r="D68" s="346"/>
      <c r="E68" s="346"/>
      <c r="F68" s="346"/>
      <c r="G68" s="346"/>
      <c r="H68" s="346"/>
    </row>
    <row r="69" spans="1:8" x14ac:dyDescent="0.2">
      <c r="A69" s="346" t="s">
        <v>479</v>
      </c>
      <c r="B69" s="346"/>
      <c r="C69" s="346"/>
      <c r="D69" s="346"/>
      <c r="E69" s="346"/>
      <c r="F69" s="346"/>
      <c r="G69" s="346"/>
      <c r="H69" s="346"/>
    </row>
    <row r="70" spans="1:8" x14ac:dyDescent="0.2">
      <c r="A70" s="346" t="s">
        <v>480</v>
      </c>
      <c r="B70" s="346"/>
      <c r="C70" s="346"/>
      <c r="D70" s="346"/>
      <c r="E70" s="346"/>
      <c r="F70" s="346"/>
      <c r="G70" s="346"/>
      <c r="H70" s="346"/>
    </row>
    <row r="71" spans="1:8" x14ac:dyDescent="0.2">
      <c r="A71" s="346" t="s">
        <v>481</v>
      </c>
      <c r="B71" s="346"/>
      <c r="C71" s="346"/>
      <c r="D71" s="346"/>
      <c r="E71" s="346"/>
      <c r="F71" s="346"/>
      <c r="G71" s="346"/>
      <c r="H71" s="346"/>
    </row>
    <row r="72" spans="1:8" x14ac:dyDescent="0.2">
      <c r="A72" s="346" t="s">
        <v>482</v>
      </c>
      <c r="B72" s="346"/>
      <c r="C72" s="346"/>
      <c r="D72" s="346"/>
      <c r="E72" s="346"/>
      <c r="F72" s="346"/>
      <c r="G72" s="346"/>
      <c r="H72" s="346"/>
    </row>
    <row r="73" spans="1:8" x14ac:dyDescent="0.2">
      <c r="A73" s="346" t="s">
        <v>483</v>
      </c>
      <c r="B73" s="346"/>
      <c r="C73" s="346"/>
      <c r="D73" s="346"/>
      <c r="E73" s="346"/>
      <c r="F73" s="346"/>
      <c r="G73" s="346"/>
      <c r="H73" s="346"/>
    </row>
    <row r="74" spans="1:8" x14ac:dyDescent="0.2">
      <c r="A74" s="346"/>
      <c r="B74" s="346"/>
      <c r="C74" s="346"/>
      <c r="D74" s="346"/>
      <c r="E74" s="346"/>
      <c r="F74" s="346"/>
      <c r="G74" s="346"/>
      <c r="H74" s="346"/>
    </row>
    <row r="75" spans="1:8" x14ac:dyDescent="0.2">
      <c r="A75" s="346" t="s">
        <v>484</v>
      </c>
      <c r="B75" s="346"/>
      <c r="C75" s="346"/>
      <c r="D75" s="346"/>
      <c r="E75" s="346"/>
      <c r="F75" s="346"/>
      <c r="G75" s="346"/>
      <c r="H75" s="346"/>
    </row>
    <row r="76" spans="1:8" x14ac:dyDescent="0.2">
      <c r="A76" s="346" t="s">
        <v>485</v>
      </c>
      <c r="B76" s="346"/>
      <c r="C76" s="346"/>
      <c r="D76" s="346"/>
      <c r="E76" s="346"/>
      <c r="F76" s="346"/>
      <c r="G76" s="346"/>
      <c r="H76" s="346"/>
    </row>
    <row r="77" spans="1:8" x14ac:dyDescent="0.2">
      <c r="A77" s="346" t="s">
        <v>486</v>
      </c>
      <c r="B77" s="346"/>
      <c r="C77" s="346"/>
      <c r="D77" s="346"/>
      <c r="E77" s="346"/>
      <c r="F77" s="346"/>
      <c r="G77" s="346"/>
      <c r="H77" s="346"/>
    </row>
    <row r="78" spans="1:8" x14ac:dyDescent="0.2">
      <c r="A78" s="346"/>
      <c r="B78" s="346"/>
      <c r="C78" s="346"/>
      <c r="D78" s="346"/>
      <c r="E78" s="346"/>
      <c r="F78" s="346"/>
      <c r="G78" s="346"/>
      <c r="H78" s="346"/>
    </row>
    <row r="79" spans="1:8" x14ac:dyDescent="0.2">
      <c r="A79" s="346" t="s">
        <v>431</v>
      </c>
    </row>
    <row r="80" spans="1:8" x14ac:dyDescent="0.2">
      <c r="A80" s="347"/>
    </row>
    <row r="81" spans="1:1" x14ac:dyDescent="0.2">
      <c r="A81" s="346"/>
    </row>
    <row r="82" spans="1:1" x14ac:dyDescent="0.2">
      <c r="A82" s="346"/>
    </row>
    <row r="83" spans="1:1" x14ac:dyDescent="0.2">
      <c r="A83" s="346"/>
    </row>
    <row r="84" spans="1:1" x14ac:dyDescent="0.2">
      <c r="A84" s="346"/>
    </row>
    <row r="85" spans="1:1" x14ac:dyDescent="0.2">
      <c r="A85" s="346"/>
    </row>
    <row r="86" spans="1:1" x14ac:dyDescent="0.2">
      <c r="A86" s="346"/>
    </row>
    <row r="87" spans="1:1" x14ac:dyDescent="0.2">
      <c r="A87" s="346"/>
    </row>
    <row r="88" spans="1:1" x14ac:dyDescent="0.2">
      <c r="A88" s="346"/>
    </row>
    <row r="89" spans="1:1" x14ac:dyDescent="0.2">
      <c r="A89" s="346"/>
    </row>
    <row r="90" spans="1:1" x14ac:dyDescent="0.2">
      <c r="A90" s="346"/>
    </row>
    <row r="91" spans="1:1" x14ac:dyDescent="0.2">
      <c r="A91" s="346"/>
    </row>
    <row r="92" spans="1:1" x14ac:dyDescent="0.2">
      <c r="A92" s="346"/>
    </row>
    <row r="93" spans="1:1" x14ac:dyDescent="0.2">
      <c r="A93" s="346"/>
    </row>
    <row r="94" spans="1:1" x14ac:dyDescent="0.2">
      <c r="A94" s="346"/>
    </row>
    <row r="95" spans="1:1" x14ac:dyDescent="0.2">
      <c r="A95" s="346"/>
    </row>
    <row r="96" spans="1:1" x14ac:dyDescent="0.2">
      <c r="A96" s="346"/>
    </row>
    <row r="97" spans="1:1" x14ac:dyDescent="0.2">
      <c r="A97" s="346"/>
    </row>
    <row r="98" spans="1:1" x14ac:dyDescent="0.2">
      <c r="A98" s="346"/>
    </row>
    <row r="99" spans="1:1" x14ac:dyDescent="0.2">
      <c r="A99" s="346"/>
    </row>
    <row r="100" spans="1:1" x14ac:dyDescent="0.2">
      <c r="A100" s="346"/>
    </row>
    <row r="101" spans="1:1" x14ac:dyDescent="0.2">
      <c r="A101" s="346"/>
    </row>
    <row r="103" spans="1:1" x14ac:dyDescent="0.2">
      <c r="A103" s="346"/>
    </row>
    <row r="104" spans="1:1" x14ac:dyDescent="0.2">
      <c r="A104" s="346"/>
    </row>
    <row r="105" spans="1:1" x14ac:dyDescent="0.2">
      <c r="A105" s="346"/>
    </row>
    <row r="107" spans="1:1" x14ac:dyDescent="0.2">
      <c r="A107" s="347"/>
    </row>
    <row r="108" spans="1:1" x14ac:dyDescent="0.2">
      <c r="A108" s="347"/>
    </row>
    <row r="109" spans="1:1" x14ac:dyDescent="0.2">
      <c r="A109" s="347"/>
    </row>
  </sheetData>
  <sheetProtection sheet="1"/>
  <pageMargins left="0.7" right="0.7" top="0.75" bottom="0.75" header="0.3" footer="0.3"/>
  <pageSetup orientation="portrait" r:id="rId1"/>
  <headerFooter>
    <oddFooter>&amp;Lrevised 10/5/09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4" workbookViewId="0">
      <selection activeCell="B14" sqref="B14"/>
    </sheetView>
  </sheetViews>
  <sheetFormatPr defaultRowHeight="15" x14ac:dyDescent="0.2"/>
  <cols>
    <col min="1" max="1" width="13.77734375" customWidth="1"/>
    <col min="2" max="2" width="16.109375" customWidth="1"/>
  </cols>
  <sheetData>
    <row r="1" spans="1:10" x14ac:dyDescent="0.2">
      <c r="J1" s="570" t="s">
        <v>798</v>
      </c>
    </row>
    <row r="2" spans="1:10" ht="54" customHeight="1" x14ac:dyDescent="0.2">
      <c r="A2" s="756" t="s">
        <v>366</v>
      </c>
      <c r="B2" s="757"/>
      <c r="C2" s="757"/>
      <c r="D2" s="757"/>
      <c r="E2" s="757"/>
      <c r="F2" s="757"/>
      <c r="J2" s="570" t="s">
        <v>799</v>
      </c>
    </row>
    <row r="3" spans="1:10" ht="15.75" x14ac:dyDescent="0.25">
      <c r="A3" s="1" t="s">
        <v>800</v>
      </c>
      <c r="B3" s="631" t="s">
        <v>962</v>
      </c>
      <c r="C3" s="632"/>
      <c r="J3" s="570" t="s">
        <v>801</v>
      </c>
    </row>
    <row r="4" spans="1:10" ht="15.75" x14ac:dyDescent="0.25">
      <c r="A4" s="1"/>
      <c r="B4" s="571"/>
      <c r="J4" s="570" t="s">
        <v>802</v>
      </c>
    </row>
    <row r="5" spans="1:10" ht="15.75" x14ac:dyDescent="0.25">
      <c r="A5" s="1" t="s">
        <v>611</v>
      </c>
      <c r="B5" s="633" t="s">
        <v>999</v>
      </c>
      <c r="J5" s="570" t="s">
        <v>803</v>
      </c>
    </row>
    <row r="6" spans="1:10" ht="15.75" x14ac:dyDescent="0.25">
      <c r="A6" s="339"/>
      <c r="B6" s="339"/>
      <c r="C6" s="339"/>
      <c r="D6" s="340" t="s">
        <v>804</v>
      </c>
      <c r="E6" s="339"/>
      <c r="F6" s="339"/>
      <c r="J6" s="570" t="s">
        <v>805</v>
      </c>
    </row>
    <row r="7" spans="1:10" ht="15.75" x14ac:dyDescent="0.25">
      <c r="A7" s="340" t="s">
        <v>367</v>
      </c>
      <c r="B7" s="633" t="s">
        <v>1000</v>
      </c>
      <c r="C7" s="341"/>
      <c r="D7" s="340" t="str">
        <f ca="1">IF(B7="","",CONCATENATE("Latest date for notice to be published in your newspaper: ",G18," ",G22,", ",G23))</f>
        <v>Latest date for notice to be published in your newspaper: August 1, 2014</v>
      </c>
      <c r="E7" s="339"/>
      <c r="F7" s="339"/>
      <c r="J7" s="570" t="s">
        <v>806</v>
      </c>
    </row>
    <row r="8" spans="1:10" ht="15.75" x14ac:dyDescent="0.25">
      <c r="A8" s="340"/>
      <c r="B8" s="342"/>
      <c r="C8" s="343"/>
      <c r="D8" s="340"/>
      <c r="E8" s="339"/>
      <c r="F8" s="339"/>
      <c r="J8" s="570" t="s">
        <v>807</v>
      </c>
    </row>
    <row r="9" spans="1:10" ht="15.75" x14ac:dyDescent="0.25">
      <c r="A9" s="340" t="s">
        <v>368</v>
      </c>
      <c r="B9" s="633" t="s">
        <v>1001</v>
      </c>
      <c r="C9" s="344"/>
      <c r="D9" s="340"/>
      <c r="E9" s="339"/>
      <c r="F9" s="339"/>
      <c r="J9" s="570" t="s">
        <v>808</v>
      </c>
    </row>
    <row r="10" spans="1:10" ht="15.75" x14ac:dyDescent="0.25">
      <c r="A10" s="340"/>
      <c r="B10" s="340"/>
      <c r="C10" s="340"/>
      <c r="D10" s="340"/>
      <c r="E10" s="339"/>
      <c r="F10" s="339"/>
      <c r="J10" s="570" t="s">
        <v>809</v>
      </c>
    </row>
    <row r="11" spans="1:10" ht="15.75" x14ac:dyDescent="0.25">
      <c r="A11" s="340" t="s">
        <v>369</v>
      </c>
      <c r="B11" s="634" t="s">
        <v>1002</v>
      </c>
      <c r="C11" s="635"/>
      <c r="D11" s="635"/>
      <c r="E11" s="636"/>
      <c r="F11" s="339"/>
      <c r="J11" s="570" t="s">
        <v>810</v>
      </c>
    </row>
    <row r="12" spans="1:10" ht="15.75" x14ac:dyDescent="0.25">
      <c r="A12" s="340"/>
      <c r="B12" s="340"/>
      <c r="C12" s="340"/>
      <c r="D12" s="340"/>
      <c r="E12" s="339"/>
      <c r="F12" s="339"/>
      <c r="J12" s="570" t="s">
        <v>811</v>
      </c>
    </row>
    <row r="13" spans="1:10" ht="15.75" x14ac:dyDescent="0.25">
      <c r="A13" s="340"/>
      <c r="B13" s="340"/>
      <c r="C13" s="340"/>
      <c r="D13" s="340"/>
      <c r="E13" s="339"/>
      <c r="F13" s="339"/>
    </row>
    <row r="14" spans="1:10" ht="15.75" x14ac:dyDescent="0.25">
      <c r="A14" s="340" t="s">
        <v>370</v>
      </c>
      <c r="B14" s="634" t="s">
        <v>374</v>
      </c>
      <c r="C14" s="635"/>
      <c r="D14" s="635"/>
      <c r="E14" s="636"/>
      <c r="F14" s="339"/>
    </row>
    <row r="17" spans="1:7" ht="15.75" x14ac:dyDescent="0.25">
      <c r="A17" s="758" t="s">
        <v>371</v>
      </c>
      <c r="B17" s="758"/>
      <c r="C17" s="340"/>
      <c r="D17" s="340"/>
      <c r="E17" s="340"/>
      <c r="F17" s="339"/>
    </row>
    <row r="18" spans="1:7" ht="15.75" x14ac:dyDescent="0.25">
      <c r="A18" s="340"/>
      <c r="B18" s="340"/>
      <c r="C18" s="340"/>
      <c r="D18" s="340"/>
      <c r="E18" s="340"/>
      <c r="F18" s="339"/>
      <c r="G18" s="570" t="str">
        <f ca="1">IF(B7="","",INDIRECT(G19))</f>
        <v>August</v>
      </c>
    </row>
    <row r="19" spans="1:7" ht="15.75" x14ac:dyDescent="0.25">
      <c r="A19" s="340" t="s">
        <v>611</v>
      </c>
      <c r="B19" s="340" t="s">
        <v>612</v>
      </c>
      <c r="C19" s="340"/>
      <c r="D19" s="340"/>
      <c r="E19" s="340"/>
      <c r="F19" s="339"/>
      <c r="G19" s="572" t="str">
        <f>IF(B7="","",CONCATENATE("J",G21))</f>
        <v>J8</v>
      </c>
    </row>
    <row r="20" spans="1:7" ht="15.75" x14ac:dyDescent="0.25">
      <c r="A20" s="340"/>
      <c r="B20" s="340"/>
      <c r="C20" s="340"/>
      <c r="D20" s="340"/>
      <c r="E20" s="340"/>
      <c r="F20" s="339"/>
      <c r="G20" s="573">
        <f>B7-10</f>
        <v>41852</v>
      </c>
    </row>
    <row r="21" spans="1:7" ht="15.75" x14ac:dyDescent="0.2">
      <c r="A21" s="340" t="s">
        <v>367</v>
      </c>
      <c r="B21" s="342" t="s">
        <v>372</v>
      </c>
      <c r="C21" s="340"/>
      <c r="D21" s="340"/>
      <c r="E21" s="340"/>
      <c r="G21" s="574">
        <f>IF(B7="","",MONTH(G20))</f>
        <v>8</v>
      </c>
    </row>
    <row r="22" spans="1:7" ht="15.75" x14ac:dyDescent="0.2">
      <c r="A22" s="340"/>
      <c r="B22" s="340"/>
      <c r="C22" s="340"/>
      <c r="D22" s="340"/>
      <c r="E22" s="340"/>
      <c r="G22" s="575">
        <f>IF(B7="","",DAY(G20))</f>
        <v>1</v>
      </c>
    </row>
    <row r="23" spans="1:7" ht="15.75" x14ac:dyDescent="0.2">
      <c r="A23" s="340" t="s">
        <v>368</v>
      </c>
      <c r="B23" s="340" t="s">
        <v>373</v>
      </c>
      <c r="C23" s="340"/>
      <c r="D23" s="340"/>
      <c r="E23" s="340"/>
      <c r="G23" s="576">
        <f>IF(B7="","",YEAR(G20))</f>
        <v>2014</v>
      </c>
    </row>
    <row r="24" spans="1:7" ht="15.75" x14ac:dyDescent="0.2">
      <c r="A24" s="340"/>
      <c r="B24" s="340"/>
      <c r="C24" s="340"/>
      <c r="D24" s="340"/>
      <c r="E24" s="340"/>
    </row>
    <row r="25" spans="1:7" ht="15.75" x14ac:dyDescent="0.2">
      <c r="A25" s="340" t="s">
        <v>369</v>
      </c>
      <c r="B25" s="340" t="s">
        <v>374</v>
      </c>
      <c r="C25" s="340"/>
      <c r="D25" s="340"/>
      <c r="E25" s="340"/>
    </row>
    <row r="26" spans="1:7" ht="15.75" x14ac:dyDescent="0.2">
      <c r="A26" s="340"/>
      <c r="B26" s="340"/>
      <c r="C26" s="340"/>
      <c r="D26" s="340"/>
      <c r="E26" s="340"/>
    </row>
    <row r="27" spans="1:7" ht="15.75" x14ac:dyDescent="0.2">
      <c r="A27" s="340" t="s">
        <v>370</v>
      </c>
      <c r="B27" s="340" t="s">
        <v>374</v>
      </c>
      <c r="C27" s="340"/>
      <c r="D27" s="340"/>
      <c r="E27" s="340"/>
    </row>
  </sheetData>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heetViews>
  <sheetFormatPr defaultRowHeight="15" x14ac:dyDescent="0.2"/>
  <cols>
    <col min="1" max="1" width="71.33203125" customWidth="1"/>
  </cols>
  <sheetData>
    <row r="3" spans="1:12" x14ac:dyDescent="0.2">
      <c r="A3" s="345" t="s">
        <v>487</v>
      </c>
      <c r="B3" s="345"/>
      <c r="C3" s="345"/>
      <c r="D3" s="345"/>
      <c r="E3" s="345"/>
      <c r="F3" s="345"/>
      <c r="G3" s="345"/>
      <c r="H3" s="345"/>
      <c r="I3" s="345"/>
      <c r="J3" s="345"/>
      <c r="K3" s="345"/>
      <c r="L3" s="345"/>
    </row>
    <row r="4" spans="1:12" x14ac:dyDescent="0.2">
      <c r="A4" s="345"/>
      <c r="B4" s="345"/>
      <c r="C4" s="345"/>
      <c r="D4" s="345"/>
      <c r="E4" s="345"/>
      <c r="F4" s="345"/>
      <c r="G4" s="345"/>
      <c r="H4" s="345"/>
      <c r="I4" s="345"/>
      <c r="J4" s="345"/>
      <c r="K4" s="345"/>
      <c r="L4" s="345"/>
    </row>
    <row r="5" spans="1:12" x14ac:dyDescent="0.2">
      <c r="A5" s="346" t="s">
        <v>376</v>
      </c>
      <c r="I5" s="345"/>
      <c r="J5" s="345"/>
      <c r="K5" s="345"/>
      <c r="L5" s="345"/>
    </row>
    <row r="6" spans="1:12" x14ac:dyDescent="0.2">
      <c r="A6" s="346" t="str">
        <f>CONCATENATE("estimated ",inputPrYr!C10-1," 'total expenditures' exceed your ",inputPrYr!C10-1,"")</f>
        <v>estimated 2014 'total expenditures' exceed your 2014</v>
      </c>
      <c r="I6" s="345"/>
      <c r="J6" s="345"/>
      <c r="K6" s="345"/>
      <c r="L6" s="345"/>
    </row>
    <row r="7" spans="1:12" x14ac:dyDescent="0.2">
      <c r="A7" s="349" t="s">
        <v>488</v>
      </c>
      <c r="I7" s="345"/>
      <c r="J7" s="345"/>
      <c r="K7" s="345"/>
      <c r="L7" s="345"/>
    </row>
    <row r="8" spans="1:12" x14ac:dyDescent="0.2">
      <c r="A8" s="346"/>
      <c r="I8" s="345"/>
      <c r="J8" s="345"/>
      <c r="K8" s="345"/>
      <c r="L8" s="345"/>
    </row>
    <row r="9" spans="1:12" x14ac:dyDescent="0.2">
      <c r="A9" s="346" t="s">
        <v>489</v>
      </c>
      <c r="I9" s="345"/>
      <c r="J9" s="345"/>
      <c r="K9" s="345"/>
      <c r="L9" s="345"/>
    </row>
    <row r="10" spans="1:12" x14ac:dyDescent="0.2">
      <c r="A10" s="346" t="s">
        <v>490</v>
      </c>
      <c r="I10" s="345"/>
      <c r="J10" s="345"/>
      <c r="K10" s="345"/>
      <c r="L10" s="345"/>
    </row>
    <row r="11" spans="1:12" x14ac:dyDescent="0.2">
      <c r="A11" s="346" t="s">
        <v>491</v>
      </c>
      <c r="I11" s="345"/>
      <c r="J11" s="345"/>
      <c r="K11" s="345"/>
      <c r="L11" s="345"/>
    </row>
    <row r="12" spans="1:12" x14ac:dyDescent="0.2">
      <c r="A12" s="346" t="s">
        <v>492</v>
      </c>
      <c r="I12" s="345"/>
      <c r="J12" s="345"/>
      <c r="K12" s="345"/>
      <c r="L12" s="345"/>
    </row>
    <row r="13" spans="1:12" x14ac:dyDescent="0.2">
      <c r="A13" s="346" t="s">
        <v>493</v>
      </c>
      <c r="I13" s="345"/>
      <c r="J13" s="345"/>
      <c r="K13" s="345"/>
      <c r="L13" s="345"/>
    </row>
    <row r="14" spans="1:12" x14ac:dyDescent="0.2">
      <c r="A14" s="345"/>
      <c r="B14" s="345"/>
      <c r="C14" s="345"/>
      <c r="D14" s="345"/>
      <c r="E14" s="345"/>
      <c r="F14" s="345"/>
      <c r="G14" s="345"/>
      <c r="H14" s="345"/>
      <c r="I14" s="345"/>
      <c r="J14" s="345"/>
      <c r="K14" s="345"/>
      <c r="L14" s="345"/>
    </row>
    <row r="15" spans="1:12" x14ac:dyDescent="0.2">
      <c r="A15" s="347" t="s">
        <v>494</v>
      </c>
    </row>
    <row r="16" spans="1:12" x14ac:dyDescent="0.2">
      <c r="A16" s="347" t="s">
        <v>495</v>
      </c>
    </row>
    <row r="17" spans="1:7" x14ac:dyDescent="0.2">
      <c r="A17" s="347"/>
    </row>
    <row r="18" spans="1:7" x14ac:dyDescent="0.2">
      <c r="A18" s="346" t="s">
        <v>496</v>
      </c>
      <c r="B18" s="346"/>
      <c r="C18" s="346"/>
      <c r="D18" s="346"/>
      <c r="E18" s="346"/>
      <c r="F18" s="346"/>
      <c r="G18" s="346"/>
    </row>
    <row r="19" spans="1:7" x14ac:dyDescent="0.2">
      <c r="A19" s="346" t="str">
        <f>CONCATENATE("your ",inputPrYr!C10-1," numbers to see what steps might be necessary to")</f>
        <v>your 2014 numbers to see what steps might be necessary to</v>
      </c>
      <c r="B19" s="346"/>
      <c r="C19" s="346"/>
      <c r="D19" s="346"/>
      <c r="E19" s="346"/>
      <c r="F19" s="346"/>
      <c r="G19" s="346"/>
    </row>
    <row r="20" spans="1:7" x14ac:dyDescent="0.2">
      <c r="A20" s="346" t="s">
        <v>497</v>
      </c>
      <c r="B20" s="346"/>
      <c r="C20" s="346"/>
      <c r="D20" s="346"/>
      <c r="E20" s="346"/>
      <c r="F20" s="346"/>
      <c r="G20" s="346"/>
    </row>
    <row r="21" spans="1:7" x14ac:dyDescent="0.2">
      <c r="A21" s="346" t="s">
        <v>498</v>
      </c>
      <c r="B21" s="346"/>
      <c r="C21" s="346"/>
      <c r="D21" s="346"/>
      <c r="E21" s="346"/>
      <c r="F21" s="346"/>
      <c r="G21" s="346"/>
    </row>
    <row r="22" spans="1:7" x14ac:dyDescent="0.2">
      <c r="A22" s="346"/>
    </row>
    <row r="23" spans="1:7" x14ac:dyDescent="0.2">
      <c r="A23" s="347" t="s">
        <v>499</v>
      </c>
    </row>
    <row r="24" spans="1:7" x14ac:dyDescent="0.2">
      <c r="A24" s="347"/>
    </row>
    <row r="25" spans="1:7" x14ac:dyDescent="0.2">
      <c r="A25" s="346" t="s">
        <v>500</v>
      </c>
    </row>
    <row r="26" spans="1:7" x14ac:dyDescent="0.2">
      <c r="A26" s="346" t="s">
        <v>501</v>
      </c>
      <c r="B26" s="346"/>
      <c r="C26" s="346"/>
      <c r="D26" s="346"/>
      <c r="E26" s="346"/>
      <c r="F26" s="346"/>
    </row>
    <row r="27" spans="1:7" x14ac:dyDescent="0.2">
      <c r="A27" s="346" t="s">
        <v>502</v>
      </c>
      <c r="B27" s="346"/>
      <c r="C27" s="346"/>
      <c r="D27" s="346"/>
      <c r="E27" s="346"/>
      <c r="F27" s="346"/>
    </row>
    <row r="28" spans="1:7" x14ac:dyDescent="0.2">
      <c r="A28" s="346" t="s">
        <v>503</v>
      </c>
      <c r="B28" s="346"/>
      <c r="C28" s="346"/>
      <c r="D28" s="346"/>
      <c r="E28" s="346"/>
      <c r="F28" s="346"/>
    </row>
    <row r="29" spans="1:7" x14ac:dyDescent="0.2">
      <c r="A29" s="346"/>
      <c r="B29" s="346"/>
      <c r="C29" s="346"/>
      <c r="D29" s="346"/>
      <c r="E29" s="346"/>
      <c r="F29" s="346"/>
    </row>
    <row r="30" spans="1:7" x14ac:dyDescent="0.2">
      <c r="A30" s="347" t="s">
        <v>504</v>
      </c>
      <c r="B30" s="347"/>
      <c r="C30" s="347"/>
      <c r="D30" s="347"/>
      <c r="E30" s="347"/>
      <c r="F30" s="347"/>
      <c r="G30" s="347"/>
    </row>
    <row r="31" spans="1:7" x14ac:dyDescent="0.2">
      <c r="A31" s="347" t="s">
        <v>505</v>
      </c>
      <c r="B31" s="347"/>
      <c r="C31" s="347"/>
      <c r="D31" s="347"/>
      <c r="E31" s="347"/>
      <c r="F31" s="347"/>
      <c r="G31" s="347"/>
    </row>
    <row r="32" spans="1:7" x14ac:dyDescent="0.2">
      <c r="A32" s="346"/>
      <c r="B32" s="346"/>
      <c r="C32" s="346"/>
      <c r="D32" s="346"/>
      <c r="E32" s="346"/>
      <c r="F32" s="346"/>
    </row>
    <row r="33" spans="1:6" x14ac:dyDescent="0.2">
      <c r="A33" s="350" t="str">
        <f>CONCATENATE("Well, let's look to see if any of your ",inputPrYr!C10-1," expenditures can")</f>
        <v>Well, let's look to see if any of your 2014 expenditures can</v>
      </c>
      <c r="B33" s="346"/>
      <c r="C33" s="346"/>
      <c r="D33" s="346"/>
      <c r="E33" s="346"/>
      <c r="F33" s="346"/>
    </row>
    <row r="34" spans="1:6" x14ac:dyDescent="0.2">
      <c r="A34" s="350" t="s">
        <v>506</v>
      </c>
      <c r="B34" s="346"/>
      <c r="C34" s="346"/>
      <c r="D34" s="346"/>
      <c r="E34" s="346"/>
      <c r="F34" s="346"/>
    </row>
    <row r="35" spans="1:6" x14ac:dyDescent="0.2">
      <c r="A35" s="350" t="s">
        <v>390</v>
      </c>
      <c r="B35" s="346"/>
      <c r="C35" s="346"/>
      <c r="D35" s="346"/>
      <c r="E35" s="346"/>
      <c r="F35" s="346"/>
    </row>
    <row r="36" spans="1:6" x14ac:dyDescent="0.2">
      <c r="A36" s="350" t="s">
        <v>391</v>
      </c>
      <c r="B36" s="346"/>
      <c r="C36" s="346"/>
      <c r="D36" s="346"/>
      <c r="E36" s="346"/>
      <c r="F36" s="346"/>
    </row>
    <row r="37" spans="1:6" x14ac:dyDescent="0.2">
      <c r="A37" s="350"/>
      <c r="B37" s="346"/>
      <c r="C37" s="346"/>
      <c r="D37" s="346"/>
      <c r="E37" s="346"/>
      <c r="F37" s="346"/>
    </row>
    <row r="38" spans="1:6" x14ac:dyDescent="0.2">
      <c r="A38" s="350" t="str">
        <f>CONCATENATE("Additionally, do your ",inputPrYr!C10-1," receipts contain a reimbursement")</f>
        <v>Additionally, do your 2014 receipts contain a reimbursement</v>
      </c>
      <c r="B38" s="346"/>
      <c r="C38" s="346"/>
      <c r="D38" s="346"/>
      <c r="E38" s="346"/>
      <c r="F38" s="346"/>
    </row>
    <row r="39" spans="1:6" x14ac:dyDescent="0.2">
      <c r="A39" s="350" t="s">
        <v>392</v>
      </c>
      <c r="B39" s="346"/>
      <c r="C39" s="346"/>
      <c r="D39" s="346"/>
      <c r="E39" s="346"/>
      <c r="F39" s="346"/>
    </row>
    <row r="40" spans="1:6" x14ac:dyDescent="0.2">
      <c r="A40" s="350" t="s">
        <v>393</v>
      </c>
      <c r="B40" s="346"/>
      <c r="C40" s="346"/>
      <c r="D40" s="346"/>
      <c r="E40" s="346"/>
      <c r="F40" s="346"/>
    </row>
    <row r="41" spans="1:6" x14ac:dyDescent="0.2">
      <c r="A41" s="350"/>
      <c r="B41" s="346"/>
      <c r="C41" s="346"/>
      <c r="D41" s="346"/>
      <c r="E41" s="346"/>
      <c r="F41" s="346"/>
    </row>
    <row r="42" spans="1:6" x14ac:dyDescent="0.2">
      <c r="A42" s="350" t="s">
        <v>394</v>
      </c>
      <c r="B42" s="346"/>
      <c r="C42" s="346"/>
      <c r="D42" s="346"/>
      <c r="E42" s="346"/>
      <c r="F42" s="346"/>
    </row>
    <row r="43" spans="1:6" x14ac:dyDescent="0.2">
      <c r="A43" s="350" t="s">
        <v>395</v>
      </c>
      <c r="B43" s="346"/>
      <c r="C43" s="346"/>
      <c r="D43" s="346"/>
      <c r="E43" s="346"/>
      <c r="F43" s="346"/>
    </row>
    <row r="44" spans="1:6" x14ac:dyDescent="0.2">
      <c r="A44" s="350" t="s">
        <v>396</v>
      </c>
      <c r="B44" s="346"/>
      <c r="C44" s="346"/>
      <c r="D44" s="346"/>
      <c r="E44" s="346"/>
      <c r="F44" s="346"/>
    </row>
    <row r="45" spans="1:6" x14ac:dyDescent="0.2">
      <c r="A45" s="350" t="s">
        <v>507</v>
      </c>
      <c r="B45" s="346"/>
      <c r="C45" s="346"/>
      <c r="D45" s="346"/>
      <c r="E45" s="346"/>
      <c r="F45" s="346"/>
    </row>
    <row r="46" spans="1:6" x14ac:dyDescent="0.2">
      <c r="A46" s="350" t="s">
        <v>398</v>
      </c>
      <c r="B46" s="346"/>
      <c r="C46" s="346"/>
      <c r="D46" s="346"/>
      <c r="E46" s="346"/>
      <c r="F46" s="346"/>
    </row>
    <row r="47" spans="1:6" x14ac:dyDescent="0.2">
      <c r="A47" s="350" t="s">
        <v>508</v>
      </c>
      <c r="B47" s="346"/>
      <c r="C47" s="346"/>
      <c r="D47" s="346"/>
      <c r="E47" s="346"/>
      <c r="F47" s="346"/>
    </row>
    <row r="48" spans="1:6" x14ac:dyDescent="0.2">
      <c r="A48" s="350" t="s">
        <v>509</v>
      </c>
      <c r="B48" s="346"/>
      <c r="C48" s="346"/>
      <c r="D48" s="346"/>
      <c r="E48" s="346"/>
      <c r="F48" s="346"/>
    </row>
    <row r="49" spans="1:6" x14ac:dyDescent="0.2">
      <c r="A49" s="350" t="s">
        <v>401</v>
      </c>
      <c r="B49" s="346"/>
      <c r="C49" s="346"/>
      <c r="D49" s="346"/>
      <c r="E49" s="346"/>
      <c r="F49" s="346"/>
    </row>
    <row r="50" spans="1:6" x14ac:dyDescent="0.2">
      <c r="A50" s="350"/>
      <c r="B50" s="346"/>
      <c r="C50" s="346"/>
      <c r="D50" s="346"/>
      <c r="E50" s="346"/>
      <c r="F50" s="346"/>
    </row>
    <row r="51" spans="1:6" x14ac:dyDescent="0.2">
      <c r="A51" s="350" t="s">
        <v>402</v>
      </c>
      <c r="B51" s="346"/>
      <c r="C51" s="346"/>
      <c r="D51" s="346"/>
      <c r="E51" s="346"/>
      <c r="F51" s="346"/>
    </row>
    <row r="52" spans="1:6" x14ac:dyDescent="0.2">
      <c r="A52" s="350" t="s">
        <v>403</v>
      </c>
      <c r="B52" s="346"/>
      <c r="C52" s="346"/>
      <c r="D52" s="346"/>
      <c r="E52" s="346"/>
      <c r="F52" s="346"/>
    </row>
    <row r="53" spans="1:6" x14ac:dyDescent="0.2">
      <c r="A53" s="350" t="s">
        <v>404</v>
      </c>
      <c r="B53" s="346"/>
      <c r="C53" s="346"/>
      <c r="D53" s="346"/>
      <c r="E53" s="346"/>
      <c r="F53" s="346"/>
    </row>
    <row r="54" spans="1:6" x14ac:dyDescent="0.2">
      <c r="A54" s="350"/>
      <c r="B54" s="346"/>
      <c r="C54" s="346"/>
      <c r="D54" s="346"/>
      <c r="E54" s="346"/>
      <c r="F54" s="346"/>
    </row>
    <row r="55" spans="1:6" x14ac:dyDescent="0.2">
      <c r="A55" s="350" t="s">
        <v>510</v>
      </c>
      <c r="B55" s="346"/>
      <c r="C55" s="346"/>
      <c r="D55" s="346"/>
      <c r="E55" s="346"/>
      <c r="F55" s="346"/>
    </row>
    <row r="56" spans="1:6" x14ac:dyDescent="0.2">
      <c r="A56" s="350" t="s">
        <v>511</v>
      </c>
      <c r="B56" s="346"/>
      <c r="C56" s="346"/>
      <c r="D56" s="346"/>
      <c r="E56" s="346"/>
      <c r="F56" s="346"/>
    </row>
    <row r="57" spans="1:6" x14ac:dyDescent="0.2">
      <c r="A57" s="350" t="s">
        <v>512</v>
      </c>
      <c r="B57" s="346"/>
      <c r="C57" s="346"/>
      <c r="D57" s="346"/>
      <c r="E57" s="346"/>
      <c r="F57" s="346"/>
    </row>
    <row r="58" spans="1:6" x14ac:dyDescent="0.2">
      <c r="A58" s="350" t="s">
        <v>513</v>
      </c>
      <c r="B58" s="346"/>
      <c r="C58" s="346"/>
      <c r="D58" s="346"/>
      <c r="E58" s="346"/>
      <c r="F58" s="346"/>
    </row>
    <row r="59" spans="1:6" x14ac:dyDescent="0.2">
      <c r="A59" s="350" t="s">
        <v>514</v>
      </c>
      <c r="B59" s="346"/>
      <c r="C59" s="346"/>
      <c r="D59" s="346"/>
      <c r="E59" s="346"/>
      <c r="F59" s="346"/>
    </row>
    <row r="60" spans="1:6" x14ac:dyDescent="0.2">
      <c r="A60" s="350"/>
      <c r="B60" s="346"/>
      <c r="C60" s="346"/>
      <c r="D60" s="346"/>
      <c r="E60" s="346"/>
      <c r="F60" s="346"/>
    </row>
    <row r="61" spans="1:6" x14ac:dyDescent="0.2">
      <c r="A61" s="351" t="s">
        <v>515</v>
      </c>
      <c r="B61" s="346"/>
      <c r="C61" s="346"/>
      <c r="D61" s="346"/>
      <c r="E61" s="346"/>
      <c r="F61" s="346"/>
    </row>
    <row r="62" spans="1:6" x14ac:dyDescent="0.2">
      <c r="A62" s="351" t="s">
        <v>516</v>
      </c>
      <c r="B62" s="346"/>
      <c r="C62" s="346"/>
      <c r="D62" s="346"/>
      <c r="E62" s="346"/>
      <c r="F62" s="346"/>
    </row>
    <row r="63" spans="1:6" x14ac:dyDescent="0.2">
      <c r="A63" s="351" t="s">
        <v>517</v>
      </c>
      <c r="B63" s="346"/>
      <c r="C63" s="346"/>
      <c r="D63" s="346"/>
      <c r="E63" s="346"/>
      <c r="F63" s="346"/>
    </row>
    <row r="64" spans="1:6" x14ac:dyDescent="0.2">
      <c r="A64" s="351" t="s">
        <v>518</v>
      </c>
    </row>
    <row r="65" spans="1:1" x14ac:dyDescent="0.2">
      <c r="A65" s="351" t="s">
        <v>519</v>
      </c>
    </row>
    <row r="66" spans="1:1" x14ac:dyDescent="0.2">
      <c r="A66" s="351" t="s">
        <v>520</v>
      </c>
    </row>
    <row r="68" spans="1:1" x14ac:dyDescent="0.2">
      <c r="A68" s="346" t="s">
        <v>521</v>
      </c>
    </row>
    <row r="69" spans="1:1" x14ac:dyDescent="0.2">
      <c r="A69" s="346" t="s">
        <v>522</v>
      </c>
    </row>
    <row r="70" spans="1:1" x14ac:dyDescent="0.2">
      <c r="A70" s="346" t="s">
        <v>523</v>
      </c>
    </row>
    <row r="71" spans="1:1" x14ac:dyDescent="0.2">
      <c r="A71" s="346" t="s">
        <v>524</v>
      </c>
    </row>
    <row r="72" spans="1:1" x14ac:dyDescent="0.2">
      <c r="A72" s="346" t="s">
        <v>525</v>
      </c>
    </row>
    <row r="73" spans="1:1" x14ac:dyDescent="0.2">
      <c r="A73" s="346" t="s">
        <v>526</v>
      </c>
    </row>
    <row r="75" spans="1:1" x14ac:dyDescent="0.2">
      <c r="A75" s="346" t="s">
        <v>431</v>
      </c>
    </row>
  </sheetData>
  <sheetProtection sheet="1"/>
  <pageMargins left="0.7" right="0.7" top="0.75" bottom="0.75" header="0.3" footer="0.3"/>
  <pageSetup orientation="portrait" r:id="rId1"/>
  <headerFooter>
    <oddFooter>&amp;Lrevised 10/5/09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x14ac:dyDescent="0.2"/>
  <cols>
    <col min="1" max="1" width="71.33203125" customWidth="1"/>
  </cols>
  <sheetData>
    <row r="3" spans="1:7" x14ac:dyDescent="0.2">
      <c r="A3" s="345" t="s">
        <v>527</v>
      </c>
      <c r="B3" s="345"/>
      <c r="C3" s="345"/>
      <c r="D3" s="345"/>
      <c r="E3" s="345"/>
      <c r="F3" s="345"/>
      <c r="G3" s="345"/>
    </row>
    <row r="4" spans="1:7" x14ac:dyDescent="0.2">
      <c r="A4" s="345"/>
      <c r="B4" s="345"/>
      <c r="C4" s="345"/>
      <c r="D4" s="345"/>
      <c r="E4" s="345"/>
      <c r="F4" s="345"/>
      <c r="G4" s="345"/>
    </row>
    <row r="5" spans="1:7" x14ac:dyDescent="0.2">
      <c r="A5" s="346" t="s">
        <v>433</v>
      </c>
    </row>
    <row r="6" spans="1:7" x14ac:dyDescent="0.2">
      <c r="A6" s="346" t="str">
        <f>CONCATENATE(inputPrYr!C10-1," estimated expenditures show that at the end of this year")</f>
        <v>2014 estimated expenditures show that at the end of this year</v>
      </c>
    </row>
    <row r="7" spans="1:7" x14ac:dyDescent="0.2">
      <c r="A7" s="346" t="s">
        <v>528</v>
      </c>
    </row>
    <row r="8" spans="1:7" x14ac:dyDescent="0.2">
      <c r="A8" s="346" t="s">
        <v>529</v>
      </c>
    </row>
    <row r="10" spans="1:7" x14ac:dyDescent="0.2">
      <c r="A10" t="s">
        <v>435</v>
      </c>
    </row>
    <row r="11" spans="1:7" x14ac:dyDescent="0.2">
      <c r="A11" t="s">
        <v>436</v>
      </c>
    </row>
    <row r="12" spans="1:7" x14ac:dyDescent="0.2">
      <c r="A12" t="s">
        <v>437</v>
      </c>
    </row>
    <row r="13" spans="1:7" x14ac:dyDescent="0.2">
      <c r="A13" s="345"/>
      <c r="B13" s="345"/>
      <c r="C13" s="345"/>
      <c r="D13" s="345"/>
      <c r="E13" s="345"/>
      <c r="F13" s="345"/>
      <c r="G13" s="345"/>
    </row>
    <row r="14" spans="1:7" x14ac:dyDescent="0.2">
      <c r="A14" s="347" t="s">
        <v>530</v>
      </c>
    </row>
    <row r="15" spans="1:7" x14ac:dyDescent="0.2">
      <c r="A15" s="346"/>
    </row>
    <row r="16" spans="1:7" x14ac:dyDescent="0.2">
      <c r="A16" s="346" t="s">
        <v>531</v>
      </c>
    </row>
    <row r="17" spans="1:7" x14ac:dyDescent="0.2">
      <c r="A17" s="346" t="s">
        <v>532</v>
      </c>
    </row>
    <row r="18" spans="1:7" x14ac:dyDescent="0.2">
      <c r="A18" s="346" t="s">
        <v>533</v>
      </c>
    </row>
    <row r="19" spans="1:7" x14ac:dyDescent="0.2">
      <c r="A19" s="346"/>
    </row>
    <row r="20" spans="1:7" x14ac:dyDescent="0.2">
      <c r="A20" s="346" t="s">
        <v>534</v>
      </c>
    </row>
    <row r="21" spans="1:7" x14ac:dyDescent="0.2">
      <c r="A21" s="346" t="s">
        <v>535</v>
      </c>
    </row>
    <row r="22" spans="1:7" x14ac:dyDescent="0.2">
      <c r="A22" s="346" t="s">
        <v>536</v>
      </c>
    </row>
    <row r="23" spans="1:7" x14ac:dyDescent="0.2">
      <c r="A23" s="346" t="s">
        <v>537</v>
      </c>
    </row>
    <row r="24" spans="1:7" x14ac:dyDescent="0.2">
      <c r="A24" s="346"/>
    </row>
    <row r="25" spans="1:7" x14ac:dyDescent="0.2">
      <c r="A25" s="347" t="s">
        <v>499</v>
      </c>
    </row>
    <row r="26" spans="1:7" x14ac:dyDescent="0.2">
      <c r="A26" s="347"/>
    </row>
    <row r="27" spans="1:7" x14ac:dyDescent="0.2">
      <c r="A27" s="346" t="s">
        <v>500</v>
      </c>
    </row>
    <row r="28" spans="1:7" x14ac:dyDescent="0.2">
      <c r="A28" s="346" t="s">
        <v>501</v>
      </c>
      <c r="B28" s="346"/>
      <c r="C28" s="346"/>
      <c r="D28" s="346"/>
      <c r="E28" s="346"/>
      <c r="F28" s="346"/>
    </row>
    <row r="29" spans="1:7" x14ac:dyDescent="0.2">
      <c r="A29" s="346" t="s">
        <v>502</v>
      </c>
      <c r="B29" s="346"/>
      <c r="C29" s="346"/>
      <c r="D29" s="346"/>
      <c r="E29" s="346"/>
      <c r="F29" s="346"/>
    </row>
    <row r="30" spans="1:7" x14ac:dyDescent="0.2">
      <c r="A30" s="346" t="s">
        <v>503</v>
      </c>
      <c r="B30" s="346"/>
      <c r="C30" s="346"/>
      <c r="D30" s="346"/>
      <c r="E30" s="346"/>
      <c r="F30" s="346"/>
    </row>
    <row r="31" spans="1:7" x14ac:dyDescent="0.2">
      <c r="A31" s="346"/>
    </row>
    <row r="32" spans="1:7" x14ac:dyDescent="0.2">
      <c r="A32" s="347" t="s">
        <v>504</v>
      </c>
      <c r="B32" s="347"/>
      <c r="C32" s="347"/>
      <c r="D32" s="347"/>
      <c r="E32" s="347"/>
      <c r="F32" s="347"/>
      <c r="G32" s="347"/>
    </row>
    <row r="33" spans="1:7" x14ac:dyDescent="0.2">
      <c r="A33" s="347" t="s">
        <v>505</v>
      </c>
      <c r="B33" s="347"/>
      <c r="C33" s="347"/>
      <c r="D33" s="347"/>
      <c r="E33" s="347"/>
      <c r="F33" s="347"/>
      <c r="G33" s="347"/>
    </row>
    <row r="34" spans="1:7" x14ac:dyDescent="0.2">
      <c r="A34" s="347"/>
      <c r="B34" s="347"/>
      <c r="C34" s="347"/>
      <c r="D34" s="347"/>
      <c r="E34" s="347"/>
      <c r="F34" s="347"/>
      <c r="G34" s="347"/>
    </row>
    <row r="35" spans="1:7" x14ac:dyDescent="0.2">
      <c r="A35" s="346" t="s">
        <v>538</v>
      </c>
      <c r="B35" s="346"/>
      <c r="C35" s="346"/>
      <c r="D35" s="346"/>
      <c r="E35" s="346"/>
      <c r="F35" s="346"/>
      <c r="G35" s="346"/>
    </row>
    <row r="36" spans="1:7" x14ac:dyDescent="0.2">
      <c r="A36" s="346" t="s">
        <v>539</v>
      </c>
      <c r="B36" s="346"/>
      <c r="C36" s="346"/>
      <c r="D36" s="346"/>
      <c r="E36" s="346"/>
      <c r="F36" s="346"/>
      <c r="G36" s="346"/>
    </row>
    <row r="37" spans="1:7" x14ac:dyDescent="0.2">
      <c r="A37" s="346" t="s">
        <v>540</v>
      </c>
      <c r="B37" s="346"/>
      <c r="C37" s="346"/>
      <c r="D37" s="346"/>
      <c r="E37" s="346"/>
      <c r="F37" s="346"/>
      <c r="G37" s="346"/>
    </row>
    <row r="38" spans="1:7" x14ac:dyDescent="0.2">
      <c r="A38" s="346" t="s">
        <v>541</v>
      </c>
      <c r="B38" s="346"/>
      <c r="C38" s="346"/>
      <c r="D38" s="346"/>
      <c r="E38" s="346"/>
      <c r="F38" s="346"/>
      <c r="G38" s="346"/>
    </row>
    <row r="39" spans="1:7" x14ac:dyDescent="0.2">
      <c r="A39" s="346" t="s">
        <v>542</v>
      </c>
      <c r="B39" s="346"/>
      <c r="C39" s="346"/>
      <c r="D39" s="346"/>
      <c r="E39" s="346"/>
      <c r="F39" s="346"/>
      <c r="G39" s="346"/>
    </row>
    <row r="40" spans="1:7" x14ac:dyDescent="0.2">
      <c r="A40" s="347"/>
      <c r="B40" s="347"/>
      <c r="C40" s="347"/>
      <c r="D40" s="347"/>
      <c r="E40" s="347"/>
      <c r="F40" s="347"/>
      <c r="G40" s="347"/>
    </row>
    <row r="41" spans="1:7" x14ac:dyDescent="0.2">
      <c r="A41" s="350" t="str">
        <f>CONCATENATE("So, let's look to see if any of your ",inputPrYr!C10-1," expenditures can")</f>
        <v>So, let's look to see if any of your 2014 expenditures can</v>
      </c>
      <c r="B41" s="346"/>
      <c r="C41" s="346"/>
      <c r="D41" s="346"/>
      <c r="E41" s="346"/>
      <c r="F41" s="346"/>
    </row>
    <row r="42" spans="1:7" x14ac:dyDescent="0.2">
      <c r="A42" s="350" t="s">
        <v>506</v>
      </c>
      <c r="B42" s="346"/>
      <c r="C42" s="346"/>
      <c r="D42" s="346"/>
      <c r="E42" s="346"/>
      <c r="F42" s="346"/>
    </row>
    <row r="43" spans="1:7" x14ac:dyDescent="0.2">
      <c r="A43" s="350" t="s">
        <v>390</v>
      </c>
      <c r="B43" s="346"/>
      <c r="C43" s="346"/>
      <c r="D43" s="346"/>
      <c r="E43" s="346"/>
      <c r="F43" s="346"/>
    </row>
    <row r="44" spans="1:7" x14ac:dyDescent="0.2">
      <c r="A44" s="350" t="s">
        <v>391</v>
      </c>
      <c r="B44" s="346"/>
      <c r="C44" s="346"/>
      <c r="D44" s="346"/>
      <c r="E44" s="346"/>
      <c r="F44" s="346"/>
    </row>
    <row r="45" spans="1:7" x14ac:dyDescent="0.2">
      <c r="A45" s="346"/>
    </row>
    <row r="46" spans="1:7" x14ac:dyDescent="0.2">
      <c r="A46" s="350" t="str">
        <f>CONCATENATE("Additionally, do your ",inputPrYr!C10-1," receipts contain a reimbursement")</f>
        <v>Additionally, do your 2014 receipts contain a reimbursement</v>
      </c>
      <c r="B46" s="346"/>
      <c r="C46" s="346"/>
      <c r="D46" s="346"/>
      <c r="E46" s="346"/>
      <c r="F46" s="346"/>
    </row>
    <row r="47" spans="1:7" x14ac:dyDescent="0.2">
      <c r="A47" s="350" t="s">
        <v>392</v>
      </c>
      <c r="B47" s="346"/>
      <c r="C47" s="346"/>
      <c r="D47" s="346"/>
      <c r="E47" s="346"/>
      <c r="F47" s="346"/>
    </row>
    <row r="48" spans="1:7" x14ac:dyDescent="0.2">
      <c r="A48" s="350" t="s">
        <v>393</v>
      </c>
      <c r="B48" s="346"/>
      <c r="C48" s="346"/>
      <c r="D48" s="346"/>
      <c r="E48" s="346"/>
      <c r="F48" s="346"/>
    </row>
    <row r="49" spans="1:7" x14ac:dyDescent="0.2">
      <c r="A49" s="346"/>
      <c r="B49" s="346"/>
      <c r="C49" s="346"/>
      <c r="D49" s="346"/>
      <c r="E49" s="346"/>
      <c r="F49" s="346"/>
      <c r="G49" s="346"/>
    </row>
    <row r="50" spans="1:7" x14ac:dyDescent="0.2">
      <c r="A50" s="346" t="s">
        <v>460</v>
      </c>
      <c r="B50" s="346"/>
      <c r="C50" s="346"/>
      <c r="D50" s="346"/>
      <c r="E50" s="346"/>
      <c r="F50" s="346"/>
      <c r="G50" s="346"/>
    </row>
    <row r="51" spans="1:7" x14ac:dyDescent="0.2">
      <c r="A51" s="346" t="s">
        <v>461</v>
      </c>
      <c r="B51" s="346"/>
      <c r="C51" s="346"/>
      <c r="D51" s="346"/>
      <c r="E51" s="346"/>
      <c r="F51" s="346"/>
      <c r="G51" s="346"/>
    </row>
    <row r="52" spans="1:7" x14ac:dyDescent="0.2">
      <c r="A52" s="346" t="s">
        <v>462</v>
      </c>
      <c r="B52" s="346"/>
      <c r="C52" s="346"/>
      <c r="D52" s="346"/>
      <c r="E52" s="346"/>
      <c r="F52" s="346"/>
      <c r="G52" s="346"/>
    </row>
    <row r="53" spans="1:7" x14ac:dyDescent="0.2">
      <c r="A53" s="346" t="s">
        <v>463</v>
      </c>
      <c r="B53" s="346"/>
      <c r="C53" s="346"/>
      <c r="D53" s="346"/>
      <c r="E53" s="346"/>
      <c r="F53" s="346"/>
      <c r="G53" s="346"/>
    </row>
    <row r="54" spans="1:7" x14ac:dyDescent="0.2">
      <c r="A54" s="346" t="s">
        <v>464</v>
      </c>
      <c r="B54" s="346"/>
      <c r="C54" s="346"/>
      <c r="D54" s="346"/>
      <c r="E54" s="346"/>
      <c r="F54" s="346"/>
      <c r="G54" s="346"/>
    </row>
    <row r="55" spans="1:7" x14ac:dyDescent="0.2">
      <c r="A55" s="346"/>
      <c r="B55" s="346"/>
      <c r="C55" s="346"/>
      <c r="D55" s="346"/>
      <c r="E55" s="346"/>
      <c r="F55" s="346"/>
      <c r="G55" s="346"/>
    </row>
    <row r="56" spans="1:7" x14ac:dyDescent="0.2">
      <c r="A56" s="350" t="s">
        <v>402</v>
      </c>
      <c r="B56" s="346"/>
      <c r="C56" s="346"/>
      <c r="D56" s="346"/>
      <c r="E56" s="346"/>
      <c r="F56" s="346"/>
    </row>
    <row r="57" spans="1:7" x14ac:dyDescent="0.2">
      <c r="A57" s="350" t="s">
        <v>403</v>
      </c>
      <c r="B57" s="346"/>
      <c r="C57" s="346"/>
      <c r="D57" s="346"/>
      <c r="E57" s="346"/>
      <c r="F57" s="346"/>
    </row>
    <row r="58" spans="1:7" x14ac:dyDescent="0.2">
      <c r="A58" s="350" t="s">
        <v>404</v>
      </c>
      <c r="B58" s="346"/>
      <c r="C58" s="346"/>
      <c r="D58" s="346"/>
      <c r="E58" s="346"/>
      <c r="F58" s="346"/>
    </row>
    <row r="59" spans="1:7" x14ac:dyDescent="0.2">
      <c r="A59" s="350"/>
      <c r="B59" s="346"/>
      <c r="C59" s="346"/>
      <c r="D59" s="346"/>
      <c r="E59" s="346"/>
      <c r="F59" s="346"/>
    </row>
    <row r="60" spans="1:7" x14ac:dyDescent="0.2">
      <c r="A60" s="346" t="s">
        <v>543</v>
      </c>
      <c r="B60" s="346"/>
      <c r="C60" s="346"/>
      <c r="D60" s="346"/>
      <c r="E60" s="346"/>
      <c r="F60" s="346"/>
      <c r="G60" s="346"/>
    </row>
    <row r="61" spans="1:7" x14ac:dyDescent="0.2">
      <c r="A61" s="346" t="s">
        <v>544</v>
      </c>
      <c r="B61" s="346"/>
      <c r="C61" s="346"/>
      <c r="D61" s="346"/>
      <c r="E61" s="346"/>
      <c r="F61" s="346"/>
      <c r="G61" s="346"/>
    </row>
    <row r="62" spans="1:7" x14ac:dyDescent="0.2">
      <c r="A62" s="346" t="s">
        <v>545</v>
      </c>
      <c r="B62" s="346"/>
      <c r="C62" s="346"/>
      <c r="D62" s="346"/>
      <c r="E62" s="346"/>
      <c r="F62" s="346"/>
      <c r="G62" s="346"/>
    </row>
    <row r="63" spans="1:7" x14ac:dyDescent="0.2">
      <c r="A63" s="346" t="s">
        <v>546</v>
      </c>
      <c r="B63" s="346"/>
      <c r="C63" s="346"/>
      <c r="D63" s="346"/>
      <c r="E63" s="346"/>
      <c r="F63" s="346"/>
      <c r="G63" s="346"/>
    </row>
    <row r="64" spans="1:7" x14ac:dyDescent="0.2">
      <c r="A64" s="346" t="s">
        <v>547</v>
      </c>
      <c r="B64" s="346"/>
      <c r="C64" s="346"/>
      <c r="D64" s="346"/>
      <c r="E64" s="346"/>
      <c r="F64" s="346"/>
      <c r="G64" s="346"/>
    </row>
    <row r="66" spans="1:6" x14ac:dyDescent="0.2">
      <c r="A66" s="350" t="s">
        <v>510</v>
      </c>
      <c r="B66" s="346"/>
      <c r="C66" s="346"/>
      <c r="D66" s="346"/>
      <c r="E66" s="346"/>
      <c r="F66" s="346"/>
    </row>
    <row r="67" spans="1:6" x14ac:dyDescent="0.2">
      <c r="A67" s="350" t="s">
        <v>511</v>
      </c>
      <c r="B67" s="346"/>
      <c r="C67" s="346"/>
      <c r="D67" s="346"/>
      <c r="E67" s="346"/>
      <c r="F67" s="346"/>
    </row>
    <row r="68" spans="1:6" x14ac:dyDescent="0.2">
      <c r="A68" s="350" t="s">
        <v>512</v>
      </c>
      <c r="B68" s="346"/>
      <c r="C68" s="346"/>
      <c r="D68" s="346"/>
      <c r="E68" s="346"/>
      <c r="F68" s="346"/>
    </row>
    <row r="69" spans="1:6" x14ac:dyDescent="0.2">
      <c r="A69" s="350" t="s">
        <v>513</v>
      </c>
      <c r="B69" s="346"/>
      <c r="C69" s="346"/>
      <c r="D69" s="346"/>
      <c r="E69" s="346"/>
      <c r="F69" s="346"/>
    </row>
    <row r="70" spans="1:6" x14ac:dyDescent="0.2">
      <c r="A70" s="350" t="s">
        <v>514</v>
      </c>
      <c r="B70" s="346"/>
      <c r="C70" s="346"/>
      <c r="D70" s="346"/>
      <c r="E70" s="346"/>
      <c r="F70" s="346"/>
    </row>
    <row r="71" spans="1:6" x14ac:dyDescent="0.2">
      <c r="A71" s="346"/>
    </row>
    <row r="72" spans="1:6" x14ac:dyDescent="0.2">
      <c r="A72" s="346" t="s">
        <v>431</v>
      </c>
    </row>
    <row r="73" spans="1:6" x14ac:dyDescent="0.2">
      <c r="A73" s="346"/>
    </row>
    <row r="74" spans="1:6" x14ac:dyDescent="0.2">
      <c r="A74" s="346"/>
    </row>
    <row r="75" spans="1:6" x14ac:dyDescent="0.2">
      <c r="A75" s="346"/>
    </row>
    <row r="78" spans="1:6" x14ac:dyDescent="0.2">
      <c r="A78" s="347"/>
    </row>
    <row r="80" spans="1:6" x14ac:dyDescent="0.2">
      <c r="A80" s="346"/>
    </row>
    <row r="81" spans="1:1" x14ac:dyDescent="0.2">
      <c r="A81" s="346"/>
    </row>
    <row r="82" spans="1:1" x14ac:dyDescent="0.2">
      <c r="A82" s="346"/>
    </row>
    <row r="83" spans="1:1" x14ac:dyDescent="0.2">
      <c r="A83" s="346"/>
    </row>
    <row r="84" spans="1:1" x14ac:dyDescent="0.2">
      <c r="A84" s="346"/>
    </row>
    <row r="85" spans="1:1" x14ac:dyDescent="0.2">
      <c r="A85" s="346"/>
    </row>
    <row r="86" spans="1:1" x14ac:dyDescent="0.2">
      <c r="A86" s="346"/>
    </row>
    <row r="87" spans="1:1" x14ac:dyDescent="0.2">
      <c r="A87" s="346"/>
    </row>
    <row r="88" spans="1:1" x14ac:dyDescent="0.2">
      <c r="A88" s="346"/>
    </row>
    <row r="89" spans="1:1" x14ac:dyDescent="0.2">
      <c r="A89" s="346"/>
    </row>
    <row r="90" spans="1:1" x14ac:dyDescent="0.2">
      <c r="A90" s="346"/>
    </row>
    <row r="92" spans="1:1" x14ac:dyDescent="0.2">
      <c r="A92" s="346"/>
    </row>
    <row r="93" spans="1:1" x14ac:dyDescent="0.2">
      <c r="A93" s="346"/>
    </row>
    <row r="94" spans="1:1" x14ac:dyDescent="0.2">
      <c r="A94" s="346"/>
    </row>
    <row r="95" spans="1:1" x14ac:dyDescent="0.2">
      <c r="A95" s="346"/>
    </row>
    <row r="96" spans="1:1" x14ac:dyDescent="0.2">
      <c r="A96" s="346"/>
    </row>
    <row r="97" spans="1:1" x14ac:dyDescent="0.2">
      <c r="A97" s="346"/>
    </row>
    <row r="98" spans="1:1" x14ac:dyDescent="0.2">
      <c r="A98" s="346"/>
    </row>
    <row r="99" spans="1:1" x14ac:dyDescent="0.2">
      <c r="A99" s="346"/>
    </row>
    <row r="100" spans="1:1" x14ac:dyDescent="0.2">
      <c r="A100" s="346"/>
    </row>
    <row r="101" spans="1:1" x14ac:dyDescent="0.2">
      <c r="A101" s="346"/>
    </row>
    <row r="102" spans="1:1" x14ac:dyDescent="0.2">
      <c r="A102" s="346"/>
    </row>
    <row r="103" spans="1:1" x14ac:dyDescent="0.2">
      <c r="A103" s="346"/>
    </row>
    <row r="104" spans="1:1" x14ac:dyDescent="0.2">
      <c r="A104" s="346"/>
    </row>
    <row r="105" spans="1:1" x14ac:dyDescent="0.2">
      <c r="A105" s="346"/>
    </row>
    <row r="106" spans="1:1" x14ac:dyDescent="0.2">
      <c r="A106" s="346"/>
    </row>
  </sheetData>
  <sheetProtection sheet="1"/>
  <pageMargins left="0.7" right="0.7" top="0.75" bottom="0.75" header="0.3" footer="0.3"/>
  <pageSetup orientation="portrait" r:id="rId1"/>
  <headerFooter>
    <oddFooter>&amp;Lrevised 10/5/09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x14ac:dyDescent="0.2"/>
  <cols>
    <col min="1" max="1" width="71.33203125" customWidth="1"/>
  </cols>
  <sheetData>
    <row r="3" spans="1:7" x14ac:dyDescent="0.2">
      <c r="A3" s="345" t="s">
        <v>548</v>
      </c>
      <c r="B3" s="345"/>
      <c r="C3" s="345"/>
      <c r="D3" s="345"/>
      <c r="E3" s="345"/>
      <c r="F3" s="345"/>
      <c r="G3" s="345"/>
    </row>
    <row r="4" spans="1:7" x14ac:dyDescent="0.2">
      <c r="A4" s="345" t="s">
        <v>549</v>
      </c>
      <c r="B4" s="345"/>
      <c r="C4" s="345"/>
      <c r="D4" s="345"/>
      <c r="E4" s="345"/>
      <c r="F4" s="345"/>
      <c r="G4" s="345"/>
    </row>
    <row r="5" spans="1:7" x14ac:dyDescent="0.2">
      <c r="A5" s="345"/>
      <c r="B5" s="345"/>
      <c r="C5" s="345"/>
      <c r="D5" s="345"/>
      <c r="E5" s="345"/>
      <c r="F5" s="345"/>
      <c r="G5" s="345"/>
    </row>
    <row r="6" spans="1:7" x14ac:dyDescent="0.2">
      <c r="A6" s="345"/>
      <c r="B6" s="345"/>
      <c r="C6" s="345"/>
      <c r="D6" s="345"/>
      <c r="E6" s="345"/>
      <c r="F6" s="345"/>
      <c r="G6" s="345"/>
    </row>
    <row r="7" spans="1:7" x14ac:dyDescent="0.2">
      <c r="A7" s="346" t="s">
        <v>376</v>
      </c>
    </row>
    <row r="8" spans="1:7" x14ac:dyDescent="0.2">
      <c r="A8" s="346" t="str">
        <f>CONCATENATE("estimated ",inputPrYr!C10," 'total expenditures' exceed your ",inputPrYr!C10,"")</f>
        <v>estimated 2015 'total expenditures' exceed your 2015</v>
      </c>
    </row>
    <row r="9" spans="1:7" x14ac:dyDescent="0.2">
      <c r="A9" s="349" t="s">
        <v>550</v>
      </c>
    </row>
    <row r="10" spans="1:7" x14ac:dyDescent="0.2">
      <c r="A10" s="346"/>
    </row>
    <row r="11" spans="1:7" x14ac:dyDescent="0.2">
      <c r="A11" s="346" t="s">
        <v>551</v>
      </c>
    </row>
    <row r="12" spans="1:7" x14ac:dyDescent="0.2">
      <c r="A12" s="346" t="s">
        <v>552</v>
      </c>
    </row>
    <row r="13" spans="1:7" x14ac:dyDescent="0.2">
      <c r="A13" s="346" t="s">
        <v>553</v>
      </c>
    </row>
    <row r="14" spans="1:7" x14ac:dyDescent="0.2">
      <c r="A14" s="346"/>
    </row>
    <row r="15" spans="1:7" x14ac:dyDescent="0.2">
      <c r="A15" s="347" t="s">
        <v>554</v>
      </c>
    </row>
    <row r="16" spans="1:7" x14ac:dyDescent="0.2">
      <c r="A16" s="345"/>
      <c r="B16" s="345"/>
      <c r="C16" s="345"/>
      <c r="D16" s="345"/>
      <c r="E16" s="345"/>
      <c r="F16" s="345"/>
      <c r="G16" s="345"/>
    </row>
    <row r="17" spans="1:8" x14ac:dyDescent="0.2">
      <c r="A17" s="352" t="s">
        <v>555</v>
      </c>
      <c r="B17" s="353"/>
      <c r="C17" s="353"/>
      <c r="D17" s="353"/>
      <c r="E17" s="353"/>
      <c r="F17" s="353"/>
      <c r="G17" s="353"/>
      <c r="H17" s="353"/>
    </row>
    <row r="18" spans="1:8" x14ac:dyDescent="0.2">
      <c r="A18" s="346" t="s">
        <v>556</v>
      </c>
      <c r="B18" s="354"/>
      <c r="C18" s="354"/>
      <c r="D18" s="354"/>
      <c r="E18" s="354"/>
      <c r="F18" s="354"/>
      <c r="G18" s="354"/>
    </row>
    <row r="19" spans="1:8" x14ac:dyDescent="0.2">
      <c r="A19" s="346" t="s">
        <v>557</v>
      </c>
    </row>
    <row r="20" spans="1:8" x14ac:dyDescent="0.2">
      <c r="A20" s="346" t="s">
        <v>558</v>
      </c>
    </row>
    <row r="22" spans="1:8" x14ac:dyDescent="0.2">
      <c r="A22" s="347" t="s">
        <v>559</v>
      </c>
    </row>
    <row r="24" spans="1:8" x14ac:dyDescent="0.2">
      <c r="A24" s="346" t="s">
        <v>560</v>
      </c>
    </row>
    <row r="25" spans="1:8" x14ac:dyDescent="0.2">
      <c r="A25" s="346" t="s">
        <v>561</v>
      </c>
    </row>
    <row r="26" spans="1:8" x14ac:dyDescent="0.2">
      <c r="A26" s="346" t="s">
        <v>562</v>
      </c>
    </row>
    <row r="28" spans="1:8" x14ac:dyDescent="0.2">
      <c r="A28" s="347" t="s">
        <v>563</v>
      </c>
    </row>
    <row r="30" spans="1:8" x14ac:dyDescent="0.2">
      <c r="A30" t="s">
        <v>564</v>
      </c>
    </row>
    <row r="31" spans="1:8" x14ac:dyDescent="0.2">
      <c r="A31" t="s">
        <v>565</v>
      </c>
    </row>
    <row r="32" spans="1:8" x14ac:dyDescent="0.2">
      <c r="A32" t="s">
        <v>566</v>
      </c>
    </row>
    <row r="33" spans="1:1" x14ac:dyDescent="0.2">
      <c r="A33" s="346" t="s">
        <v>567</v>
      </c>
    </row>
    <row r="35" spans="1:1" x14ac:dyDescent="0.2">
      <c r="A35" t="s">
        <v>568</v>
      </c>
    </row>
    <row r="36" spans="1:1" x14ac:dyDescent="0.2">
      <c r="A36" t="s">
        <v>569</v>
      </c>
    </row>
    <row r="37" spans="1:1" x14ac:dyDescent="0.2">
      <c r="A37" t="s">
        <v>570</v>
      </c>
    </row>
    <row r="38" spans="1:1" x14ac:dyDescent="0.2">
      <c r="A38" t="s">
        <v>571</v>
      </c>
    </row>
    <row r="40" spans="1:1" x14ac:dyDescent="0.2">
      <c r="A40" t="s">
        <v>572</v>
      </c>
    </row>
    <row r="41" spans="1:1" x14ac:dyDescent="0.2">
      <c r="A41" t="s">
        <v>573</v>
      </c>
    </row>
    <row r="42" spans="1:1" x14ac:dyDescent="0.2">
      <c r="A42" t="s">
        <v>574</v>
      </c>
    </row>
    <row r="43" spans="1:1" x14ac:dyDescent="0.2">
      <c r="A43" t="s">
        <v>575</v>
      </c>
    </row>
    <row r="44" spans="1:1" x14ac:dyDescent="0.2">
      <c r="A44" t="s">
        <v>576</v>
      </c>
    </row>
    <row r="45" spans="1:1" x14ac:dyDescent="0.2">
      <c r="A45" t="s">
        <v>577</v>
      </c>
    </row>
    <row r="47" spans="1:1" x14ac:dyDescent="0.2">
      <c r="A47" t="s">
        <v>578</v>
      </c>
    </row>
    <row r="48" spans="1:1" x14ac:dyDescent="0.2">
      <c r="A48" t="s">
        <v>579</v>
      </c>
    </row>
    <row r="49" spans="1:1" x14ac:dyDescent="0.2">
      <c r="A49" s="346" t="s">
        <v>580</v>
      </c>
    </row>
    <row r="50" spans="1:1" x14ac:dyDescent="0.2">
      <c r="A50" s="346" t="s">
        <v>581</v>
      </c>
    </row>
    <row r="52" spans="1:1" x14ac:dyDescent="0.2">
      <c r="A52" t="s">
        <v>431</v>
      </c>
    </row>
  </sheetData>
  <sheetProtection sheet="1"/>
  <pageMargins left="0.7" right="0.7" top="0.75" bottom="0.75" header="0.3" footer="0.3"/>
  <pageSetup orientation="portrait" r:id="rId1"/>
  <headerFooter>
    <oddFooter>&amp;Lrevised 10/5/09</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zoomScaleNormal="100" workbookViewId="0">
      <selection activeCell="K14" sqref="K14"/>
    </sheetView>
  </sheetViews>
  <sheetFormatPr defaultColWidth="8.88671875" defaultRowHeight="14.25" x14ac:dyDescent="0.2"/>
  <cols>
    <col min="1" max="1" width="7.5546875" style="377" customWidth="1"/>
    <col min="2" max="2" width="11.21875" style="378" customWidth="1"/>
    <col min="3" max="3" width="7.44140625" style="378" customWidth="1"/>
    <col min="4" max="4" width="8.88671875" style="378"/>
    <col min="5" max="5" width="1.5546875" style="378" customWidth="1"/>
    <col min="6" max="6" width="14.33203125" style="378" customWidth="1"/>
    <col min="7" max="7" width="2.5546875" style="378" customWidth="1"/>
    <col min="8" max="8" width="9.77734375" style="378" customWidth="1"/>
    <col min="9" max="9" width="2" style="378" customWidth="1"/>
    <col min="10" max="10" width="8.5546875" style="378" customWidth="1"/>
    <col min="11" max="11" width="11.6640625" style="378" customWidth="1"/>
    <col min="12" max="12" width="7.5546875" style="377" customWidth="1"/>
    <col min="13" max="14" width="8.88671875" style="377"/>
    <col min="15" max="15" width="9.88671875" style="377" bestFit="1" customWidth="1"/>
    <col min="16" max="16384" width="8.88671875" style="377"/>
  </cols>
  <sheetData>
    <row r="1" spans="1:12" x14ac:dyDescent="0.2">
      <c r="A1" s="376"/>
      <c r="B1" s="376"/>
      <c r="C1" s="376"/>
      <c r="D1" s="376"/>
      <c r="E1" s="376"/>
      <c r="F1" s="376"/>
      <c r="G1" s="376"/>
      <c r="H1" s="376"/>
      <c r="I1" s="376"/>
      <c r="J1" s="376"/>
      <c r="K1" s="376"/>
      <c r="L1" s="376"/>
    </row>
    <row r="2" spans="1:12" x14ac:dyDescent="0.2">
      <c r="A2" s="376"/>
      <c r="B2" s="376"/>
      <c r="C2" s="376"/>
      <c r="D2" s="376"/>
      <c r="E2" s="376"/>
      <c r="F2" s="376"/>
      <c r="G2" s="376"/>
      <c r="H2" s="376"/>
      <c r="I2" s="376"/>
      <c r="J2" s="376"/>
      <c r="K2" s="376"/>
      <c r="L2" s="376"/>
    </row>
    <row r="3" spans="1:12" x14ac:dyDescent="0.2">
      <c r="A3" s="376"/>
      <c r="B3" s="376"/>
      <c r="C3" s="376"/>
      <c r="D3" s="376"/>
      <c r="E3" s="376"/>
      <c r="F3" s="376"/>
      <c r="G3" s="376"/>
      <c r="H3" s="376"/>
      <c r="I3" s="376"/>
      <c r="J3" s="376"/>
      <c r="K3" s="376"/>
      <c r="L3" s="376"/>
    </row>
    <row r="4" spans="1:12" x14ac:dyDescent="0.2">
      <c r="A4" s="376"/>
      <c r="L4" s="376"/>
    </row>
    <row r="5" spans="1:12" ht="15" customHeight="1" x14ac:dyDescent="0.2">
      <c r="A5" s="376"/>
      <c r="L5" s="376"/>
    </row>
    <row r="6" spans="1:12" ht="33" customHeight="1" x14ac:dyDescent="0.2">
      <c r="A6" s="376"/>
      <c r="B6" s="855" t="s">
        <v>614</v>
      </c>
      <c r="C6" s="853"/>
      <c r="D6" s="853"/>
      <c r="E6" s="853"/>
      <c r="F6" s="853"/>
      <c r="G6" s="853"/>
      <c r="H6" s="853"/>
      <c r="I6" s="853"/>
      <c r="J6" s="853"/>
      <c r="K6" s="853"/>
      <c r="L6" s="379"/>
    </row>
    <row r="7" spans="1:12" ht="40.5" customHeight="1" x14ac:dyDescent="0.2">
      <c r="A7" s="376"/>
      <c r="B7" s="860" t="s">
        <v>615</v>
      </c>
      <c r="C7" s="861"/>
      <c r="D7" s="861"/>
      <c r="E7" s="861"/>
      <c r="F7" s="861"/>
      <c r="G7" s="861"/>
      <c r="H7" s="861"/>
      <c r="I7" s="861"/>
      <c r="J7" s="861"/>
      <c r="K7" s="861"/>
      <c r="L7" s="376"/>
    </row>
    <row r="8" spans="1:12" x14ac:dyDescent="0.2">
      <c r="A8" s="376"/>
      <c r="B8" s="862" t="s">
        <v>616</v>
      </c>
      <c r="C8" s="862"/>
      <c r="D8" s="862"/>
      <c r="E8" s="862"/>
      <c r="F8" s="862"/>
      <c r="G8" s="862"/>
      <c r="H8" s="862"/>
      <c r="I8" s="862"/>
      <c r="J8" s="862"/>
      <c r="K8" s="862"/>
      <c r="L8" s="376"/>
    </row>
    <row r="9" spans="1:12" x14ac:dyDescent="0.2">
      <c r="A9" s="376"/>
      <c r="L9" s="376"/>
    </row>
    <row r="10" spans="1:12" x14ac:dyDescent="0.2">
      <c r="A10" s="376"/>
      <c r="B10" s="862" t="s">
        <v>617</v>
      </c>
      <c r="C10" s="862"/>
      <c r="D10" s="862"/>
      <c r="E10" s="862"/>
      <c r="F10" s="862"/>
      <c r="G10" s="862"/>
      <c r="H10" s="862"/>
      <c r="I10" s="862"/>
      <c r="J10" s="862"/>
      <c r="K10" s="862"/>
      <c r="L10" s="376"/>
    </row>
    <row r="11" spans="1:12" x14ac:dyDescent="0.2">
      <c r="A11" s="376"/>
      <c r="B11" s="567"/>
      <c r="C11" s="567"/>
      <c r="D11" s="567"/>
      <c r="E11" s="567"/>
      <c r="F11" s="567"/>
      <c r="G11" s="567"/>
      <c r="H11" s="567"/>
      <c r="I11" s="567"/>
      <c r="J11" s="567"/>
      <c r="K11" s="567"/>
      <c r="L11" s="376"/>
    </row>
    <row r="12" spans="1:12" ht="32.25" customHeight="1" x14ac:dyDescent="0.2">
      <c r="A12" s="376"/>
      <c r="B12" s="848" t="s">
        <v>618</v>
      </c>
      <c r="C12" s="848"/>
      <c r="D12" s="848"/>
      <c r="E12" s="848"/>
      <c r="F12" s="848"/>
      <c r="G12" s="848"/>
      <c r="H12" s="848"/>
      <c r="I12" s="848"/>
      <c r="J12" s="848"/>
      <c r="K12" s="848"/>
      <c r="L12" s="376"/>
    </row>
    <row r="13" spans="1:12" x14ac:dyDescent="0.2">
      <c r="A13" s="376"/>
      <c r="L13" s="376"/>
    </row>
    <row r="14" spans="1:12" x14ac:dyDescent="0.2">
      <c r="A14" s="376"/>
      <c r="B14" s="380" t="s">
        <v>619</v>
      </c>
      <c r="L14" s="376"/>
    </row>
    <row r="15" spans="1:12" x14ac:dyDescent="0.2">
      <c r="A15" s="376"/>
      <c r="L15" s="376"/>
    </row>
    <row r="16" spans="1:12" x14ac:dyDescent="0.2">
      <c r="A16" s="376"/>
      <c r="B16" s="378" t="s">
        <v>620</v>
      </c>
      <c r="L16" s="376"/>
    </row>
    <row r="17" spans="1:12" x14ac:dyDescent="0.2">
      <c r="A17" s="376"/>
      <c r="B17" s="378" t="s">
        <v>621</v>
      </c>
      <c r="L17" s="376"/>
    </row>
    <row r="18" spans="1:12" x14ac:dyDescent="0.2">
      <c r="A18" s="376"/>
      <c r="L18" s="376"/>
    </row>
    <row r="19" spans="1:12" x14ac:dyDescent="0.2">
      <c r="A19" s="376"/>
      <c r="B19" s="380" t="s">
        <v>818</v>
      </c>
      <c r="L19" s="376"/>
    </row>
    <row r="20" spans="1:12" x14ac:dyDescent="0.2">
      <c r="A20" s="376"/>
      <c r="B20" s="380"/>
      <c r="L20" s="376"/>
    </row>
    <row r="21" spans="1:12" x14ac:dyDescent="0.2">
      <c r="A21" s="376"/>
      <c r="B21" s="378" t="s">
        <v>819</v>
      </c>
      <c r="L21" s="376"/>
    </row>
    <row r="22" spans="1:12" x14ac:dyDescent="0.2">
      <c r="A22" s="376"/>
      <c r="L22" s="376"/>
    </row>
    <row r="23" spans="1:12" x14ac:dyDescent="0.2">
      <c r="A23" s="376"/>
      <c r="B23" s="378" t="s">
        <v>622</v>
      </c>
      <c r="E23" s="378" t="s">
        <v>623</v>
      </c>
      <c r="F23" s="844">
        <v>312000000</v>
      </c>
      <c r="G23" s="844"/>
      <c r="L23" s="376"/>
    </row>
    <row r="24" spans="1:12" x14ac:dyDescent="0.2">
      <c r="A24" s="376"/>
      <c r="L24" s="376"/>
    </row>
    <row r="25" spans="1:12" x14ac:dyDescent="0.2">
      <c r="A25" s="376"/>
      <c r="C25" s="865">
        <f>F23</f>
        <v>312000000</v>
      </c>
      <c r="D25" s="865"/>
      <c r="E25" s="378" t="s">
        <v>624</v>
      </c>
      <c r="F25" s="381">
        <v>1000</v>
      </c>
      <c r="G25" s="381" t="s">
        <v>623</v>
      </c>
      <c r="H25" s="566">
        <f>F23/F25</f>
        <v>312000</v>
      </c>
      <c r="L25" s="376"/>
    </row>
    <row r="26" spans="1:12" ht="15" thickBot="1" x14ac:dyDescent="0.25">
      <c r="A26" s="376"/>
      <c r="L26" s="376"/>
    </row>
    <row r="27" spans="1:12" x14ac:dyDescent="0.2">
      <c r="A27" s="376"/>
      <c r="B27" s="382" t="s">
        <v>619</v>
      </c>
      <c r="C27" s="383"/>
      <c r="D27" s="383"/>
      <c r="E27" s="383"/>
      <c r="F27" s="383"/>
      <c r="G27" s="383"/>
      <c r="H27" s="383"/>
      <c r="I27" s="383"/>
      <c r="J27" s="383"/>
      <c r="K27" s="384"/>
      <c r="L27" s="376"/>
    </row>
    <row r="28" spans="1:12" x14ac:dyDescent="0.2">
      <c r="A28" s="376"/>
      <c r="B28" s="385">
        <f>F23</f>
        <v>312000000</v>
      </c>
      <c r="C28" s="386" t="s">
        <v>625</v>
      </c>
      <c r="D28" s="386"/>
      <c r="E28" s="386" t="s">
        <v>624</v>
      </c>
      <c r="F28" s="564">
        <v>1000</v>
      </c>
      <c r="G28" s="564" t="s">
        <v>623</v>
      </c>
      <c r="H28" s="387">
        <f>B28/F28</f>
        <v>312000</v>
      </c>
      <c r="I28" s="386" t="s">
        <v>626</v>
      </c>
      <c r="J28" s="386"/>
      <c r="K28" s="388"/>
      <c r="L28" s="376"/>
    </row>
    <row r="29" spans="1:12" ht="15" thickBot="1" x14ac:dyDescent="0.25">
      <c r="A29" s="376"/>
      <c r="B29" s="389"/>
      <c r="C29" s="390"/>
      <c r="D29" s="390"/>
      <c r="E29" s="390"/>
      <c r="F29" s="390"/>
      <c r="G29" s="390"/>
      <c r="H29" s="390"/>
      <c r="I29" s="390"/>
      <c r="J29" s="390"/>
      <c r="K29" s="391"/>
      <c r="L29" s="376"/>
    </row>
    <row r="30" spans="1:12" ht="40.5" customHeight="1" x14ac:dyDescent="0.2">
      <c r="A30" s="376"/>
      <c r="B30" s="849" t="s">
        <v>615</v>
      </c>
      <c r="C30" s="849"/>
      <c r="D30" s="849"/>
      <c r="E30" s="849"/>
      <c r="F30" s="849"/>
      <c r="G30" s="849"/>
      <c r="H30" s="849"/>
      <c r="I30" s="849"/>
      <c r="J30" s="849"/>
      <c r="K30" s="849"/>
      <c r="L30" s="376"/>
    </row>
    <row r="31" spans="1:12" x14ac:dyDescent="0.2">
      <c r="A31" s="376"/>
      <c r="B31" s="862" t="s">
        <v>627</v>
      </c>
      <c r="C31" s="862"/>
      <c r="D31" s="862"/>
      <c r="E31" s="862"/>
      <c r="F31" s="862"/>
      <c r="G31" s="862"/>
      <c r="H31" s="862"/>
      <c r="I31" s="862"/>
      <c r="J31" s="862"/>
      <c r="K31" s="862"/>
      <c r="L31" s="376"/>
    </row>
    <row r="32" spans="1:12" x14ac:dyDescent="0.2">
      <c r="A32" s="376"/>
      <c r="L32" s="376"/>
    </row>
    <row r="33" spans="1:12" x14ac:dyDescent="0.2">
      <c r="A33" s="376"/>
      <c r="B33" s="862" t="s">
        <v>628</v>
      </c>
      <c r="C33" s="862"/>
      <c r="D33" s="862"/>
      <c r="E33" s="862"/>
      <c r="F33" s="862"/>
      <c r="G33" s="862"/>
      <c r="H33" s="862"/>
      <c r="I33" s="862"/>
      <c r="J33" s="862"/>
      <c r="K33" s="862"/>
      <c r="L33" s="376"/>
    </row>
    <row r="34" spans="1:12" x14ac:dyDescent="0.2">
      <c r="A34" s="376"/>
      <c r="L34" s="376"/>
    </row>
    <row r="35" spans="1:12" ht="89.25" customHeight="1" x14ac:dyDescent="0.2">
      <c r="A35" s="376"/>
      <c r="B35" s="848" t="s">
        <v>629</v>
      </c>
      <c r="C35" s="847"/>
      <c r="D35" s="847"/>
      <c r="E35" s="847"/>
      <c r="F35" s="847"/>
      <c r="G35" s="847"/>
      <c r="H35" s="847"/>
      <c r="I35" s="847"/>
      <c r="J35" s="847"/>
      <c r="K35" s="847"/>
      <c r="L35" s="376"/>
    </row>
    <row r="36" spans="1:12" x14ac:dyDescent="0.2">
      <c r="A36" s="376"/>
      <c r="L36" s="376"/>
    </row>
    <row r="37" spans="1:12" x14ac:dyDescent="0.2">
      <c r="A37" s="376"/>
      <c r="B37" s="380" t="s">
        <v>630</v>
      </c>
      <c r="L37" s="376"/>
    </row>
    <row r="38" spans="1:12" x14ac:dyDescent="0.2">
      <c r="A38" s="376"/>
      <c r="L38" s="376"/>
    </row>
    <row r="39" spans="1:12" x14ac:dyDescent="0.2">
      <c r="A39" s="376"/>
      <c r="B39" s="378" t="s">
        <v>631</v>
      </c>
      <c r="L39" s="376"/>
    </row>
    <row r="40" spans="1:12" x14ac:dyDescent="0.2">
      <c r="A40" s="376"/>
      <c r="L40" s="376"/>
    </row>
    <row r="41" spans="1:12" x14ac:dyDescent="0.2">
      <c r="A41" s="376"/>
      <c r="C41" s="863">
        <v>312000000</v>
      </c>
      <c r="D41" s="863"/>
      <c r="E41" s="378" t="s">
        <v>624</v>
      </c>
      <c r="F41" s="381">
        <v>1000</v>
      </c>
      <c r="G41" s="381" t="s">
        <v>623</v>
      </c>
      <c r="H41" s="392">
        <f>C41/F41</f>
        <v>312000</v>
      </c>
      <c r="L41" s="376"/>
    </row>
    <row r="42" spans="1:12" x14ac:dyDescent="0.2">
      <c r="A42" s="376"/>
      <c r="L42" s="376"/>
    </row>
    <row r="43" spans="1:12" x14ac:dyDescent="0.2">
      <c r="A43" s="376"/>
      <c r="B43" s="378" t="s">
        <v>632</v>
      </c>
      <c r="L43" s="376"/>
    </row>
    <row r="44" spans="1:12" x14ac:dyDescent="0.2">
      <c r="A44" s="376"/>
      <c r="L44" s="376"/>
    </row>
    <row r="45" spans="1:12" x14ac:dyDescent="0.2">
      <c r="A45" s="376"/>
      <c r="B45" s="378" t="s">
        <v>633</v>
      </c>
      <c r="L45" s="376"/>
    </row>
    <row r="46" spans="1:12" ht="15" thickBot="1" x14ac:dyDescent="0.25">
      <c r="A46" s="376"/>
      <c r="L46" s="376"/>
    </row>
    <row r="47" spans="1:12" x14ac:dyDescent="0.2">
      <c r="A47" s="376"/>
      <c r="B47" s="393" t="s">
        <v>619</v>
      </c>
      <c r="C47" s="383"/>
      <c r="D47" s="383"/>
      <c r="E47" s="383"/>
      <c r="F47" s="383"/>
      <c r="G47" s="383"/>
      <c r="H47" s="383"/>
      <c r="I47" s="383"/>
      <c r="J47" s="383"/>
      <c r="K47" s="384"/>
      <c r="L47" s="376"/>
    </row>
    <row r="48" spans="1:12" x14ac:dyDescent="0.2">
      <c r="A48" s="376"/>
      <c r="B48" s="864">
        <v>312000000</v>
      </c>
      <c r="C48" s="844"/>
      <c r="D48" s="386" t="s">
        <v>634</v>
      </c>
      <c r="E48" s="386" t="s">
        <v>624</v>
      </c>
      <c r="F48" s="564">
        <v>1000</v>
      </c>
      <c r="G48" s="564" t="s">
        <v>623</v>
      </c>
      <c r="H48" s="387">
        <f>B48/F48</f>
        <v>312000</v>
      </c>
      <c r="I48" s="386" t="s">
        <v>635</v>
      </c>
      <c r="J48" s="386"/>
      <c r="K48" s="388"/>
      <c r="L48" s="376"/>
    </row>
    <row r="49" spans="1:24" x14ac:dyDescent="0.2">
      <c r="A49" s="376"/>
      <c r="B49" s="394"/>
      <c r="C49" s="386"/>
      <c r="D49" s="386"/>
      <c r="E49" s="386"/>
      <c r="F49" s="386"/>
      <c r="G49" s="386"/>
      <c r="H49" s="386"/>
      <c r="I49" s="386"/>
      <c r="J49" s="386"/>
      <c r="K49" s="388"/>
      <c r="L49" s="376"/>
    </row>
    <row r="50" spans="1:24" x14ac:dyDescent="0.2">
      <c r="A50" s="376"/>
      <c r="B50" s="395">
        <v>50000</v>
      </c>
      <c r="C50" s="386" t="s">
        <v>636</v>
      </c>
      <c r="D50" s="386"/>
      <c r="E50" s="386" t="s">
        <v>624</v>
      </c>
      <c r="F50" s="387">
        <f>H48</f>
        <v>312000</v>
      </c>
      <c r="G50" s="856" t="s">
        <v>637</v>
      </c>
      <c r="H50" s="857"/>
      <c r="I50" s="564" t="s">
        <v>623</v>
      </c>
      <c r="J50" s="396">
        <f>B50/F50</f>
        <v>0.16025641025641027</v>
      </c>
      <c r="K50" s="388"/>
      <c r="L50" s="376"/>
    </row>
    <row r="51" spans="1:24" ht="15" thickBot="1" x14ac:dyDescent="0.25">
      <c r="A51" s="376"/>
      <c r="B51" s="389"/>
      <c r="C51" s="390"/>
      <c r="D51" s="390"/>
      <c r="E51" s="390"/>
      <c r="F51" s="390"/>
      <c r="G51" s="390"/>
      <c r="H51" s="390"/>
      <c r="I51" s="858" t="s">
        <v>638</v>
      </c>
      <c r="J51" s="858"/>
      <c r="K51" s="859"/>
      <c r="L51" s="376"/>
      <c r="O51" s="505"/>
    </row>
    <row r="52" spans="1:24" ht="40.5" customHeight="1" x14ac:dyDescent="0.2">
      <c r="A52" s="376"/>
      <c r="B52" s="849" t="s">
        <v>615</v>
      </c>
      <c r="C52" s="849"/>
      <c r="D52" s="849"/>
      <c r="E52" s="849"/>
      <c r="F52" s="849"/>
      <c r="G52" s="849"/>
      <c r="H52" s="849"/>
      <c r="I52" s="849"/>
      <c r="J52" s="849"/>
      <c r="K52" s="849"/>
      <c r="L52" s="376"/>
    </row>
    <row r="53" spans="1:24" x14ac:dyDescent="0.2">
      <c r="A53" s="376"/>
      <c r="B53" s="862" t="s">
        <v>639</v>
      </c>
      <c r="C53" s="862"/>
      <c r="D53" s="862"/>
      <c r="E53" s="862"/>
      <c r="F53" s="862"/>
      <c r="G53" s="862"/>
      <c r="H53" s="862"/>
      <c r="I53" s="862"/>
      <c r="J53" s="862"/>
      <c r="K53" s="862"/>
      <c r="L53" s="376"/>
    </row>
    <row r="54" spans="1:24" x14ac:dyDescent="0.2">
      <c r="A54" s="376"/>
      <c r="B54" s="567"/>
      <c r="C54" s="567"/>
      <c r="D54" s="567"/>
      <c r="E54" s="567"/>
      <c r="F54" s="567"/>
      <c r="G54" s="567"/>
      <c r="H54" s="567"/>
      <c r="I54" s="567"/>
      <c r="J54" s="567"/>
      <c r="K54" s="567"/>
      <c r="L54" s="376"/>
    </row>
    <row r="55" spans="1:24" x14ac:dyDescent="0.2">
      <c r="A55" s="376"/>
      <c r="B55" s="855" t="s">
        <v>640</v>
      </c>
      <c r="C55" s="855"/>
      <c r="D55" s="855"/>
      <c r="E55" s="855"/>
      <c r="F55" s="855"/>
      <c r="G55" s="855"/>
      <c r="H55" s="855"/>
      <c r="I55" s="855"/>
      <c r="J55" s="855"/>
      <c r="K55" s="855"/>
      <c r="L55" s="376"/>
    </row>
    <row r="56" spans="1:24" ht="15" customHeight="1" x14ac:dyDescent="0.2">
      <c r="A56" s="376"/>
      <c r="L56" s="376"/>
    </row>
    <row r="57" spans="1:24" ht="74.25" customHeight="1" x14ac:dyDescent="0.2">
      <c r="A57" s="376"/>
      <c r="B57" s="848" t="s">
        <v>641</v>
      </c>
      <c r="C57" s="847"/>
      <c r="D57" s="847"/>
      <c r="E57" s="847"/>
      <c r="F57" s="847"/>
      <c r="G57" s="847"/>
      <c r="H57" s="847"/>
      <c r="I57" s="847"/>
      <c r="J57" s="847"/>
      <c r="K57" s="847"/>
      <c r="L57" s="376"/>
      <c r="M57" s="397"/>
      <c r="N57" s="398"/>
      <c r="O57" s="398"/>
      <c r="P57" s="398"/>
      <c r="Q57" s="398"/>
      <c r="R57" s="398"/>
      <c r="S57" s="398"/>
      <c r="T57" s="398"/>
      <c r="U57" s="398"/>
      <c r="V57" s="398"/>
      <c r="W57" s="398"/>
      <c r="X57" s="398"/>
    </row>
    <row r="58" spans="1:24" ht="15" customHeight="1" x14ac:dyDescent="0.2">
      <c r="A58" s="376"/>
      <c r="B58" s="848"/>
      <c r="C58" s="847"/>
      <c r="D58" s="847"/>
      <c r="E58" s="847"/>
      <c r="F58" s="847"/>
      <c r="G58" s="847"/>
      <c r="H58" s="847"/>
      <c r="I58" s="847"/>
      <c r="J58" s="847"/>
      <c r="K58" s="847"/>
      <c r="L58" s="376"/>
      <c r="M58" s="397"/>
      <c r="N58" s="398"/>
      <c r="O58" s="398"/>
      <c r="P58" s="398"/>
      <c r="Q58" s="398"/>
      <c r="R58" s="398"/>
      <c r="S58" s="398"/>
      <c r="T58" s="398"/>
      <c r="U58" s="398"/>
      <c r="V58" s="398"/>
      <c r="W58" s="398"/>
      <c r="X58" s="398"/>
    </row>
    <row r="59" spans="1:24" x14ac:dyDescent="0.2">
      <c r="A59" s="376"/>
      <c r="B59" s="380" t="s">
        <v>630</v>
      </c>
      <c r="L59" s="376"/>
      <c r="M59" s="398"/>
      <c r="N59" s="398"/>
      <c r="O59" s="398"/>
      <c r="P59" s="398"/>
      <c r="Q59" s="398"/>
      <c r="R59" s="398"/>
      <c r="S59" s="398"/>
      <c r="T59" s="398"/>
      <c r="U59" s="398"/>
      <c r="V59" s="398"/>
      <c r="W59" s="398"/>
      <c r="X59" s="398"/>
    </row>
    <row r="60" spans="1:24" x14ac:dyDescent="0.2">
      <c r="A60" s="376"/>
      <c r="L60" s="376"/>
      <c r="M60" s="398"/>
      <c r="N60" s="398"/>
      <c r="O60" s="398"/>
      <c r="P60" s="398"/>
      <c r="Q60" s="398"/>
      <c r="R60" s="398"/>
      <c r="S60" s="398"/>
      <c r="T60" s="398"/>
      <c r="U60" s="398"/>
      <c r="V60" s="398"/>
      <c r="W60" s="398"/>
      <c r="X60" s="398"/>
    </row>
    <row r="61" spans="1:24" x14ac:dyDescent="0.2">
      <c r="A61" s="376"/>
      <c r="B61" s="378" t="s">
        <v>642</v>
      </c>
      <c r="L61" s="376"/>
      <c r="M61" s="398"/>
      <c r="N61" s="398"/>
      <c r="O61" s="398"/>
      <c r="P61" s="398"/>
      <c r="Q61" s="398"/>
      <c r="R61" s="398"/>
      <c r="S61" s="398"/>
      <c r="T61" s="398"/>
      <c r="U61" s="398"/>
      <c r="V61" s="398"/>
      <c r="W61" s="398"/>
      <c r="X61" s="398"/>
    </row>
    <row r="62" spans="1:24" x14ac:dyDescent="0.2">
      <c r="A62" s="376"/>
      <c r="B62" s="378" t="s">
        <v>820</v>
      </c>
      <c r="L62" s="376"/>
      <c r="M62" s="398"/>
      <c r="N62" s="398"/>
      <c r="O62" s="398"/>
      <c r="P62" s="398"/>
      <c r="Q62" s="398"/>
      <c r="R62" s="398"/>
      <c r="S62" s="398"/>
      <c r="T62" s="398"/>
      <c r="U62" s="398"/>
      <c r="V62" s="398"/>
      <c r="W62" s="398"/>
      <c r="X62" s="398"/>
    </row>
    <row r="63" spans="1:24" x14ac:dyDescent="0.2">
      <c r="A63" s="376"/>
      <c r="B63" s="378" t="s">
        <v>821</v>
      </c>
      <c r="L63" s="376"/>
      <c r="M63" s="398"/>
      <c r="N63" s="398"/>
      <c r="O63" s="398"/>
      <c r="P63" s="398"/>
      <c r="Q63" s="398"/>
      <c r="R63" s="398"/>
      <c r="S63" s="398"/>
      <c r="T63" s="398"/>
      <c r="U63" s="398"/>
      <c r="V63" s="398"/>
      <c r="W63" s="398"/>
      <c r="X63" s="398"/>
    </row>
    <row r="64" spans="1:24" x14ac:dyDescent="0.2">
      <c r="A64" s="376"/>
      <c r="L64" s="376"/>
      <c r="M64" s="398"/>
      <c r="N64" s="398"/>
      <c r="O64" s="398"/>
      <c r="P64" s="398"/>
      <c r="Q64" s="398"/>
      <c r="R64" s="398"/>
      <c r="S64" s="398"/>
      <c r="T64" s="398"/>
      <c r="U64" s="398"/>
      <c r="V64" s="398"/>
      <c r="W64" s="398"/>
      <c r="X64" s="398"/>
    </row>
    <row r="65" spans="1:24" x14ac:dyDescent="0.2">
      <c r="A65" s="376"/>
      <c r="B65" s="378" t="s">
        <v>643</v>
      </c>
      <c r="L65" s="376"/>
      <c r="M65" s="398"/>
      <c r="N65" s="398"/>
      <c r="O65" s="398"/>
      <c r="P65" s="398"/>
      <c r="Q65" s="398"/>
      <c r="R65" s="398"/>
      <c r="S65" s="398"/>
      <c r="T65" s="398"/>
      <c r="U65" s="398"/>
      <c r="V65" s="398"/>
      <c r="W65" s="398"/>
      <c r="X65" s="398"/>
    </row>
    <row r="66" spans="1:24" x14ac:dyDescent="0.2">
      <c r="A66" s="376"/>
      <c r="B66" s="378" t="s">
        <v>644</v>
      </c>
      <c r="L66" s="376"/>
      <c r="M66" s="398"/>
      <c r="N66" s="398"/>
      <c r="O66" s="398"/>
      <c r="P66" s="398"/>
      <c r="Q66" s="398"/>
      <c r="R66" s="398"/>
      <c r="S66" s="398"/>
      <c r="T66" s="398"/>
      <c r="U66" s="398"/>
      <c r="V66" s="398"/>
      <c r="W66" s="398"/>
      <c r="X66" s="398"/>
    </row>
    <row r="67" spans="1:24" x14ac:dyDescent="0.2">
      <c r="A67" s="376"/>
      <c r="L67" s="376"/>
      <c r="M67" s="398"/>
      <c r="N67" s="398"/>
      <c r="O67" s="398"/>
      <c r="P67" s="398"/>
      <c r="Q67" s="398"/>
      <c r="R67" s="398"/>
      <c r="S67" s="398"/>
      <c r="T67" s="398"/>
      <c r="U67" s="398"/>
      <c r="V67" s="398"/>
      <c r="W67" s="398"/>
      <c r="X67" s="398"/>
    </row>
    <row r="68" spans="1:24" x14ac:dyDescent="0.2">
      <c r="A68" s="376"/>
      <c r="B68" s="378" t="s">
        <v>645</v>
      </c>
      <c r="L68" s="376"/>
      <c r="M68" s="399"/>
      <c r="N68" s="400"/>
      <c r="O68" s="400"/>
      <c r="P68" s="400"/>
      <c r="Q68" s="400"/>
      <c r="R68" s="400"/>
      <c r="S68" s="400"/>
      <c r="T68" s="400"/>
      <c r="U68" s="400"/>
      <c r="V68" s="400"/>
      <c r="W68" s="400"/>
      <c r="X68" s="398"/>
    </row>
    <row r="69" spans="1:24" x14ac:dyDescent="0.2">
      <c r="A69" s="376"/>
      <c r="B69" s="378" t="s">
        <v>822</v>
      </c>
      <c r="L69" s="376"/>
      <c r="M69" s="398"/>
      <c r="N69" s="398"/>
      <c r="O69" s="398"/>
      <c r="P69" s="398"/>
      <c r="Q69" s="398"/>
      <c r="R69" s="398"/>
      <c r="S69" s="398"/>
      <c r="T69" s="398"/>
      <c r="U69" s="398"/>
      <c r="V69" s="398"/>
      <c r="W69" s="398"/>
      <c r="X69" s="398"/>
    </row>
    <row r="70" spans="1:24" x14ac:dyDescent="0.2">
      <c r="A70" s="376"/>
      <c r="B70" s="378" t="s">
        <v>823</v>
      </c>
      <c r="L70" s="376"/>
      <c r="M70" s="398"/>
      <c r="N70" s="398"/>
      <c r="O70" s="398"/>
      <c r="P70" s="398"/>
      <c r="Q70" s="398"/>
      <c r="R70" s="398"/>
      <c r="S70" s="398"/>
      <c r="T70" s="398"/>
      <c r="U70" s="398"/>
      <c r="V70" s="398"/>
      <c r="W70" s="398"/>
      <c r="X70" s="398"/>
    </row>
    <row r="71" spans="1:24" ht="15" thickBot="1" x14ac:dyDescent="0.25">
      <c r="A71" s="376"/>
      <c r="B71" s="386"/>
      <c r="C71" s="386"/>
      <c r="D71" s="386"/>
      <c r="E71" s="386"/>
      <c r="F71" s="386"/>
      <c r="G71" s="386"/>
      <c r="H71" s="386"/>
      <c r="I71" s="386"/>
      <c r="J71" s="386"/>
      <c r="K71" s="386"/>
      <c r="L71" s="376"/>
    </row>
    <row r="72" spans="1:24" x14ac:dyDescent="0.2">
      <c r="A72" s="376"/>
      <c r="B72" s="382" t="s">
        <v>619</v>
      </c>
      <c r="C72" s="383"/>
      <c r="D72" s="383"/>
      <c r="E72" s="383"/>
      <c r="F72" s="383"/>
      <c r="G72" s="383"/>
      <c r="H72" s="383"/>
      <c r="I72" s="383"/>
      <c r="J72" s="383"/>
      <c r="K72" s="384"/>
      <c r="L72" s="401"/>
    </row>
    <row r="73" spans="1:24" x14ac:dyDescent="0.2">
      <c r="A73" s="376"/>
      <c r="B73" s="394"/>
      <c r="C73" s="386" t="s">
        <v>625</v>
      </c>
      <c r="D73" s="386"/>
      <c r="E73" s="386"/>
      <c r="F73" s="386"/>
      <c r="G73" s="386"/>
      <c r="H73" s="386"/>
      <c r="I73" s="386"/>
      <c r="J73" s="386"/>
      <c r="K73" s="388"/>
      <c r="L73" s="401"/>
    </row>
    <row r="74" spans="1:24" x14ac:dyDescent="0.2">
      <c r="A74" s="376"/>
      <c r="B74" s="394" t="s">
        <v>646</v>
      </c>
      <c r="C74" s="844">
        <v>312000000</v>
      </c>
      <c r="D74" s="844"/>
      <c r="E74" s="564" t="s">
        <v>624</v>
      </c>
      <c r="F74" s="564">
        <v>1000</v>
      </c>
      <c r="G74" s="564" t="s">
        <v>623</v>
      </c>
      <c r="H74" s="561">
        <f>C74/F74</f>
        <v>312000</v>
      </c>
      <c r="I74" s="386" t="s">
        <v>647</v>
      </c>
      <c r="J74" s="386"/>
      <c r="K74" s="388"/>
      <c r="L74" s="401"/>
    </row>
    <row r="75" spans="1:24" x14ac:dyDescent="0.2">
      <c r="A75" s="376"/>
      <c r="B75" s="394"/>
      <c r="C75" s="386"/>
      <c r="D75" s="386"/>
      <c r="E75" s="564"/>
      <c r="F75" s="386"/>
      <c r="G75" s="386"/>
      <c r="H75" s="386"/>
      <c r="I75" s="386"/>
      <c r="J75" s="386"/>
      <c r="K75" s="388"/>
      <c r="L75" s="401"/>
    </row>
    <row r="76" spans="1:24" x14ac:dyDescent="0.2">
      <c r="A76" s="376"/>
      <c r="B76" s="394"/>
      <c r="C76" s="386" t="s">
        <v>648</v>
      </c>
      <c r="D76" s="386"/>
      <c r="E76" s="564"/>
      <c r="F76" s="386" t="s">
        <v>647</v>
      </c>
      <c r="G76" s="386"/>
      <c r="H76" s="386"/>
      <c r="I76" s="386"/>
      <c r="J76" s="386"/>
      <c r="K76" s="388"/>
      <c r="L76" s="401"/>
    </row>
    <row r="77" spans="1:24" x14ac:dyDescent="0.2">
      <c r="A77" s="376"/>
      <c r="B77" s="394" t="s">
        <v>651</v>
      </c>
      <c r="C77" s="844">
        <v>50000</v>
      </c>
      <c r="D77" s="844"/>
      <c r="E77" s="564" t="s">
        <v>624</v>
      </c>
      <c r="F77" s="561">
        <f>H74</f>
        <v>312000</v>
      </c>
      <c r="G77" s="564" t="s">
        <v>623</v>
      </c>
      <c r="H77" s="396">
        <f>C77/F77</f>
        <v>0.16025641025641027</v>
      </c>
      <c r="I77" s="386" t="s">
        <v>649</v>
      </c>
      <c r="J77" s="386"/>
      <c r="K77" s="388"/>
      <c r="L77" s="401"/>
    </row>
    <row r="78" spans="1:24" x14ac:dyDescent="0.2">
      <c r="A78" s="376"/>
      <c r="B78" s="394"/>
      <c r="C78" s="386"/>
      <c r="D78" s="386"/>
      <c r="E78" s="564"/>
      <c r="F78" s="386"/>
      <c r="G78" s="386"/>
      <c r="H78" s="386"/>
      <c r="I78" s="386"/>
      <c r="J78" s="386"/>
      <c r="K78" s="388"/>
      <c r="L78" s="401"/>
    </row>
    <row r="79" spans="1:24" x14ac:dyDescent="0.2">
      <c r="A79" s="376"/>
      <c r="B79" s="402"/>
      <c r="C79" s="403" t="s">
        <v>650</v>
      </c>
      <c r="D79" s="403"/>
      <c r="E79" s="560"/>
      <c r="F79" s="403"/>
      <c r="G79" s="403"/>
      <c r="H79" s="403"/>
      <c r="I79" s="403"/>
      <c r="J79" s="403"/>
      <c r="K79" s="404"/>
      <c r="L79" s="401"/>
    </row>
    <row r="80" spans="1:24" x14ac:dyDescent="0.2">
      <c r="A80" s="376"/>
      <c r="B80" s="394" t="s">
        <v>728</v>
      </c>
      <c r="C80" s="844">
        <v>100000</v>
      </c>
      <c r="D80" s="844"/>
      <c r="E80" s="564" t="s">
        <v>30</v>
      </c>
      <c r="F80" s="564">
        <v>0.115</v>
      </c>
      <c r="G80" s="564" t="s">
        <v>623</v>
      </c>
      <c r="H80" s="561">
        <f>C80*F80</f>
        <v>11500</v>
      </c>
      <c r="I80" s="386" t="s">
        <v>652</v>
      </c>
      <c r="J80" s="386"/>
      <c r="K80" s="388"/>
      <c r="L80" s="401"/>
    </row>
    <row r="81" spans="1:12" x14ac:dyDescent="0.2">
      <c r="A81" s="376"/>
      <c r="B81" s="394"/>
      <c r="C81" s="386"/>
      <c r="D81" s="386"/>
      <c r="E81" s="564"/>
      <c r="F81" s="386"/>
      <c r="G81" s="386"/>
      <c r="H81" s="386"/>
      <c r="I81" s="386"/>
      <c r="J81" s="386"/>
      <c r="K81" s="388"/>
      <c r="L81" s="401"/>
    </row>
    <row r="82" spans="1:12" x14ac:dyDescent="0.2">
      <c r="A82" s="376"/>
      <c r="B82" s="402"/>
      <c r="C82" s="403" t="s">
        <v>653</v>
      </c>
      <c r="D82" s="403"/>
      <c r="E82" s="560"/>
      <c r="F82" s="403" t="s">
        <v>649</v>
      </c>
      <c r="G82" s="403"/>
      <c r="H82" s="403"/>
      <c r="I82" s="403"/>
      <c r="J82" s="403" t="s">
        <v>654</v>
      </c>
      <c r="K82" s="404"/>
      <c r="L82" s="401"/>
    </row>
    <row r="83" spans="1:12" x14ac:dyDescent="0.2">
      <c r="A83" s="376"/>
      <c r="B83" s="394" t="s">
        <v>729</v>
      </c>
      <c r="C83" s="851">
        <f>H80</f>
        <v>11500</v>
      </c>
      <c r="D83" s="851"/>
      <c r="E83" s="564" t="s">
        <v>30</v>
      </c>
      <c r="F83" s="396">
        <f>H77</f>
        <v>0.16025641025641027</v>
      </c>
      <c r="G83" s="564" t="s">
        <v>624</v>
      </c>
      <c r="H83" s="564">
        <v>1000</v>
      </c>
      <c r="I83" s="564" t="s">
        <v>623</v>
      </c>
      <c r="J83" s="562">
        <f>C83*F83/H83</f>
        <v>1.8429487179487181</v>
      </c>
      <c r="K83" s="388"/>
      <c r="L83" s="401"/>
    </row>
    <row r="84" spans="1:12" ht="15" thickBot="1" x14ac:dyDescent="0.25">
      <c r="A84" s="376"/>
      <c r="B84" s="389"/>
      <c r="C84" s="405"/>
      <c r="D84" s="405"/>
      <c r="E84" s="406"/>
      <c r="F84" s="407"/>
      <c r="G84" s="406"/>
      <c r="H84" s="406"/>
      <c r="I84" s="406"/>
      <c r="J84" s="408"/>
      <c r="K84" s="391"/>
      <c r="L84" s="401"/>
    </row>
    <row r="85" spans="1:12" ht="40.5" customHeight="1" x14ac:dyDescent="0.2">
      <c r="A85" s="376"/>
      <c r="B85" s="849" t="s">
        <v>615</v>
      </c>
      <c r="C85" s="849"/>
      <c r="D85" s="849"/>
      <c r="E85" s="849"/>
      <c r="F85" s="849"/>
      <c r="G85" s="849"/>
      <c r="H85" s="849"/>
      <c r="I85" s="849"/>
      <c r="J85" s="849"/>
      <c r="K85" s="849"/>
      <c r="L85" s="376"/>
    </row>
    <row r="86" spans="1:12" x14ac:dyDescent="0.2">
      <c r="A86" s="376"/>
      <c r="B86" s="855" t="s">
        <v>655</v>
      </c>
      <c r="C86" s="855"/>
      <c r="D86" s="855"/>
      <c r="E86" s="855"/>
      <c r="F86" s="855"/>
      <c r="G86" s="855"/>
      <c r="H86" s="855"/>
      <c r="I86" s="855"/>
      <c r="J86" s="855"/>
      <c r="K86" s="855"/>
      <c r="L86" s="376"/>
    </row>
    <row r="87" spans="1:12" x14ac:dyDescent="0.2">
      <c r="A87" s="376"/>
      <c r="B87" s="409"/>
      <c r="C87" s="409"/>
      <c r="D87" s="409"/>
      <c r="E87" s="409"/>
      <c r="F87" s="409"/>
      <c r="G87" s="409"/>
      <c r="H87" s="409"/>
      <c r="I87" s="409"/>
      <c r="J87" s="409"/>
      <c r="K87" s="409"/>
      <c r="L87" s="376"/>
    </row>
    <row r="88" spans="1:12" x14ac:dyDescent="0.2">
      <c r="A88" s="376"/>
      <c r="B88" s="855" t="s">
        <v>656</v>
      </c>
      <c r="C88" s="855"/>
      <c r="D88" s="855"/>
      <c r="E88" s="855"/>
      <c r="F88" s="855"/>
      <c r="G88" s="855"/>
      <c r="H88" s="855"/>
      <c r="I88" s="855"/>
      <c r="J88" s="855"/>
      <c r="K88" s="855"/>
      <c r="L88" s="376"/>
    </row>
    <row r="89" spans="1:12" x14ac:dyDescent="0.2">
      <c r="A89" s="376"/>
      <c r="B89" s="563"/>
      <c r="C89" s="563"/>
      <c r="D89" s="563"/>
      <c r="E89" s="563"/>
      <c r="F89" s="563"/>
      <c r="G89" s="563"/>
      <c r="H89" s="563"/>
      <c r="I89" s="563"/>
      <c r="J89" s="563"/>
      <c r="K89" s="563"/>
      <c r="L89" s="376"/>
    </row>
    <row r="90" spans="1:12" ht="45" customHeight="1" x14ac:dyDescent="0.2">
      <c r="A90" s="376"/>
      <c r="B90" s="848" t="s">
        <v>657</v>
      </c>
      <c r="C90" s="848"/>
      <c r="D90" s="848"/>
      <c r="E90" s="848"/>
      <c r="F90" s="848"/>
      <c r="G90" s="848"/>
      <c r="H90" s="848"/>
      <c r="I90" s="848"/>
      <c r="J90" s="848"/>
      <c r="K90" s="848"/>
      <c r="L90" s="376"/>
    </row>
    <row r="91" spans="1:12" ht="15" customHeight="1" thickBot="1" x14ac:dyDescent="0.25">
      <c r="A91" s="376"/>
      <c r="L91" s="376"/>
    </row>
    <row r="92" spans="1:12" ht="15" customHeight="1" x14ac:dyDescent="0.2">
      <c r="A92" s="376"/>
      <c r="B92" s="410" t="s">
        <v>619</v>
      </c>
      <c r="C92" s="411"/>
      <c r="D92" s="411"/>
      <c r="E92" s="411"/>
      <c r="F92" s="411"/>
      <c r="G92" s="411"/>
      <c r="H92" s="411"/>
      <c r="I92" s="411"/>
      <c r="J92" s="411"/>
      <c r="K92" s="412"/>
      <c r="L92" s="376"/>
    </row>
    <row r="93" spans="1:12" ht="15" customHeight="1" x14ac:dyDescent="0.2">
      <c r="A93" s="376"/>
      <c r="B93" s="413"/>
      <c r="C93" s="568" t="s">
        <v>625</v>
      </c>
      <c r="D93" s="568"/>
      <c r="E93" s="568"/>
      <c r="F93" s="568"/>
      <c r="G93" s="568"/>
      <c r="H93" s="568"/>
      <c r="I93" s="568"/>
      <c r="J93" s="568"/>
      <c r="K93" s="414"/>
      <c r="L93" s="376"/>
    </row>
    <row r="94" spans="1:12" ht="15" customHeight="1" x14ac:dyDescent="0.2">
      <c r="A94" s="376"/>
      <c r="B94" s="413" t="s">
        <v>646</v>
      </c>
      <c r="C94" s="844">
        <v>312000000</v>
      </c>
      <c r="D94" s="844"/>
      <c r="E94" s="564" t="s">
        <v>624</v>
      </c>
      <c r="F94" s="564">
        <v>1000</v>
      </c>
      <c r="G94" s="564" t="s">
        <v>623</v>
      </c>
      <c r="H94" s="561">
        <f>C94/F94</f>
        <v>312000</v>
      </c>
      <c r="I94" s="568" t="s">
        <v>647</v>
      </c>
      <c r="J94" s="568"/>
      <c r="K94" s="414"/>
      <c r="L94" s="376"/>
    </row>
    <row r="95" spans="1:12" ht="15" customHeight="1" x14ac:dyDescent="0.2">
      <c r="A95" s="376"/>
      <c r="B95" s="413"/>
      <c r="C95" s="568"/>
      <c r="D95" s="568"/>
      <c r="E95" s="564"/>
      <c r="F95" s="568"/>
      <c r="G95" s="568"/>
      <c r="H95" s="568"/>
      <c r="I95" s="568"/>
      <c r="J95" s="568"/>
      <c r="K95" s="414"/>
      <c r="L95" s="376"/>
    </row>
    <row r="96" spans="1:12" ht="15" customHeight="1" x14ac:dyDescent="0.2">
      <c r="A96" s="376"/>
      <c r="B96" s="413"/>
      <c r="C96" s="568" t="s">
        <v>648</v>
      </c>
      <c r="D96" s="568"/>
      <c r="E96" s="564"/>
      <c r="F96" s="568" t="s">
        <v>647</v>
      </c>
      <c r="G96" s="568"/>
      <c r="H96" s="568"/>
      <c r="I96" s="568"/>
      <c r="J96" s="568"/>
      <c r="K96" s="414"/>
      <c r="L96" s="376"/>
    </row>
    <row r="97" spans="1:12" ht="15" customHeight="1" x14ac:dyDescent="0.2">
      <c r="A97" s="376"/>
      <c r="B97" s="413" t="s">
        <v>651</v>
      </c>
      <c r="C97" s="844">
        <v>50000</v>
      </c>
      <c r="D97" s="844"/>
      <c r="E97" s="564" t="s">
        <v>624</v>
      </c>
      <c r="F97" s="561">
        <f>H94</f>
        <v>312000</v>
      </c>
      <c r="G97" s="564" t="s">
        <v>623</v>
      </c>
      <c r="H97" s="396">
        <f>C97/F97</f>
        <v>0.16025641025641027</v>
      </c>
      <c r="I97" s="568" t="s">
        <v>649</v>
      </c>
      <c r="J97" s="568"/>
      <c r="K97" s="414"/>
      <c r="L97" s="376"/>
    </row>
    <row r="98" spans="1:12" ht="15" customHeight="1" x14ac:dyDescent="0.2">
      <c r="A98" s="376"/>
      <c r="B98" s="413"/>
      <c r="C98" s="568"/>
      <c r="D98" s="568"/>
      <c r="E98" s="564"/>
      <c r="F98" s="568"/>
      <c r="G98" s="568"/>
      <c r="H98" s="568"/>
      <c r="I98" s="568"/>
      <c r="J98" s="568"/>
      <c r="K98" s="414"/>
      <c r="L98" s="376"/>
    </row>
    <row r="99" spans="1:12" ht="15" customHeight="1" x14ac:dyDescent="0.2">
      <c r="A99" s="376"/>
      <c r="B99" s="415"/>
      <c r="C99" s="416" t="s">
        <v>658</v>
      </c>
      <c r="D99" s="416"/>
      <c r="E99" s="560"/>
      <c r="F99" s="416"/>
      <c r="G99" s="416"/>
      <c r="H99" s="416"/>
      <c r="I99" s="416"/>
      <c r="J99" s="416"/>
      <c r="K99" s="417"/>
      <c r="L99" s="376"/>
    </row>
    <row r="100" spans="1:12" ht="15" customHeight="1" x14ac:dyDescent="0.2">
      <c r="A100" s="376"/>
      <c r="B100" s="413" t="s">
        <v>728</v>
      </c>
      <c r="C100" s="844">
        <v>2500000</v>
      </c>
      <c r="D100" s="844"/>
      <c r="E100" s="564" t="s">
        <v>30</v>
      </c>
      <c r="F100" s="418">
        <v>0.3</v>
      </c>
      <c r="G100" s="564" t="s">
        <v>623</v>
      </c>
      <c r="H100" s="561">
        <f>C100*F100</f>
        <v>750000</v>
      </c>
      <c r="I100" s="568" t="s">
        <v>652</v>
      </c>
      <c r="J100" s="568"/>
      <c r="K100" s="414"/>
      <c r="L100" s="376"/>
    </row>
    <row r="101" spans="1:12" ht="15" customHeight="1" x14ac:dyDescent="0.2">
      <c r="A101" s="376"/>
      <c r="B101" s="413"/>
      <c r="C101" s="568"/>
      <c r="D101" s="568"/>
      <c r="E101" s="564"/>
      <c r="F101" s="568"/>
      <c r="G101" s="568"/>
      <c r="H101" s="568"/>
      <c r="I101" s="568"/>
      <c r="J101" s="568"/>
      <c r="K101" s="414"/>
      <c r="L101" s="376"/>
    </row>
    <row r="102" spans="1:12" ht="15" customHeight="1" x14ac:dyDescent="0.2">
      <c r="A102" s="376"/>
      <c r="B102" s="415"/>
      <c r="C102" s="416" t="s">
        <v>653</v>
      </c>
      <c r="D102" s="416"/>
      <c r="E102" s="560"/>
      <c r="F102" s="416" t="s">
        <v>649</v>
      </c>
      <c r="G102" s="416"/>
      <c r="H102" s="416"/>
      <c r="I102" s="416"/>
      <c r="J102" s="416" t="s">
        <v>654</v>
      </c>
      <c r="K102" s="417"/>
      <c r="L102" s="376"/>
    </row>
    <row r="103" spans="1:12" ht="15" customHeight="1" x14ac:dyDescent="0.2">
      <c r="A103" s="376"/>
      <c r="B103" s="413" t="s">
        <v>729</v>
      </c>
      <c r="C103" s="851">
        <f>H100</f>
        <v>750000</v>
      </c>
      <c r="D103" s="851"/>
      <c r="E103" s="564" t="s">
        <v>30</v>
      </c>
      <c r="F103" s="396">
        <f>H97</f>
        <v>0.16025641025641027</v>
      </c>
      <c r="G103" s="564" t="s">
        <v>624</v>
      </c>
      <c r="H103" s="564">
        <v>1000</v>
      </c>
      <c r="I103" s="564" t="s">
        <v>623</v>
      </c>
      <c r="J103" s="562">
        <f>C103*F103/H103</f>
        <v>120.19230769230771</v>
      </c>
      <c r="K103" s="414"/>
      <c r="L103" s="376"/>
    </row>
    <row r="104" spans="1:12" ht="15" customHeight="1" thickBot="1" x14ac:dyDescent="0.25">
      <c r="A104" s="376"/>
      <c r="B104" s="419"/>
      <c r="C104" s="405"/>
      <c r="D104" s="405"/>
      <c r="E104" s="406"/>
      <c r="F104" s="407"/>
      <c r="G104" s="406"/>
      <c r="H104" s="406"/>
      <c r="I104" s="406"/>
      <c r="J104" s="408"/>
      <c r="K104" s="569"/>
      <c r="L104" s="376"/>
    </row>
    <row r="105" spans="1:12" ht="40.5" customHeight="1" x14ac:dyDescent="0.2">
      <c r="A105" s="376"/>
      <c r="B105" s="849" t="s">
        <v>615</v>
      </c>
      <c r="C105" s="850"/>
      <c r="D105" s="850"/>
      <c r="E105" s="850"/>
      <c r="F105" s="850"/>
      <c r="G105" s="850"/>
      <c r="H105" s="850"/>
      <c r="I105" s="850"/>
      <c r="J105" s="850"/>
      <c r="K105" s="850"/>
      <c r="L105" s="376"/>
    </row>
    <row r="106" spans="1:12" ht="15" customHeight="1" x14ac:dyDescent="0.2">
      <c r="A106" s="376"/>
      <c r="B106" s="852" t="s">
        <v>659</v>
      </c>
      <c r="C106" s="853"/>
      <c r="D106" s="853"/>
      <c r="E106" s="853"/>
      <c r="F106" s="853"/>
      <c r="G106" s="853"/>
      <c r="H106" s="853"/>
      <c r="I106" s="853"/>
      <c r="J106" s="853"/>
      <c r="K106" s="853"/>
      <c r="L106" s="376"/>
    </row>
    <row r="107" spans="1:12" ht="15" customHeight="1" x14ac:dyDescent="0.2">
      <c r="A107" s="376"/>
      <c r="B107" s="568"/>
      <c r="C107" s="420"/>
      <c r="D107" s="420"/>
      <c r="E107" s="564"/>
      <c r="F107" s="396"/>
      <c r="G107" s="564"/>
      <c r="H107" s="564"/>
      <c r="I107" s="564"/>
      <c r="J107" s="562"/>
      <c r="K107" s="568"/>
      <c r="L107" s="376"/>
    </row>
    <row r="108" spans="1:12" ht="15" customHeight="1" x14ac:dyDescent="0.2">
      <c r="A108" s="376"/>
      <c r="B108" s="852" t="s">
        <v>660</v>
      </c>
      <c r="C108" s="854"/>
      <c r="D108" s="854"/>
      <c r="E108" s="854"/>
      <c r="F108" s="854"/>
      <c r="G108" s="854"/>
      <c r="H108" s="854"/>
      <c r="I108" s="854"/>
      <c r="J108" s="854"/>
      <c r="K108" s="854"/>
      <c r="L108" s="376"/>
    </row>
    <row r="109" spans="1:12" ht="15" customHeight="1" x14ac:dyDescent="0.2">
      <c r="A109" s="376"/>
      <c r="B109" s="568"/>
      <c r="C109" s="420"/>
      <c r="D109" s="420"/>
      <c r="E109" s="564"/>
      <c r="F109" s="396"/>
      <c r="G109" s="564"/>
      <c r="H109" s="564"/>
      <c r="I109" s="564"/>
      <c r="J109" s="562"/>
      <c r="K109" s="568"/>
      <c r="L109" s="376"/>
    </row>
    <row r="110" spans="1:12" ht="59.25" customHeight="1" x14ac:dyDescent="0.2">
      <c r="A110" s="376"/>
      <c r="B110" s="846" t="s">
        <v>661</v>
      </c>
      <c r="C110" s="847"/>
      <c r="D110" s="847"/>
      <c r="E110" s="847"/>
      <c r="F110" s="847"/>
      <c r="G110" s="847"/>
      <c r="H110" s="847"/>
      <c r="I110" s="847"/>
      <c r="J110" s="847"/>
      <c r="K110" s="847"/>
      <c r="L110" s="376"/>
    </row>
    <row r="111" spans="1:12" ht="15" thickBot="1" x14ac:dyDescent="0.25">
      <c r="A111" s="376"/>
      <c r="B111" s="567"/>
      <c r="C111" s="567"/>
      <c r="D111" s="567"/>
      <c r="E111" s="567"/>
      <c r="F111" s="567"/>
      <c r="G111" s="567"/>
      <c r="H111" s="567"/>
      <c r="I111" s="567"/>
      <c r="J111" s="567"/>
      <c r="K111" s="567"/>
      <c r="L111" s="421"/>
    </row>
    <row r="112" spans="1:12" x14ac:dyDescent="0.2">
      <c r="A112" s="376"/>
      <c r="B112" s="382" t="s">
        <v>619</v>
      </c>
      <c r="C112" s="383"/>
      <c r="D112" s="383"/>
      <c r="E112" s="383"/>
      <c r="F112" s="383"/>
      <c r="G112" s="383"/>
      <c r="H112" s="383"/>
      <c r="I112" s="383"/>
      <c r="J112" s="383"/>
      <c r="K112" s="384"/>
      <c r="L112" s="376"/>
    </row>
    <row r="113" spans="1:12" x14ac:dyDescent="0.2">
      <c r="A113" s="376"/>
      <c r="B113" s="394"/>
      <c r="C113" s="386" t="s">
        <v>625</v>
      </c>
      <c r="D113" s="386"/>
      <c r="E113" s="386"/>
      <c r="F113" s="386"/>
      <c r="G113" s="386"/>
      <c r="H113" s="386"/>
      <c r="I113" s="386"/>
      <c r="J113" s="386"/>
      <c r="K113" s="388"/>
      <c r="L113" s="376"/>
    </row>
    <row r="114" spans="1:12" x14ac:dyDescent="0.2">
      <c r="A114" s="376"/>
      <c r="B114" s="394" t="s">
        <v>646</v>
      </c>
      <c r="C114" s="844">
        <v>312000000</v>
      </c>
      <c r="D114" s="844"/>
      <c r="E114" s="564" t="s">
        <v>624</v>
      </c>
      <c r="F114" s="564">
        <v>1000</v>
      </c>
      <c r="G114" s="564" t="s">
        <v>623</v>
      </c>
      <c r="H114" s="561">
        <f>C114/F114</f>
        <v>312000</v>
      </c>
      <c r="I114" s="386" t="s">
        <v>647</v>
      </c>
      <c r="J114" s="386"/>
      <c r="K114" s="388"/>
      <c r="L114" s="376"/>
    </row>
    <row r="115" spans="1:12" x14ac:dyDescent="0.2">
      <c r="A115" s="376"/>
      <c r="B115" s="394"/>
      <c r="C115" s="386"/>
      <c r="D115" s="386"/>
      <c r="E115" s="564"/>
      <c r="F115" s="386"/>
      <c r="G115" s="386"/>
      <c r="H115" s="386"/>
      <c r="I115" s="386"/>
      <c r="J115" s="386"/>
      <c r="K115" s="388"/>
      <c r="L115" s="376"/>
    </row>
    <row r="116" spans="1:12" x14ac:dyDescent="0.2">
      <c r="A116" s="376"/>
      <c r="B116" s="394"/>
      <c r="C116" s="386" t="s">
        <v>648</v>
      </c>
      <c r="D116" s="386"/>
      <c r="E116" s="564"/>
      <c r="F116" s="386" t="s">
        <v>647</v>
      </c>
      <c r="G116" s="386"/>
      <c r="H116" s="386"/>
      <c r="I116" s="386"/>
      <c r="J116" s="386"/>
      <c r="K116" s="388"/>
      <c r="L116" s="376"/>
    </row>
    <row r="117" spans="1:12" x14ac:dyDescent="0.2">
      <c r="A117" s="376"/>
      <c r="B117" s="394" t="s">
        <v>651</v>
      </c>
      <c r="C117" s="844">
        <v>50000</v>
      </c>
      <c r="D117" s="844"/>
      <c r="E117" s="564" t="s">
        <v>624</v>
      </c>
      <c r="F117" s="561">
        <f>H114</f>
        <v>312000</v>
      </c>
      <c r="G117" s="564" t="s">
        <v>623</v>
      </c>
      <c r="H117" s="396">
        <f>C117/F117</f>
        <v>0.16025641025641027</v>
      </c>
      <c r="I117" s="386" t="s">
        <v>649</v>
      </c>
      <c r="J117" s="386"/>
      <c r="K117" s="388"/>
      <c r="L117" s="376"/>
    </row>
    <row r="118" spans="1:12" x14ac:dyDescent="0.2">
      <c r="A118" s="376"/>
      <c r="B118" s="394"/>
      <c r="C118" s="386"/>
      <c r="D118" s="386"/>
      <c r="E118" s="564"/>
      <c r="F118" s="386"/>
      <c r="G118" s="386"/>
      <c r="H118" s="386"/>
      <c r="I118" s="386"/>
      <c r="J118" s="386"/>
      <c r="K118" s="388"/>
      <c r="L118" s="376"/>
    </row>
    <row r="119" spans="1:12" x14ac:dyDescent="0.2">
      <c r="A119" s="376"/>
      <c r="B119" s="402"/>
      <c r="C119" s="403" t="s">
        <v>658</v>
      </c>
      <c r="D119" s="403"/>
      <c r="E119" s="560"/>
      <c r="F119" s="403"/>
      <c r="G119" s="403"/>
      <c r="H119" s="403"/>
      <c r="I119" s="403"/>
      <c r="J119" s="403"/>
      <c r="K119" s="404"/>
      <c r="L119" s="376"/>
    </row>
    <row r="120" spans="1:12" x14ac:dyDescent="0.2">
      <c r="A120" s="376"/>
      <c r="B120" s="394" t="s">
        <v>728</v>
      </c>
      <c r="C120" s="844">
        <v>2500000</v>
      </c>
      <c r="D120" s="844"/>
      <c r="E120" s="564" t="s">
        <v>30</v>
      </c>
      <c r="F120" s="418">
        <v>0.25</v>
      </c>
      <c r="G120" s="564" t="s">
        <v>623</v>
      </c>
      <c r="H120" s="561">
        <f>C120*F120</f>
        <v>625000</v>
      </c>
      <c r="I120" s="386" t="s">
        <v>652</v>
      </c>
      <c r="J120" s="386"/>
      <c r="K120" s="388"/>
      <c r="L120" s="376"/>
    </row>
    <row r="121" spans="1:12" x14ac:dyDescent="0.2">
      <c r="A121" s="376"/>
      <c r="B121" s="394"/>
      <c r="C121" s="386"/>
      <c r="D121" s="386"/>
      <c r="E121" s="564"/>
      <c r="F121" s="386"/>
      <c r="G121" s="386"/>
      <c r="H121" s="386"/>
      <c r="I121" s="386"/>
      <c r="J121" s="386"/>
      <c r="K121" s="388"/>
      <c r="L121" s="376"/>
    </row>
    <row r="122" spans="1:12" x14ac:dyDescent="0.2">
      <c r="A122" s="376"/>
      <c r="B122" s="402"/>
      <c r="C122" s="403" t="s">
        <v>653</v>
      </c>
      <c r="D122" s="403"/>
      <c r="E122" s="560"/>
      <c r="F122" s="403" t="s">
        <v>649</v>
      </c>
      <c r="G122" s="403"/>
      <c r="H122" s="403"/>
      <c r="I122" s="403"/>
      <c r="J122" s="403" t="s">
        <v>654</v>
      </c>
      <c r="K122" s="404"/>
      <c r="L122" s="376"/>
    </row>
    <row r="123" spans="1:12" x14ac:dyDescent="0.2">
      <c r="A123" s="376"/>
      <c r="B123" s="394" t="s">
        <v>729</v>
      </c>
      <c r="C123" s="851">
        <f>H120</f>
        <v>625000</v>
      </c>
      <c r="D123" s="851"/>
      <c r="E123" s="564" t="s">
        <v>30</v>
      </c>
      <c r="F123" s="396">
        <f>H117</f>
        <v>0.16025641025641027</v>
      </c>
      <c r="G123" s="564" t="s">
        <v>624</v>
      </c>
      <c r="H123" s="564">
        <v>1000</v>
      </c>
      <c r="I123" s="564" t="s">
        <v>623</v>
      </c>
      <c r="J123" s="562">
        <f>C123*F123/H123</f>
        <v>100.16025641025642</v>
      </c>
      <c r="K123" s="388"/>
      <c r="L123" s="376"/>
    </row>
    <row r="124" spans="1:12" ht="15" thickBot="1" x14ac:dyDescent="0.25">
      <c r="A124" s="376"/>
      <c r="B124" s="389"/>
      <c r="C124" s="405"/>
      <c r="D124" s="405"/>
      <c r="E124" s="406"/>
      <c r="F124" s="407"/>
      <c r="G124" s="406"/>
      <c r="H124" s="406"/>
      <c r="I124" s="406"/>
      <c r="J124" s="408"/>
      <c r="K124" s="391"/>
      <c r="L124" s="376"/>
    </row>
    <row r="125" spans="1:12" ht="40.5" customHeight="1" x14ac:dyDescent="0.2">
      <c r="A125" s="376"/>
      <c r="B125" s="849" t="s">
        <v>615</v>
      </c>
      <c r="C125" s="849"/>
      <c r="D125" s="849"/>
      <c r="E125" s="849"/>
      <c r="F125" s="849"/>
      <c r="G125" s="849"/>
      <c r="H125" s="849"/>
      <c r="I125" s="849"/>
      <c r="J125" s="849"/>
      <c r="K125" s="849"/>
      <c r="L125" s="421"/>
    </row>
    <row r="126" spans="1:12" x14ac:dyDescent="0.2">
      <c r="A126" s="376"/>
      <c r="B126" s="855" t="s">
        <v>662</v>
      </c>
      <c r="C126" s="855"/>
      <c r="D126" s="855"/>
      <c r="E126" s="855"/>
      <c r="F126" s="855"/>
      <c r="G126" s="855"/>
      <c r="H126" s="855"/>
      <c r="I126" s="855"/>
      <c r="J126" s="855"/>
      <c r="K126" s="855"/>
      <c r="L126" s="421"/>
    </row>
    <row r="127" spans="1:12" x14ac:dyDescent="0.2">
      <c r="A127" s="376"/>
      <c r="B127" s="567"/>
      <c r="C127" s="567"/>
      <c r="D127" s="567"/>
      <c r="E127" s="567"/>
      <c r="F127" s="567"/>
      <c r="G127" s="567"/>
      <c r="H127" s="567"/>
      <c r="I127" s="567"/>
      <c r="J127" s="567"/>
      <c r="K127" s="567"/>
      <c r="L127" s="421"/>
    </row>
    <row r="128" spans="1:12" x14ac:dyDescent="0.2">
      <c r="A128" s="376"/>
      <c r="B128" s="855" t="s">
        <v>663</v>
      </c>
      <c r="C128" s="855"/>
      <c r="D128" s="855"/>
      <c r="E128" s="855"/>
      <c r="F128" s="855"/>
      <c r="G128" s="855"/>
      <c r="H128" s="855"/>
      <c r="I128" s="855"/>
      <c r="J128" s="855"/>
      <c r="K128" s="855"/>
      <c r="L128" s="421"/>
    </row>
    <row r="129" spans="1:12" x14ac:dyDescent="0.2">
      <c r="A129" s="376"/>
      <c r="B129" s="563"/>
      <c r="C129" s="563"/>
      <c r="D129" s="563"/>
      <c r="E129" s="563"/>
      <c r="F129" s="563"/>
      <c r="G129" s="563"/>
      <c r="H129" s="563"/>
      <c r="I129" s="563"/>
      <c r="J129" s="563"/>
      <c r="K129" s="563"/>
      <c r="L129" s="421"/>
    </row>
    <row r="130" spans="1:12" ht="74.25" customHeight="1" x14ac:dyDescent="0.2">
      <c r="A130" s="376"/>
      <c r="B130" s="848" t="s">
        <v>730</v>
      </c>
      <c r="C130" s="848"/>
      <c r="D130" s="848"/>
      <c r="E130" s="848"/>
      <c r="F130" s="848"/>
      <c r="G130" s="848"/>
      <c r="H130" s="848"/>
      <c r="I130" s="848"/>
      <c r="J130" s="848"/>
      <c r="K130" s="848"/>
      <c r="L130" s="421"/>
    </row>
    <row r="131" spans="1:12" ht="15" thickBot="1" x14ac:dyDescent="0.25">
      <c r="A131" s="376"/>
      <c r="L131" s="376"/>
    </row>
    <row r="132" spans="1:12" x14ac:dyDescent="0.2">
      <c r="A132" s="376"/>
      <c r="B132" s="382" t="s">
        <v>619</v>
      </c>
      <c r="C132" s="383"/>
      <c r="D132" s="383"/>
      <c r="E132" s="383"/>
      <c r="F132" s="383"/>
      <c r="G132" s="383"/>
      <c r="H132" s="383"/>
      <c r="I132" s="383"/>
      <c r="J132" s="383"/>
      <c r="K132" s="384"/>
      <c r="L132" s="376"/>
    </row>
    <row r="133" spans="1:12" x14ac:dyDescent="0.2">
      <c r="A133" s="376"/>
      <c r="B133" s="394"/>
      <c r="C133" s="866" t="s">
        <v>664</v>
      </c>
      <c r="D133" s="866"/>
      <c r="E133" s="386"/>
      <c r="F133" s="564" t="s">
        <v>665</v>
      </c>
      <c r="G133" s="386"/>
      <c r="H133" s="866" t="s">
        <v>652</v>
      </c>
      <c r="I133" s="866"/>
      <c r="J133" s="386"/>
      <c r="K133" s="388"/>
      <c r="L133" s="376"/>
    </row>
    <row r="134" spans="1:12" x14ac:dyDescent="0.2">
      <c r="A134" s="376"/>
      <c r="B134" s="394" t="s">
        <v>646</v>
      </c>
      <c r="C134" s="844">
        <v>100000</v>
      </c>
      <c r="D134" s="844"/>
      <c r="E134" s="564" t="s">
        <v>30</v>
      </c>
      <c r="F134" s="564">
        <v>0.115</v>
      </c>
      <c r="G134" s="564" t="s">
        <v>623</v>
      </c>
      <c r="H134" s="845">
        <f>C134*F134</f>
        <v>11500</v>
      </c>
      <c r="I134" s="845"/>
      <c r="J134" s="386"/>
      <c r="K134" s="388"/>
      <c r="L134" s="376"/>
    </row>
    <row r="135" spans="1:12" x14ac:dyDescent="0.2">
      <c r="A135" s="376"/>
      <c r="B135" s="394"/>
      <c r="C135" s="386"/>
      <c r="D135" s="386"/>
      <c r="E135" s="386"/>
      <c r="F135" s="386"/>
      <c r="G135" s="386"/>
      <c r="H135" s="386"/>
      <c r="I135" s="386"/>
      <c r="J135" s="386"/>
      <c r="K135" s="388"/>
      <c r="L135" s="376"/>
    </row>
    <row r="136" spans="1:12" x14ac:dyDescent="0.2">
      <c r="A136" s="376"/>
      <c r="B136" s="402"/>
      <c r="C136" s="867" t="s">
        <v>652</v>
      </c>
      <c r="D136" s="867"/>
      <c r="E136" s="403"/>
      <c r="F136" s="560" t="s">
        <v>666</v>
      </c>
      <c r="G136" s="560"/>
      <c r="H136" s="403"/>
      <c r="I136" s="403"/>
      <c r="J136" s="403" t="s">
        <v>667</v>
      </c>
      <c r="K136" s="404"/>
      <c r="L136" s="376"/>
    </row>
    <row r="137" spans="1:12" x14ac:dyDescent="0.2">
      <c r="A137" s="376"/>
      <c r="B137" s="394" t="s">
        <v>651</v>
      </c>
      <c r="C137" s="845">
        <f>H134</f>
        <v>11500</v>
      </c>
      <c r="D137" s="845"/>
      <c r="E137" s="564" t="s">
        <v>30</v>
      </c>
      <c r="F137" s="422">
        <v>52.869</v>
      </c>
      <c r="G137" s="564" t="s">
        <v>624</v>
      </c>
      <c r="H137" s="564">
        <v>1000</v>
      </c>
      <c r="I137" s="564" t="s">
        <v>623</v>
      </c>
      <c r="J137" s="423">
        <f>C137*F137/H137</f>
        <v>607.99350000000004</v>
      </c>
      <c r="K137" s="388"/>
      <c r="L137" s="376"/>
    </row>
    <row r="138" spans="1:12" ht="15" thickBot="1" x14ac:dyDescent="0.25">
      <c r="A138" s="376"/>
      <c r="B138" s="389"/>
      <c r="C138" s="506"/>
      <c r="D138" s="506"/>
      <c r="E138" s="406"/>
      <c r="F138" s="507"/>
      <c r="G138" s="406"/>
      <c r="H138" s="406"/>
      <c r="I138" s="406"/>
      <c r="J138" s="508"/>
      <c r="K138" s="391"/>
      <c r="L138" s="376"/>
    </row>
    <row r="139" spans="1:12" ht="40.5" customHeight="1" x14ac:dyDescent="0.2">
      <c r="A139" s="376"/>
      <c r="B139" s="493" t="s">
        <v>615</v>
      </c>
      <c r="C139" s="494"/>
      <c r="D139" s="494"/>
      <c r="E139" s="495"/>
      <c r="F139" s="496"/>
      <c r="G139" s="495"/>
      <c r="H139" s="495"/>
      <c r="I139" s="495"/>
      <c r="J139" s="497"/>
      <c r="K139" s="498"/>
      <c r="L139" s="376"/>
    </row>
    <row r="140" spans="1:12" x14ac:dyDescent="0.2">
      <c r="A140" s="376"/>
      <c r="B140" s="499" t="s">
        <v>731</v>
      </c>
      <c r="C140" s="500"/>
      <c r="D140" s="500"/>
      <c r="E140" s="501"/>
      <c r="F140" s="502"/>
      <c r="G140" s="501"/>
      <c r="H140" s="501"/>
      <c r="I140" s="501"/>
      <c r="J140" s="503"/>
      <c r="K140" s="504"/>
      <c r="L140" s="376"/>
    </row>
    <row r="141" spans="1:12" x14ac:dyDescent="0.2">
      <c r="A141" s="376"/>
      <c r="B141" s="394"/>
      <c r="C141" s="561"/>
      <c r="D141" s="561"/>
      <c r="E141" s="564"/>
      <c r="F141" s="509"/>
      <c r="G141" s="564"/>
      <c r="H141" s="564"/>
      <c r="I141" s="564"/>
      <c r="J141" s="423"/>
      <c r="K141" s="388"/>
      <c r="L141" s="376"/>
    </row>
    <row r="142" spans="1:12" x14ac:dyDescent="0.2">
      <c r="A142" s="376"/>
      <c r="B142" s="499" t="s">
        <v>732</v>
      </c>
      <c r="C142" s="500"/>
      <c r="D142" s="500"/>
      <c r="E142" s="501"/>
      <c r="F142" s="502"/>
      <c r="G142" s="501"/>
      <c r="H142" s="501"/>
      <c r="I142" s="501"/>
      <c r="J142" s="503"/>
      <c r="K142" s="504"/>
      <c r="L142" s="376"/>
    </row>
    <row r="143" spans="1:12" x14ac:dyDescent="0.2">
      <c r="A143" s="376"/>
      <c r="B143" s="394"/>
      <c r="C143" s="561"/>
      <c r="D143" s="561"/>
      <c r="E143" s="564"/>
      <c r="F143" s="509"/>
      <c r="G143" s="564"/>
      <c r="H143" s="564"/>
      <c r="I143" s="564"/>
      <c r="J143" s="423"/>
      <c r="K143" s="388"/>
      <c r="L143" s="376"/>
    </row>
    <row r="144" spans="1:12" ht="76.5" customHeight="1" x14ac:dyDescent="0.2">
      <c r="A144" s="376"/>
      <c r="B144" s="868" t="s">
        <v>733</v>
      </c>
      <c r="C144" s="869"/>
      <c r="D144" s="869"/>
      <c r="E144" s="869"/>
      <c r="F144" s="869"/>
      <c r="G144" s="869"/>
      <c r="H144" s="869"/>
      <c r="I144" s="869"/>
      <c r="J144" s="869"/>
      <c r="K144" s="870"/>
      <c r="L144" s="376"/>
    </row>
    <row r="145" spans="1:12" ht="15" thickBot="1" x14ac:dyDescent="0.25">
      <c r="A145" s="376"/>
      <c r="B145" s="394"/>
      <c r="C145" s="561"/>
      <c r="D145" s="561"/>
      <c r="E145" s="564"/>
      <c r="F145" s="509"/>
      <c r="G145" s="564"/>
      <c r="H145" s="564"/>
      <c r="I145" s="564"/>
      <c r="J145" s="423"/>
      <c r="K145" s="388"/>
      <c r="L145" s="376"/>
    </row>
    <row r="146" spans="1:12" x14ac:dyDescent="0.2">
      <c r="A146" s="376"/>
      <c r="B146" s="382" t="s">
        <v>619</v>
      </c>
      <c r="C146" s="510"/>
      <c r="D146" s="510"/>
      <c r="E146" s="511"/>
      <c r="F146" s="512"/>
      <c r="G146" s="511"/>
      <c r="H146" s="511"/>
      <c r="I146" s="511"/>
      <c r="J146" s="513"/>
      <c r="K146" s="384"/>
      <c r="L146" s="376"/>
    </row>
    <row r="147" spans="1:12" x14ac:dyDescent="0.2">
      <c r="A147" s="376"/>
      <c r="B147" s="394"/>
      <c r="C147" s="845" t="s">
        <v>734</v>
      </c>
      <c r="D147" s="845"/>
      <c r="E147" s="564"/>
      <c r="F147" s="509" t="s">
        <v>735</v>
      </c>
      <c r="G147" s="564"/>
      <c r="H147" s="564"/>
      <c r="I147" s="564"/>
      <c r="J147" s="871" t="s">
        <v>736</v>
      </c>
      <c r="K147" s="872"/>
      <c r="L147" s="376"/>
    </row>
    <row r="148" spans="1:12" x14ac:dyDescent="0.2">
      <c r="A148" s="376"/>
      <c r="B148" s="394"/>
      <c r="C148" s="873">
        <v>52.869</v>
      </c>
      <c r="D148" s="873"/>
      <c r="E148" s="564" t="s">
        <v>30</v>
      </c>
      <c r="F148" s="565">
        <v>312000000</v>
      </c>
      <c r="G148" s="514" t="s">
        <v>624</v>
      </c>
      <c r="H148" s="564">
        <v>1000</v>
      </c>
      <c r="I148" s="564" t="s">
        <v>623</v>
      </c>
      <c r="J148" s="871">
        <f>C148*(F148/1000)</f>
        <v>16495128</v>
      </c>
      <c r="K148" s="874"/>
      <c r="L148" s="376"/>
    </row>
    <row r="149" spans="1:12" ht="15" thickBot="1" x14ac:dyDescent="0.25">
      <c r="A149" s="376"/>
      <c r="B149" s="389"/>
      <c r="C149" s="506"/>
      <c r="D149" s="506"/>
      <c r="E149" s="406"/>
      <c r="F149" s="507"/>
      <c r="G149" s="406"/>
      <c r="H149" s="406"/>
      <c r="I149" s="406"/>
      <c r="J149" s="508"/>
      <c r="K149" s="391"/>
      <c r="L149" s="376"/>
    </row>
    <row r="150" spans="1:12" ht="15" thickBot="1" x14ac:dyDescent="0.25">
      <c r="A150" s="376"/>
      <c r="B150" s="389"/>
      <c r="C150" s="390"/>
      <c r="D150" s="390"/>
      <c r="E150" s="390"/>
      <c r="F150" s="390"/>
      <c r="G150" s="390"/>
      <c r="H150" s="390"/>
      <c r="I150" s="390"/>
      <c r="J150" s="390"/>
      <c r="K150" s="391"/>
      <c r="L150" s="376"/>
    </row>
    <row r="151" spans="1:12" x14ac:dyDescent="0.2">
      <c r="A151" s="376"/>
      <c r="B151" s="376"/>
      <c r="C151" s="376"/>
      <c r="D151" s="376"/>
      <c r="E151" s="376"/>
      <c r="F151" s="376"/>
      <c r="G151" s="376"/>
      <c r="H151" s="376"/>
      <c r="I151" s="376"/>
      <c r="J151" s="376"/>
      <c r="K151" s="376"/>
      <c r="L151" s="376"/>
    </row>
    <row r="152" spans="1:12" x14ac:dyDescent="0.2">
      <c r="A152" s="376"/>
      <c r="B152" s="376"/>
      <c r="C152" s="376"/>
      <c r="D152" s="376"/>
      <c r="E152" s="376"/>
      <c r="F152" s="376"/>
      <c r="G152" s="376"/>
      <c r="H152" s="376"/>
      <c r="I152" s="376"/>
      <c r="J152" s="376"/>
      <c r="K152" s="376"/>
      <c r="L152" s="376"/>
    </row>
    <row r="153" spans="1:12" x14ac:dyDescent="0.2">
      <c r="A153" s="376"/>
      <c r="B153" s="376"/>
      <c r="C153" s="376"/>
      <c r="D153" s="376"/>
      <c r="E153" s="376"/>
      <c r="F153" s="376"/>
      <c r="G153" s="376"/>
      <c r="H153" s="376"/>
      <c r="I153" s="376"/>
      <c r="J153" s="376"/>
      <c r="K153" s="376"/>
      <c r="L153" s="376"/>
    </row>
    <row r="154" spans="1:12" x14ac:dyDescent="0.2">
      <c r="A154" s="424"/>
      <c r="B154" s="424"/>
      <c r="C154" s="424"/>
      <c r="D154" s="424"/>
      <c r="E154" s="424"/>
      <c r="F154" s="424"/>
      <c r="G154" s="424"/>
      <c r="H154" s="424"/>
      <c r="I154" s="424"/>
      <c r="J154" s="424"/>
      <c r="K154" s="424"/>
      <c r="L154" s="424"/>
    </row>
    <row r="155" spans="1:12" x14ac:dyDescent="0.2">
      <c r="A155" s="424"/>
      <c r="B155" s="424"/>
      <c r="C155" s="424"/>
      <c r="D155" s="424"/>
      <c r="E155" s="424"/>
      <c r="F155" s="424"/>
      <c r="G155" s="424"/>
      <c r="H155" s="424"/>
      <c r="I155" s="424"/>
      <c r="J155" s="424"/>
      <c r="K155" s="424"/>
      <c r="L155" s="424"/>
    </row>
    <row r="156" spans="1:12" x14ac:dyDescent="0.2">
      <c r="A156" s="424"/>
      <c r="B156" s="424"/>
      <c r="C156" s="424"/>
      <c r="D156" s="424"/>
      <c r="E156" s="424"/>
      <c r="F156" s="424"/>
      <c r="G156" s="424"/>
      <c r="H156" s="424"/>
      <c r="I156" s="424"/>
      <c r="J156" s="424"/>
      <c r="K156" s="424"/>
      <c r="L156" s="424"/>
    </row>
    <row r="157" spans="1:12" x14ac:dyDescent="0.2">
      <c r="A157" s="424"/>
      <c r="B157" s="424"/>
      <c r="C157" s="424"/>
      <c r="D157" s="424"/>
      <c r="E157" s="424"/>
      <c r="F157" s="424"/>
      <c r="G157" s="424"/>
      <c r="H157" s="424"/>
      <c r="I157" s="424"/>
      <c r="J157" s="424"/>
      <c r="K157" s="424"/>
      <c r="L157" s="424"/>
    </row>
    <row r="158" spans="1:12" x14ac:dyDescent="0.2">
      <c r="A158" s="424"/>
      <c r="B158" s="424"/>
      <c r="C158" s="424"/>
      <c r="D158" s="424"/>
      <c r="E158" s="424"/>
      <c r="F158" s="424"/>
      <c r="G158" s="424"/>
      <c r="H158" s="424"/>
      <c r="I158" s="424"/>
      <c r="J158" s="424"/>
      <c r="K158" s="424"/>
      <c r="L158" s="424"/>
    </row>
    <row r="159" spans="1:12" x14ac:dyDescent="0.2">
      <c r="A159" s="424"/>
      <c r="B159" s="424"/>
      <c r="C159" s="424"/>
      <c r="D159" s="424"/>
      <c r="E159" s="424"/>
      <c r="F159" s="424"/>
      <c r="G159" s="424"/>
      <c r="H159" s="424"/>
      <c r="I159" s="424"/>
      <c r="J159" s="424"/>
      <c r="K159" s="424"/>
      <c r="L159" s="424"/>
    </row>
    <row r="160" spans="1:12" x14ac:dyDescent="0.2">
      <c r="A160" s="424"/>
      <c r="B160" s="424"/>
      <c r="C160" s="424"/>
      <c r="D160" s="424"/>
      <c r="E160" s="424"/>
      <c r="F160" s="424"/>
      <c r="G160" s="424"/>
      <c r="H160" s="424"/>
      <c r="I160" s="424"/>
      <c r="J160" s="424"/>
      <c r="K160" s="424"/>
      <c r="L160" s="424"/>
    </row>
    <row r="161" spans="1:12" x14ac:dyDescent="0.2">
      <c r="A161" s="424"/>
      <c r="B161" s="424"/>
      <c r="C161" s="424"/>
      <c r="D161" s="424"/>
      <c r="E161" s="424"/>
      <c r="F161" s="424"/>
      <c r="G161" s="424"/>
      <c r="H161" s="424"/>
      <c r="I161" s="424"/>
      <c r="J161" s="424"/>
      <c r="K161" s="424"/>
      <c r="L161" s="424"/>
    </row>
    <row r="162" spans="1:12" x14ac:dyDescent="0.2">
      <c r="A162" s="424"/>
      <c r="B162" s="424"/>
      <c r="C162" s="424"/>
      <c r="D162" s="424"/>
      <c r="E162" s="424"/>
      <c r="F162" s="424"/>
      <c r="G162" s="424"/>
      <c r="H162" s="424"/>
      <c r="I162" s="424"/>
      <c r="J162" s="424"/>
      <c r="K162" s="424"/>
      <c r="L162" s="424"/>
    </row>
    <row r="163" spans="1:12" x14ac:dyDescent="0.2">
      <c r="A163" s="424"/>
      <c r="B163" s="424"/>
      <c r="C163" s="424"/>
      <c r="D163" s="424"/>
      <c r="E163" s="424"/>
      <c r="F163" s="424"/>
      <c r="G163" s="424"/>
      <c r="H163" s="424"/>
      <c r="I163" s="424"/>
      <c r="J163" s="424"/>
      <c r="K163" s="424"/>
      <c r="L163" s="424"/>
    </row>
    <row r="164" spans="1:12" x14ac:dyDescent="0.2">
      <c r="A164" s="424"/>
      <c r="B164" s="424"/>
      <c r="C164" s="424"/>
      <c r="D164" s="424"/>
      <c r="E164" s="424"/>
      <c r="F164" s="424"/>
      <c r="G164" s="424"/>
      <c r="H164" s="424"/>
      <c r="I164" s="424"/>
      <c r="J164" s="424"/>
      <c r="K164" s="424"/>
      <c r="L164" s="424"/>
    </row>
    <row r="165" spans="1:12" x14ac:dyDescent="0.2">
      <c r="A165" s="424"/>
      <c r="B165" s="424"/>
      <c r="C165" s="424"/>
      <c r="D165" s="424"/>
      <c r="E165" s="424"/>
      <c r="F165" s="424"/>
      <c r="G165" s="424"/>
      <c r="H165" s="424"/>
      <c r="I165" s="424"/>
      <c r="J165" s="424"/>
      <c r="K165" s="424"/>
      <c r="L165" s="424"/>
    </row>
    <row r="166" spans="1:12" x14ac:dyDescent="0.2">
      <c r="A166" s="424"/>
      <c r="B166" s="424"/>
      <c r="C166" s="424"/>
      <c r="D166" s="424"/>
      <c r="E166" s="424"/>
      <c r="F166" s="424"/>
      <c r="G166" s="424"/>
      <c r="H166" s="424"/>
      <c r="I166" s="424"/>
      <c r="J166" s="424"/>
      <c r="K166" s="424"/>
      <c r="L166" s="424"/>
    </row>
    <row r="167" spans="1:12" x14ac:dyDescent="0.2">
      <c r="A167" s="424"/>
      <c r="B167" s="424"/>
      <c r="C167" s="424"/>
      <c r="D167" s="424"/>
      <c r="E167" s="424"/>
      <c r="F167" s="424"/>
      <c r="G167" s="424"/>
      <c r="H167" s="424"/>
      <c r="I167" s="424"/>
      <c r="J167" s="424"/>
      <c r="K167" s="424"/>
      <c r="L167" s="424"/>
    </row>
    <row r="168" spans="1:12" x14ac:dyDescent="0.2">
      <c r="A168" s="424"/>
      <c r="B168" s="424"/>
      <c r="C168" s="424"/>
      <c r="D168" s="424"/>
      <c r="E168" s="424"/>
      <c r="F168" s="424"/>
      <c r="G168" s="424"/>
      <c r="H168" s="424"/>
      <c r="I168" s="424"/>
      <c r="J168" s="424"/>
      <c r="K168" s="424"/>
      <c r="L168" s="424"/>
    </row>
    <row r="169" spans="1:12" x14ac:dyDescent="0.2">
      <c r="A169" s="424"/>
      <c r="B169" s="424"/>
      <c r="C169" s="424"/>
      <c r="D169" s="424"/>
      <c r="E169" s="424"/>
      <c r="F169" s="424"/>
      <c r="G169" s="424"/>
      <c r="H169" s="424"/>
      <c r="I169" s="424"/>
      <c r="J169" s="424"/>
      <c r="K169" s="424"/>
      <c r="L169" s="424"/>
    </row>
    <row r="170" spans="1:12" x14ac:dyDescent="0.2">
      <c r="A170" s="424"/>
      <c r="B170" s="424"/>
      <c r="C170" s="424"/>
      <c r="D170" s="424"/>
      <c r="E170" s="424"/>
      <c r="F170" s="424"/>
      <c r="G170" s="424"/>
      <c r="H170" s="424"/>
      <c r="I170" s="424"/>
      <c r="J170" s="424"/>
      <c r="K170" s="424"/>
      <c r="L170" s="424"/>
    </row>
    <row r="171" spans="1:12" x14ac:dyDescent="0.2">
      <c r="A171" s="424"/>
      <c r="B171" s="424"/>
      <c r="C171" s="424"/>
      <c r="D171" s="424"/>
      <c r="E171" s="424"/>
      <c r="F171" s="424"/>
      <c r="G171" s="424"/>
      <c r="H171" s="424"/>
      <c r="I171" s="424"/>
      <c r="J171" s="424"/>
      <c r="K171" s="424"/>
      <c r="L171" s="424"/>
    </row>
    <row r="172" spans="1:12" x14ac:dyDescent="0.2">
      <c r="A172" s="424"/>
      <c r="B172" s="424"/>
      <c r="C172" s="424"/>
      <c r="D172" s="424"/>
      <c r="E172" s="424"/>
      <c r="F172" s="424"/>
      <c r="G172" s="424"/>
      <c r="H172" s="424"/>
      <c r="I172" s="424"/>
      <c r="J172" s="424"/>
      <c r="K172" s="424"/>
      <c r="L172" s="424"/>
    </row>
    <row r="173" spans="1:12" x14ac:dyDescent="0.2">
      <c r="A173" s="424"/>
      <c r="B173" s="424"/>
      <c r="C173" s="424"/>
      <c r="D173" s="424"/>
      <c r="E173" s="424"/>
      <c r="F173" s="424"/>
      <c r="G173" s="424"/>
      <c r="H173" s="424"/>
      <c r="I173" s="424"/>
      <c r="J173" s="424"/>
      <c r="K173" s="424"/>
      <c r="L173" s="424"/>
    </row>
    <row r="174" spans="1:12" x14ac:dyDescent="0.2">
      <c r="A174" s="424"/>
      <c r="B174" s="424"/>
      <c r="C174" s="424"/>
      <c r="D174" s="424"/>
      <c r="E174" s="424"/>
      <c r="F174" s="424"/>
      <c r="G174" s="424"/>
      <c r="H174" s="424"/>
      <c r="I174" s="424"/>
      <c r="J174" s="424"/>
      <c r="K174" s="424"/>
      <c r="L174" s="424"/>
    </row>
    <row r="175" spans="1:12" x14ac:dyDescent="0.2">
      <c r="A175" s="424"/>
      <c r="B175" s="424"/>
      <c r="C175" s="424"/>
      <c r="D175" s="424"/>
      <c r="E175" s="424"/>
      <c r="F175" s="424"/>
      <c r="G175" s="424"/>
      <c r="H175" s="424"/>
      <c r="I175" s="424"/>
      <c r="J175" s="424"/>
      <c r="K175" s="424"/>
      <c r="L175" s="424"/>
    </row>
    <row r="176" spans="1:12" x14ac:dyDescent="0.2">
      <c r="A176" s="424"/>
      <c r="B176" s="424"/>
      <c r="C176" s="424"/>
      <c r="D176" s="424"/>
      <c r="E176" s="424"/>
      <c r="F176" s="424"/>
      <c r="G176" s="424"/>
      <c r="H176" s="424"/>
      <c r="I176" s="424"/>
      <c r="J176" s="424"/>
      <c r="K176" s="424"/>
      <c r="L176" s="424"/>
    </row>
    <row r="177" spans="1:12" x14ac:dyDescent="0.2">
      <c r="A177" s="424"/>
      <c r="B177" s="424"/>
      <c r="C177" s="424"/>
      <c r="D177" s="424"/>
      <c r="E177" s="424"/>
      <c r="F177" s="424"/>
      <c r="G177" s="424"/>
      <c r="H177" s="424"/>
      <c r="I177" s="424"/>
      <c r="J177" s="424"/>
      <c r="K177" s="424"/>
      <c r="L177" s="424"/>
    </row>
    <row r="178" spans="1:12" x14ac:dyDescent="0.2">
      <c r="A178" s="424"/>
      <c r="B178" s="424"/>
      <c r="C178" s="424"/>
      <c r="D178" s="424"/>
      <c r="E178" s="424"/>
      <c r="F178" s="424"/>
      <c r="G178" s="424"/>
      <c r="H178" s="424"/>
      <c r="I178" s="424"/>
      <c r="J178" s="424"/>
      <c r="K178" s="424"/>
      <c r="L178" s="424"/>
    </row>
    <row r="179" spans="1:12" x14ac:dyDescent="0.2">
      <c r="A179" s="424"/>
      <c r="B179" s="424"/>
      <c r="C179" s="424"/>
      <c r="D179" s="424"/>
      <c r="E179" s="424"/>
      <c r="F179" s="424"/>
      <c r="G179" s="424"/>
      <c r="H179" s="424"/>
      <c r="I179" s="424"/>
      <c r="J179" s="424"/>
      <c r="K179" s="424"/>
      <c r="L179" s="424"/>
    </row>
    <row r="180" spans="1:12" x14ac:dyDescent="0.2">
      <c r="A180" s="424"/>
      <c r="B180" s="424"/>
      <c r="C180" s="424"/>
      <c r="D180" s="424"/>
      <c r="E180" s="424"/>
      <c r="F180" s="424"/>
      <c r="G180" s="424"/>
      <c r="H180" s="424"/>
      <c r="I180" s="424"/>
      <c r="J180" s="424"/>
      <c r="K180" s="424"/>
      <c r="L180" s="424"/>
    </row>
    <row r="181" spans="1:12" x14ac:dyDescent="0.2">
      <c r="A181" s="424"/>
      <c r="B181" s="424"/>
      <c r="C181" s="424"/>
      <c r="D181" s="424"/>
      <c r="E181" s="424"/>
      <c r="F181" s="424"/>
      <c r="G181" s="424"/>
      <c r="H181" s="424"/>
      <c r="I181" s="424"/>
      <c r="J181" s="424"/>
      <c r="K181" s="424"/>
      <c r="L181" s="424"/>
    </row>
    <row r="182" spans="1:12" x14ac:dyDescent="0.2">
      <c r="A182" s="424"/>
      <c r="B182" s="424"/>
      <c r="C182" s="424"/>
      <c r="D182" s="424"/>
      <c r="E182" s="424"/>
      <c r="F182" s="424"/>
      <c r="G182" s="424"/>
      <c r="H182" s="424"/>
      <c r="I182" s="424"/>
      <c r="J182" s="424"/>
      <c r="K182" s="424"/>
      <c r="L182" s="424"/>
    </row>
    <row r="183" spans="1:12" x14ac:dyDescent="0.2">
      <c r="A183" s="424"/>
      <c r="B183" s="424"/>
      <c r="C183" s="424"/>
      <c r="D183" s="424"/>
      <c r="E183" s="424"/>
      <c r="F183" s="424"/>
      <c r="G183" s="424"/>
      <c r="H183" s="424"/>
      <c r="I183" s="424"/>
      <c r="J183" s="424"/>
      <c r="K183" s="424"/>
      <c r="L183" s="424"/>
    </row>
    <row r="184" spans="1:12" x14ac:dyDescent="0.2">
      <c r="A184" s="424"/>
      <c r="B184" s="424"/>
      <c r="C184" s="424"/>
      <c r="D184" s="424"/>
      <c r="E184" s="424"/>
      <c r="F184" s="424"/>
      <c r="G184" s="424"/>
      <c r="H184" s="424"/>
      <c r="I184" s="424"/>
      <c r="J184" s="424"/>
      <c r="K184" s="424"/>
      <c r="L184" s="424"/>
    </row>
    <row r="185" spans="1:12" x14ac:dyDescent="0.2">
      <c r="A185" s="424"/>
      <c r="B185" s="424"/>
      <c r="C185" s="424"/>
      <c r="D185" s="424"/>
      <c r="E185" s="424"/>
      <c r="F185" s="424"/>
      <c r="G185" s="424"/>
      <c r="H185" s="424"/>
      <c r="I185" s="424"/>
      <c r="J185" s="424"/>
      <c r="K185" s="424"/>
      <c r="L185" s="424"/>
    </row>
    <row r="186" spans="1:12" x14ac:dyDescent="0.2">
      <c r="A186" s="424"/>
      <c r="B186" s="424"/>
      <c r="C186" s="424"/>
      <c r="D186" s="424"/>
      <c r="E186" s="424"/>
      <c r="F186" s="424"/>
      <c r="G186" s="424"/>
      <c r="H186" s="424"/>
      <c r="I186" s="424"/>
      <c r="J186" s="424"/>
      <c r="K186" s="424"/>
      <c r="L186" s="424"/>
    </row>
    <row r="187" spans="1:12" x14ac:dyDescent="0.2">
      <c r="A187" s="424"/>
      <c r="B187" s="424"/>
      <c r="C187" s="424"/>
      <c r="D187" s="424"/>
      <c r="E187" s="424"/>
      <c r="F187" s="424"/>
      <c r="G187" s="424"/>
      <c r="H187" s="424"/>
      <c r="I187" s="424"/>
      <c r="J187" s="424"/>
      <c r="K187" s="424"/>
      <c r="L187" s="424"/>
    </row>
    <row r="188" spans="1:12" x14ac:dyDescent="0.2">
      <c r="A188" s="424"/>
      <c r="B188" s="424"/>
      <c r="C188" s="424"/>
      <c r="D188" s="424"/>
      <c r="E188" s="424"/>
      <c r="F188" s="424"/>
      <c r="G188" s="424"/>
      <c r="H188" s="424"/>
      <c r="I188" s="424"/>
      <c r="J188" s="424"/>
      <c r="K188" s="424"/>
      <c r="L188" s="424"/>
    </row>
    <row r="189" spans="1:12" x14ac:dyDescent="0.2">
      <c r="A189" s="424"/>
      <c r="B189" s="424"/>
      <c r="C189" s="424"/>
      <c r="D189" s="424"/>
      <c r="E189" s="424"/>
      <c r="F189" s="424"/>
      <c r="G189" s="424"/>
      <c r="H189" s="424"/>
      <c r="I189" s="424"/>
      <c r="J189" s="424"/>
      <c r="K189" s="424"/>
      <c r="L189" s="424"/>
    </row>
    <row r="190" spans="1:12" x14ac:dyDescent="0.2">
      <c r="A190" s="424"/>
      <c r="B190" s="424"/>
      <c r="C190" s="424"/>
      <c r="D190" s="424"/>
      <c r="E190" s="424"/>
      <c r="F190" s="424"/>
      <c r="G190" s="424"/>
      <c r="H190" s="424"/>
      <c r="I190" s="424"/>
      <c r="J190" s="424"/>
      <c r="K190" s="424"/>
      <c r="L190" s="424"/>
    </row>
    <row r="191" spans="1:12" x14ac:dyDescent="0.2">
      <c r="A191" s="424"/>
      <c r="B191" s="424"/>
      <c r="C191" s="424"/>
      <c r="D191" s="424"/>
      <c r="E191" s="424"/>
      <c r="F191" s="424"/>
      <c r="G191" s="424"/>
      <c r="H191" s="424"/>
      <c r="I191" s="424"/>
      <c r="J191" s="424"/>
      <c r="K191" s="424"/>
      <c r="L191" s="424"/>
    </row>
    <row r="192" spans="1:12" x14ac:dyDescent="0.2">
      <c r="A192" s="424"/>
      <c r="B192" s="424"/>
      <c r="C192" s="424"/>
      <c r="D192" s="424"/>
      <c r="E192" s="424"/>
      <c r="F192" s="424"/>
      <c r="G192" s="424"/>
      <c r="H192" s="424"/>
      <c r="I192" s="424"/>
      <c r="J192" s="424"/>
      <c r="K192" s="424"/>
      <c r="L192" s="424"/>
    </row>
    <row r="193" spans="1:12" x14ac:dyDescent="0.2">
      <c r="A193" s="424"/>
      <c r="B193" s="424"/>
      <c r="C193" s="424"/>
      <c r="D193" s="424"/>
      <c r="E193" s="424"/>
      <c r="F193" s="424"/>
      <c r="G193" s="424"/>
      <c r="H193" s="424"/>
      <c r="I193" s="424"/>
      <c r="J193" s="424"/>
      <c r="K193" s="424"/>
      <c r="L193" s="424"/>
    </row>
    <row r="194" spans="1:12" x14ac:dyDescent="0.2">
      <c r="A194" s="424"/>
      <c r="B194" s="424"/>
      <c r="C194" s="424"/>
      <c r="D194" s="424"/>
      <c r="E194" s="424"/>
      <c r="F194" s="424"/>
      <c r="G194" s="424"/>
      <c r="H194" s="424"/>
      <c r="I194" s="424"/>
      <c r="J194" s="424"/>
      <c r="K194" s="424"/>
      <c r="L194" s="424"/>
    </row>
    <row r="195" spans="1:12" x14ac:dyDescent="0.2">
      <c r="A195" s="424"/>
      <c r="B195" s="424"/>
      <c r="C195" s="424"/>
      <c r="D195" s="424"/>
      <c r="E195" s="424"/>
      <c r="F195" s="424"/>
      <c r="G195" s="424"/>
      <c r="H195" s="424"/>
      <c r="I195" s="424"/>
      <c r="J195" s="424"/>
      <c r="K195" s="424"/>
      <c r="L195" s="424"/>
    </row>
    <row r="196" spans="1:12" x14ac:dyDescent="0.2">
      <c r="A196" s="424"/>
      <c r="B196" s="424"/>
      <c r="C196" s="424"/>
      <c r="D196" s="424"/>
      <c r="E196" s="424"/>
      <c r="F196" s="424"/>
      <c r="G196" s="424"/>
      <c r="H196" s="424"/>
      <c r="I196" s="424"/>
      <c r="J196" s="424"/>
      <c r="K196" s="424"/>
      <c r="L196" s="424"/>
    </row>
    <row r="197" spans="1:12" x14ac:dyDescent="0.2">
      <c r="A197" s="424"/>
      <c r="B197" s="424"/>
      <c r="C197" s="424"/>
      <c r="D197" s="424"/>
      <c r="E197" s="424"/>
      <c r="F197" s="424"/>
      <c r="G197" s="424"/>
      <c r="H197" s="424"/>
      <c r="I197" s="424"/>
      <c r="J197" s="424"/>
      <c r="K197" s="424"/>
      <c r="L197" s="424"/>
    </row>
    <row r="198" spans="1:12" x14ac:dyDescent="0.2">
      <c r="A198" s="424"/>
      <c r="B198" s="424"/>
      <c r="C198" s="424"/>
      <c r="D198" s="424"/>
      <c r="E198" s="424"/>
      <c r="F198" s="424"/>
      <c r="G198" s="424"/>
      <c r="H198" s="424"/>
      <c r="I198" s="424"/>
      <c r="J198" s="424"/>
      <c r="K198" s="424"/>
      <c r="L198" s="424"/>
    </row>
    <row r="199" spans="1:12" x14ac:dyDescent="0.2">
      <c r="A199" s="424"/>
      <c r="B199" s="424"/>
      <c r="C199" s="424"/>
      <c r="D199" s="424"/>
      <c r="E199" s="424"/>
      <c r="F199" s="424"/>
      <c r="G199" s="424"/>
      <c r="H199" s="424"/>
      <c r="I199" s="424"/>
      <c r="J199" s="424"/>
      <c r="K199" s="424"/>
      <c r="L199" s="424"/>
    </row>
    <row r="200" spans="1:12" x14ac:dyDescent="0.2">
      <c r="A200" s="424"/>
      <c r="B200" s="424"/>
      <c r="C200" s="424"/>
      <c r="D200" s="424"/>
      <c r="E200" s="424"/>
      <c r="F200" s="424"/>
      <c r="G200" s="424"/>
      <c r="H200" s="424"/>
      <c r="I200" s="424"/>
      <c r="J200" s="424"/>
      <c r="K200" s="424"/>
      <c r="L200" s="424"/>
    </row>
    <row r="201" spans="1:12" x14ac:dyDescent="0.2">
      <c r="A201" s="424"/>
      <c r="B201" s="424"/>
      <c r="C201" s="424"/>
      <c r="D201" s="424"/>
      <c r="E201" s="424"/>
      <c r="F201" s="424"/>
      <c r="G201" s="424"/>
      <c r="H201" s="424"/>
      <c r="I201" s="424"/>
      <c r="J201" s="424"/>
      <c r="K201" s="424"/>
      <c r="L201" s="424"/>
    </row>
    <row r="202" spans="1:12" x14ac:dyDescent="0.2">
      <c r="A202" s="424"/>
      <c r="B202" s="424"/>
      <c r="C202" s="424"/>
      <c r="D202" s="424"/>
      <c r="E202" s="424"/>
      <c r="F202" s="424"/>
      <c r="G202" s="424"/>
      <c r="H202" s="424"/>
      <c r="I202" s="424"/>
      <c r="J202" s="424"/>
      <c r="K202" s="424"/>
      <c r="L202" s="424"/>
    </row>
    <row r="203" spans="1:12" x14ac:dyDescent="0.2">
      <c r="A203" s="424"/>
      <c r="B203" s="424"/>
      <c r="C203" s="424"/>
      <c r="D203" s="424"/>
      <c r="E203" s="424"/>
      <c r="F203" s="424"/>
      <c r="G203" s="424"/>
      <c r="H203" s="424"/>
      <c r="I203" s="424"/>
      <c r="J203" s="424"/>
      <c r="K203" s="424"/>
      <c r="L203" s="424"/>
    </row>
    <row r="204" spans="1:12" x14ac:dyDescent="0.2">
      <c r="A204" s="424"/>
      <c r="B204" s="424"/>
      <c r="C204" s="424"/>
      <c r="D204" s="424"/>
      <c r="E204" s="424"/>
      <c r="F204" s="424"/>
      <c r="G204" s="424"/>
      <c r="H204" s="424"/>
      <c r="I204" s="424"/>
      <c r="J204" s="424"/>
      <c r="K204" s="424"/>
      <c r="L204" s="424"/>
    </row>
    <row r="205" spans="1:12" x14ac:dyDescent="0.2">
      <c r="A205" s="424"/>
      <c r="B205" s="424"/>
      <c r="C205" s="424"/>
      <c r="D205" s="424"/>
      <c r="E205" s="424"/>
      <c r="F205" s="424"/>
      <c r="G205" s="424"/>
      <c r="H205" s="424"/>
      <c r="I205" s="424"/>
      <c r="J205" s="424"/>
      <c r="K205" s="424"/>
      <c r="L205" s="424"/>
    </row>
    <row r="206" spans="1:12" x14ac:dyDescent="0.2">
      <c r="A206" s="424"/>
      <c r="B206" s="424"/>
      <c r="C206" s="424"/>
      <c r="D206" s="424"/>
      <c r="E206" s="424"/>
      <c r="F206" s="424"/>
      <c r="G206" s="424"/>
      <c r="H206" s="424"/>
      <c r="I206" s="424"/>
      <c r="J206" s="424"/>
      <c r="K206" s="424"/>
      <c r="L206" s="424"/>
    </row>
    <row r="207" spans="1:12" x14ac:dyDescent="0.2">
      <c r="A207" s="424"/>
      <c r="B207" s="424"/>
      <c r="C207" s="424"/>
      <c r="D207" s="424"/>
      <c r="E207" s="424"/>
      <c r="F207" s="424"/>
      <c r="G207" s="424"/>
      <c r="H207" s="424"/>
      <c r="I207" s="424"/>
      <c r="J207" s="424"/>
      <c r="K207" s="424"/>
      <c r="L207" s="424"/>
    </row>
    <row r="208" spans="1:12" x14ac:dyDescent="0.2">
      <c r="A208" s="424"/>
      <c r="B208" s="424"/>
      <c r="C208" s="424"/>
      <c r="D208" s="424"/>
      <c r="E208" s="424"/>
      <c r="F208" s="424"/>
      <c r="G208" s="424"/>
      <c r="H208" s="424"/>
      <c r="I208" s="424"/>
      <c r="J208" s="424"/>
      <c r="K208" s="424"/>
      <c r="L208" s="424"/>
    </row>
    <row r="209" spans="1:12" x14ac:dyDescent="0.2">
      <c r="A209" s="424"/>
      <c r="B209" s="424"/>
      <c r="C209" s="424"/>
      <c r="D209" s="424"/>
      <c r="E209" s="424"/>
      <c r="F209" s="424"/>
      <c r="G209" s="424"/>
      <c r="H209" s="424"/>
      <c r="I209" s="424"/>
      <c r="J209" s="424"/>
      <c r="K209" s="424"/>
      <c r="L209" s="424"/>
    </row>
    <row r="210" spans="1:12" x14ac:dyDescent="0.2">
      <c r="A210" s="424"/>
      <c r="B210" s="424"/>
      <c r="C210" s="424"/>
      <c r="D210" s="424"/>
      <c r="E210" s="424"/>
      <c r="F210" s="424"/>
      <c r="G210" s="424"/>
      <c r="H210" s="424"/>
      <c r="I210" s="424"/>
      <c r="J210" s="424"/>
      <c r="K210" s="424"/>
      <c r="L210" s="424"/>
    </row>
    <row r="211" spans="1:12" x14ac:dyDescent="0.2">
      <c r="A211" s="424"/>
      <c r="B211" s="424"/>
      <c r="C211" s="424"/>
      <c r="D211" s="424"/>
      <c r="E211" s="424"/>
      <c r="F211" s="424"/>
      <c r="G211" s="424"/>
      <c r="H211" s="424"/>
      <c r="I211" s="424"/>
      <c r="J211" s="424"/>
      <c r="K211" s="424"/>
      <c r="L211" s="424"/>
    </row>
    <row r="212" spans="1:12" x14ac:dyDescent="0.2">
      <c r="A212" s="424"/>
      <c r="B212" s="424"/>
      <c r="C212" s="424"/>
      <c r="D212" s="424"/>
      <c r="E212" s="424"/>
      <c r="F212" s="424"/>
      <c r="G212" s="424"/>
      <c r="H212" s="424"/>
      <c r="I212" s="424"/>
      <c r="J212" s="424"/>
      <c r="K212" s="424"/>
      <c r="L212" s="424"/>
    </row>
    <row r="213" spans="1:12" x14ac:dyDescent="0.2">
      <c r="A213" s="424"/>
      <c r="B213" s="424"/>
      <c r="C213" s="424"/>
      <c r="D213" s="424"/>
      <c r="E213" s="424"/>
      <c r="F213" s="424"/>
      <c r="G213" s="424"/>
      <c r="H213" s="424"/>
      <c r="I213" s="424"/>
      <c r="J213" s="424"/>
      <c r="K213" s="424"/>
      <c r="L213" s="424"/>
    </row>
    <row r="214" spans="1:12" x14ac:dyDescent="0.2">
      <c r="A214" s="424"/>
      <c r="B214" s="424"/>
      <c r="C214" s="424"/>
      <c r="D214" s="424"/>
      <c r="E214" s="424"/>
      <c r="F214" s="424"/>
      <c r="G214" s="424"/>
      <c r="H214" s="424"/>
      <c r="I214" s="424"/>
      <c r="J214" s="424"/>
      <c r="K214" s="424"/>
      <c r="L214" s="424"/>
    </row>
    <row r="215" spans="1:12" x14ac:dyDescent="0.2">
      <c r="A215" s="424"/>
      <c r="B215" s="424"/>
      <c r="C215" s="424"/>
      <c r="D215" s="424"/>
      <c r="E215" s="424"/>
      <c r="F215" s="424"/>
      <c r="G215" s="424"/>
      <c r="H215" s="424"/>
      <c r="I215" s="424"/>
      <c r="J215" s="424"/>
      <c r="K215" s="424"/>
      <c r="L215" s="424"/>
    </row>
    <row r="216" spans="1:12" x14ac:dyDescent="0.2">
      <c r="A216" s="424"/>
      <c r="B216" s="424"/>
      <c r="C216" s="424"/>
      <c r="D216" s="424"/>
      <c r="E216" s="424"/>
      <c r="F216" s="424"/>
      <c r="G216" s="424"/>
      <c r="H216" s="424"/>
      <c r="I216" s="424"/>
      <c r="J216" s="424"/>
      <c r="K216" s="424"/>
      <c r="L216" s="424"/>
    </row>
    <row r="217" spans="1:12" x14ac:dyDescent="0.2">
      <c r="A217" s="424"/>
      <c r="B217" s="424"/>
      <c r="C217" s="424"/>
      <c r="D217" s="424"/>
      <c r="E217" s="424"/>
      <c r="F217" s="424"/>
      <c r="G217" s="424"/>
      <c r="H217" s="424"/>
      <c r="I217" s="424"/>
      <c r="J217" s="424"/>
      <c r="K217" s="424"/>
      <c r="L217" s="424"/>
    </row>
    <row r="218" spans="1:12" x14ac:dyDescent="0.2">
      <c r="A218" s="424"/>
      <c r="B218" s="424"/>
      <c r="C218" s="424"/>
      <c r="D218" s="424"/>
      <c r="E218" s="424"/>
      <c r="F218" s="424"/>
      <c r="G218" s="424"/>
      <c r="H218" s="424"/>
      <c r="I218" s="424"/>
      <c r="J218" s="424"/>
      <c r="K218" s="424"/>
      <c r="L218" s="424"/>
    </row>
    <row r="219" spans="1:12" x14ac:dyDescent="0.2">
      <c r="A219" s="424"/>
      <c r="B219" s="424"/>
      <c r="C219" s="424"/>
      <c r="D219" s="424"/>
      <c r="E219" s="424"/>
      <c r="F219" s="424"/>
      <c r="G219" s="424"/>
      <c r="H219" s="424"/>
      <c r="I219" s="424"/>
      <c r="J219" s="424"/>
      <c r="K219" s="424"/>
      <c r="L219" s="424"/>
    </row>
    <row r="220" spans="1:12" x14ac:dyDescent="0.2">
      <c r="A220" s="424"/>
      <c r="B220" s="424"/>
      <c r="C220" s="424"/>
      <c r="D220" s="424"/>
      <c r="E220" s="424"/>
      <c r="F220" s="424"/>
      <c r="G220" s="424"/>
      <c r="H220" s="424"/>
      <c r="I220" s="424"/>
      <c r="J220" s="424"/>
      <c r="K220" s="424"/>
      <c r="L220" s="424"/>
    </row>
    <row r="221" spans="1:12" x14ac:dyDescent="0.2">
      <c r="A221" s="424"/>
      <c r="B221" s="424"/>
      <c r="C221" s="424"/>
      <c r="D221" s="424"/>
      <c r="E221" s="424"/>
      <c r="F221" s="424"/>
      <c r="G221" s="424"/>
      <c r="H221" s="424"/>
      <c r="I221" s="424"/>
      <c r="J221" s="424"/>
      <c r="K221" s="424"/>
      <c r="L221" s="424"/>
    </row>
    <row r="222" spans="1:12" x14ac:dyDescent="0.2">
      <c r="A222" s="424"/>
      <c r="B222" s="424"/>
      <c r="C222" s="424"/>
      <c r="D222" s="424"/>
      <c r="E222" s="424"/>
      <c r="F222" s="424"/>
      <c r="G222" s="424"/>
      <c r="H222" s="424"/>
      <c r="I222" s="424"/>
      <c r="J222" s="424"/>
      <c r="K222" s="424"/>
      <c r="L222" s="424"/>
    </row>
    <row r="223" spans="1:12" x14ac:dyDescent="0.2">
      <c r="A223" s="424"/>
      <c r="B223" s="424"/>
      <c r="C223" s="424"/>
      <c r="D223" s="424"/>
      <c r="E223" s="424"/>
      <c r="F223" s="424"/>
      <c r="G223" s="424"/>
      <c r="H223" s="424"/>
      <c r="I223" s="424"/>
      <c r="J223" s="424"/>
      <c r="K223" s="424"/>
      <c r="L223" s="424"/>
    </row>
    <row r="224" spans="1:12" x14ac:dyDescent="0.2">
      <c r="A224" s="424"/>
      <c r="B224" s="424"/>
      <c r="C224" s="424"/>
      <c r="D224" s="424"/>
      <c r="E224" s="424"/>
      <c r="F224" s="424"/>
      <c r="G224" s="424"/>
      <c r="H224" s="424"/>
      <c r="I224" s="424"/>
      <c r="J224" s="424"/>
      <c r="K224" s="424"/>
      <c r="L224" s="424"/>
    </row>
    <row r="225" spans="1:12" x14ac:dyDescent="0.2">
      <c r="A225" s="424"/>
      <c r="B225" s="424"/>
      <c r="C225" s="424"/>
      <c r="D225" s="424"/>
      <c r="E225" s="424"/>
      <c r="F225" s="424"/>
      <c r="G225" s="424"/>
      <c r="H225" s="424"/>
      <c r="I225" s="424"/>
      <c r="J225" s="424"/>
      <c r="K225" s="424"/>
      <c r="L225" s="424"/>
    </row>
    <row r="226" spans="1:12" x14ac:dyDescent="0.2">
      <c r="A226" s="424"/>
      <c r="B226" s="424"/>
      <c r="C226" s="424"/>
      <c r="D226" s="424"/>
      <c r="E226" s="424"/>
      <c r="F226" s="424"/>
      <c r="G226" s="424"/>
      <c r="H226" s="424"/>
      <c r="I226" s="424"/>
      <c r="J226" s="424"/>
      <c r="K226" s="424"/>
      <c r="L226" s="424"/>
    </row>
    <row r="227" spans="1:12" x14ac:dyDescent="0.2">
      <c r="A227" s="424"/>
      <c r="B227" s="424"/>
      <c r="C227" s="424"/>
      <c r="D227" s="424"/>
      <c r="E227" s="424"/>
      <c r="F227" s="424"/>
      <c r="G227" s="424"/>
      <c r="H227" s="424"/>
      <c r="I227" s="424"/>
      <c r="J227" s="424"/>
      <c r="K227" s="424"/>
      <c r="L227" s="424"/>
    </row>
    <row r="228" spans="1:12" x14ac:dyDescent="0.2">
      <c r="A228" s="424"/>
      <c r="B228" s="424"/>
      <c r="C228" s="424"/>
      <c r="D228" s="424"/>
      <c r="E228" s="424"/>
      <c r="F228" s="424"/>
      <c r="G228" s="424"/>
      <c r="H228" s="424"/>
      <c r="I228" s="424"/>
      <c r="J228" s="424"/>
      <c r="K228" s="424"/>
      <c r="L228" s="424"/>
    </row>
    <row r="229" spans="1:12" x14ac:dyDescent="0.2">
      <c r="A229" s="424"/>
      <c r="B229" s="424"/>
      <c r="C229" s="424"/>
      <c r="D229" s="424"/>
      <c r="E229" s="424"/>
      <c r="F229" s="424"/>
      <c r="G229" s="424"/>
      <c r="H229" s="424"/>
      <c r="I229" s="424"/>
      <c r="J229" s="424"/>
      <c r="K229" s="424"/>
      <c r="L229" s="424"/>
    </row>
    <row r="230" spans="1:12" x14ac:dyDescent="0.2">
      <c r="A230" s="424"/>
      <c r="B230" s="424"/>
      <c r="C230" s="424"/>
      <c r="D230" s="424"/>
      <c r="E230" s="424"/>
      <c r="F230" s="424"/>
      <c r="G230" s="424"/>
      <c r="H230" s="424"/>
      <c r="I230" s="424"/>
      <c r="J230" s="424"/>
      <c r="K230" s="424"/>
      <c r="L230" s="424"/>
    </row>
    <row r="231" spans="1:12" x14ac:dyDescent="0.2">
      <c r="A231" s="424"/>
      <c r="B231" s="424"/>
      <c r="C231" s="424"/>
      <c r="D231" s="424"/>
      <c r="E231" s="424"/>
      <c r="F231" s="424"/>
      <c r="G231" s="424"/>
      <c r="H231" s="424"/>
      <c r="I231" s="424"/>
      <c r="J231" s="424"/>
      <c r="K231" s="424"/>
      <c r="L231" s="424"/>
    </row>
    <row r="232" spans="1:12" x14ac:dyDescent="0.2">
      <c r="A232" s="424"/>
      <c r="B232" s="424"/>
      <c r="C232" s="424"/>
      <c r="D232" s="424"/>
      <c r="E232" s="424"/>
      <c r="F232" s="424"/>
      <c r="G232" s="424"/>
      <c r="H232" s="424"/>
      <c r="I232" s="424"/>
      <c r="J232" s="424"/>
      <c r="K232" s="424"/>
      <c r="L232" s="424"/>
    </row>
    <row r="233" spans="1:12" x14ac:dyDescent="0.2">
      <c r="A233" s="424"/>
      <c r="B233" s="424"/>
      <c r="C233" s="424"/>
      <c r="D233" s="424"/>
      <c r="E233" s="424"/>
      <c r="F233" s="424"/>
      <c r="G233" s="424"/>
      <c r="H233" s="424"/>
      <c r="I233" s="424"/>
      <c r="J233" s="424"/>
      <c r="K233" s="424"/>
      <c r="L233" s="424"/>
    </row>
    <row r="234" spans="1:12" x14ac:dyDescent="0.2">
      <c r="A234" s="424"/>
      <c r="B234" s="424"/>
      <c r="C234" s="424"/>
      <c r="D234" s="424"/>
      <c r="E234" s="424"/>
      <c r="F234" s="424"/>
      <c r="G234" s="424"/>
      <c r="H234" s="424"/>
      <c r="I234" s="424"/>
      <c r="J234" s="424"/>
      <c r="K234" s="424"/>
      <c r="L234" s="424"/>
    </row>
    <row r="235" spans="1:12" x14ac:dyDescent="0.2">
      <c r="A235" s="424"/>
      <c r="B235" s="424"/>
      <c r="C235" s="424"/>
      <c r="D235" s="424"/>
      <c r="E235" s="424"/>
      <c r="F235" s="424"/>
      <c r="G235" s="424"/>
      <c r="H235" s="424"/>
      <c r="I235" s="424"/>
      <c r="J235" s="424"/>
      <c r="K235" s="424"/>
      <c r="L235" s="424"/>
    </row>
    <row r="236" spans="1:12" x14ac:dyDescent="0.2">
      <c r="A236" s="424"/>
      <c r="B236" s="424"/>
      <c r="C236" s="424"/>
      <c r="D236" s="424"/>
      <c r="E236" s="424"/>
      <c r="F236" s="424"/>
      <c r="G236" s="424"/>
      <c r="H236" s="424"/>
      <c r="I236" s="424"/>
      <c r="J236" s="424"/>
      <c r="K236" s="424"/>
      <c r="L236" s="424"/>
    </row>
    <row r="237" spans="1:12" x14ac:dyDescent="0.2">
      <c r="A237" s="424"/>
      <c r="B237" s="424"/>
      <c r="C237" s="424"/>
      <c r="D237" s="424"/>
      <c r="E237" s="424"/>
      <c r="F237" s="424"/>
      <c r="G237" s="424"/>
      <c r="H237" s="424"/>
      <c r="I237" s="424"/>
      <c r="J237" s="424"/>
      <c r="K237" s="424"/>
      <c r="L237" s="424"/>
    </row>
    <row r="238" spans="1:12" x14ac:dyDescent="0.2">
      <c r="A238" s="424"/>
      <c r="B238" s="424"/>
      <c r="C238" s="424"/>
      <c r="D238" s="424"/>
      <c r="E238" s="424"/>
      <c r="F238" s="424"/>
      <c r="G238" s="424"/>
      <c r="H238" s="424"/>
      <c r="I238" s="424"/>
      <c r="J238" s="424"/>
      <c r="K238" s="424"/>
      <c r="L238" s="424"/>
    </row>
    <row r="239" spans="1:12" x14ac:dyDescent="0.2">
      <c r="A239" s="424"/>
      <c r="B239" s="424"/>
      <c r="C239" s="424"/>
      <c r="D239" s="424"/>
      <c r="E239" s="424"/>
      <c r="F239" s="424"/>
      <c r="G239" s="424"/>
      <c r="H239" s="424"/>
      <c r="I239" s="424"/>
      <c r="J239" s="424"/>
      <c r="K239" s="424"/>
      <c r="L239" s="424"/>
    </row>
    <row r="240" spans="1:12" x14ac:dyDescent="0.2">
      <c r="A240" s="424"/>
      <c r="B240" s="424"/>
      <c r="C240" s="424"/>
      <c r="D240" s="424"/>
      <c r="E240" s="424"/>
      <c r="F240" s="424"/>
      <c r="G240" s="424"/>
      <c r="H240" s="424"/>
      <c r="I240" s="424"/>
      <c r="J240" s="424"/>
      <c r="K240" s="424"/>
      <c r="L240" s="424"/>
    </row>
    <row r="241" spans="1:12" x14ac:dyDescent="0.2">
      <c r="A241" s="424"/>
      <c r="B241" s="424"/>
      <c r="C241" s="424"/>
      <c r="D241" s="424"/>
      <c r="E241" s="424"/>
      <c r="F241" s="424"/>
      <c r="G241" s="424"/>
      <c r="H241" s="424"/>
      <c r="I241" s="424"/>
      <c r="J241" s="424"/>
      <c r="K241" s="424"/>
      <c r="L241" s="424"/>
    </row>
    <row r="242" spans="1:12" x14ac:dyDescent="0.2">
      <c r="A242" s="424"/>
      <c r="B242" s="424"/>
      <c r="C242" s="424"/>
      <c r="D242" s="424"/>
      <c r="E242" s="424"/>
      <c r="F242" s="424"/>
      <c r="G242" s="424"/>
      <c r="H242" s="424"/>
      <c r="I242" s="424"/>
      <c r="J242" s="424"/>
      <c r="K242" s="424"/>
      <c r="L242" s="424"/>
    </row>
    <row r="243" spans="1:12" x14ac:dyDescent="0.2">
      <c r="A243" s="424"/>
      <c r="B243" s="424"/>
      <c r="C243" s="424"/>
      <c r="D243" s="424"/>
      <c r="E243" s="424"/>
      <c r="F243" s="424"/>
      <c r="G243" s="424"/>
      <c r="H243" s="424"/>
      <c r="I243" s="424"/>
      <c r="J243" s="424"/>
      <c r="K243" s="424"/>
      <c r="L243" s="424"/>
    </row>
    <row r="244" spans="1:12" x14ac:dyDescent="0.2">
      <c r="A244" s="424"/>
      <c r="B244" s="424"/>
      <c r="C244" s="424"/>
      <c r="D244" s="424"/>
      <c r="E244" s="424"/>
      <c r="F244" s="424"/>
      <c r="G244" s="424"/>
      <c r="H244" s="424"/>
      <c r="I244" s="424"/>
      <c r="J244" s="424"/>
      <c r="K244" s="424"/>
      <c r="L244" s="424"/>
    </row>
    <row r="245" spans="1:12" x14ac:dyDescent="0.2">
      <c r="A245" s="424"/>
      <c r="B245" s="424"/>
      <c r="C245" s="424"/>
      <c r="D245" s="424"/>
      <c r="E245" s="424"/>
      <c r="F245" s="424"/>
      <c r="G245" s="424"/>
      <c r="H245" s="424"/>
      <c r="I245" s="424"/>
      <c r="J245" s="424"/>
      <c r="K245" s="424"/>
      <c r="L245" s="424"/>
    </row>
    <row r="246" spans="1:12" x14ac:dyDescent="0.2">
      <c r="A246" s="424"/>
      <c r="B246" s="424"/>
      <c r="C246" s="424"/>
      <c r="D246" s="424"/>
      <c r="E246" s="424"/>
      <c r="F246" s="424"/>
      <c r="G246" s="424"/>
      <c r="H246" s="424"/>
      <c r="I246" s="424"/>
      <c r="J246" s="424"/>
      <c r="K246" s="424"/>
      <c r="L246" s="424"/>
    </row>
    <row r="247" spans="1:12" x14ac:dyDescent="0.2">
      <c r="A247" s="424"/>
      <c r="B247" s="424"/>
      <c r="C247" s="424"/>
      <c r="D247" s="424"/>
      <c r="E247" s="424"/>
      <c r="F247" s="424"/>
      <c r="G247" s="424"/>
      <c r="H247" s="424"/>
      <c r="I247" s="424"/>
      <c r="J247" s="424"/>
      <c r="K247" s="424"/>
      <c r="L247" s="424"/>
    </row>
    <row r="248" spans="1:12" x14ac:dyDescent="0.2">
      <c r="A248" s="424"/>
      <c r="B248" s="424"/>
      <c r="C248" s="424"/>
      <c r="D248" s="424"/>
      <c r="E248" s="424"/>
      <c r="F248" s="424"/>
      <c r="G248" s="424"/>
      <c r="H248" s="424"/>
      <c r="I248" s="424"/>
      <c r="J248" s="424"/>
      <c r="K248" s="424"/>
      <c r="L248" s="424"/>
    </row>
    <row r="249" spans="1:12" x14ac:dyDescent="0.2">
      <c r="A249" s="424"/>
      <c r="B249" s="424"/>
      <c r="C249" s="424"/>
      <c r="D249" s="424"/>
      <c r="E249" s="424"/>
      <c r="F249" s="424"/>
      <c r="G249" s="424"/>
      <c r="H249" s="424"/>
      <c r="I249" s="424"/>
      <c r="J249" s="424"/>
      <c r="K249" s="424"/>
      <c r="L249" s="424"/>
    </row>
    <row r="250" spans="1:12" x14ac:dyDescent="0.2">
      <c r="A250" s="424"/>
      <c r="B250" s="424"/>
      <c r="C250" s="424"/>
      <c r="D250" s="424"/>
      <c r="E250" s="424"/>
      <c r="F250" s="424"/>
      <c r="G250" s="424"/>
      <c r="H250" s="424"/>
      <c r="I250" s="424"/>
      <c r="J250" s="424"/>
      <c r="K250" s="424"/>
      <c r="L250" s="424"/>
    </row>
    <row r="251" spans="1:12" x14ac:dyDescent="0.2">
      <c r="A251" s="424"/>
      <c r="B251" s="424"/>
      <c r="C251" s="424"/>
      <c r="D251" s="424"/>
      <c r="E251" s="424"/>
      <c r="F251" s="424"/>
      <c r="G251" s="424"/>
      <c r="H251" s="424"/>
      <c r="I251" s="424"/>
      <c r="J251" s="424"/>
      <c r="K251" s="424"/>
      <c r="L251" s="424"/>
    </row>
    <row r="252" spans="1:12" x14ac:dyDescent="0.2">
      <c r="A252" s="424"/>
      <c r="B252" s="424"/>
      <c r="C252" s="424"/>
      <c r="D252" s="424"/>
      <c r="E252" s="424"/>
      <c r="F252" s="424"/>
      <c r="G252" s="424"/>
      <c r="H252" s="424"/>
      <c r="I252" s="424"/>
      <c r="J252" s="424"/>
      <c r="K252" s="424"/>
      <c r="L252" s="424"/>
    </row>
    <row r="253" spans="1:12" x14ac:dyDescent="0.2">
      <c r="A253" s="424"/>
      <c r="B253" s="424"/>
      <c r="C253" s="424"/>
      <c r="D253" s="424"/>
      <c r="E253" s="424"/>
      <c r="F253" s="424"/>
      <c r="G253" s="424"/>
      <c r="H253" s="424"/>
      <c r="I253" s="424"/>
      <c r="J253" s="424"/>
      <c r="K253" s="424"/>
      <c r="L253" s="424"/>
    </row>
    <row r="254" spans="1:12" x14ac:dyDescent="0.2">
      <c r="A254" s="424"/>
      <c r="B254" s="424"/>
      <c r="C254" s="424"/>
      <c r="D254" s="424"/>
      <c r="E254" s="424"/>
      <c r="F254" s="424"/>
      <c r="G254" s="424"/>
      <c r="H254" s="424"/>
      <c r="I254" s="424"/>
      <c r="J254" s="424"/>
      <c r="K254" s="424"/>
      <c r="L254" s="424"/>
    </row>
    <row r="255" spans="1:12" x14ac:dyDescent="0.2">
      <c r="A255" s="424"/>
      <c r="B255" s="424"/>
      <c r="C255" s="424"/>
      <c r="D255" s="424"/>
      <c r="E255" s="424"/>
      <c r="F255" s="424"/>
      <c r="G255" s="424"/>
      <c r="H255" s="424"/>
      <c r="I255" s="424"/>
      <c r="J255" s="424"/>
      <c r="K255" s="424"/>
      <c r="L255" s="424"/>
    </row>
    <row r="256" spans="1:12" x14ac:dyDescent="0.2">
      <c r="A256" s="424"/>
      <c r="B256" s="424"/>
      <c r="C256" s="424"/>
      <c r="D256" s="424"/>
      <c r="E256" s="424"/>
      <c r="F256" s="424"/>
      <c r="G256" s="424"/>
      <c r="H256" s="424"/>
      <c r="I256" s="424"/>
      <c r="J256" s="424"/>
      <c r="K256" s="424"/>
      <c r="L256" s="424"/>
    </row>
    <row r="257" spans="1:12" x14ac:dyDescent="0.2">
      <c r="A257" s="424"/>
      <c r="B257" s="424"/>
      <c r="C257" s="424"/>
      <c r="D257" s="424"/>
      <c r="E257" s="424"/>
      <c r="F257" s="424"/>
      <c r="G257" s="424"/>
      <c r="H257" s="424"/>
      <c r="I257" s="424"/>
      <c r="J257" s="424"/>
      <c r="K257" s="424"/>
      <c r="L257" s="424"/>
    </row>
    <row r="258" spans="1:12" x14ac:dyDescent="0.2">
      <c r="A258" s="424"/>
      <c r="B258" s="424"/>
      <c r="C258" s="424"/>
      <c r="D258" s="424"/>
      <c r="E258" s="424"/>
      <c r="F258" s="424"/>
      <c r="G258" s="424"/>
      <c r="H258" s="424"/>
      <c r="I258" s="424"/>
      <c r="J258" s="424"/>
      <c r="K258" s="424"/>
      <c r="L258" s="424"/>
    </row>
    <row r="259" spans="1:12" x14ac:dyDescent="0.2">
      <c r="A259" s="424"/>
      <c r="B259" s="424"/>
      <c r="C259" s="424"/>
      <c r="D259" s="424"/>
      <c r="E259" s="424"/>
      <c r="F259" s="424"/>
      <c r="G259" s="424"/>
      <c r="H259" s="424"/>
      <c r="I259" s="424"/>
      <c r="J259" s="424"/>
      <c r="K259" s="424"/>
      <c r="L259" s="424"/>
    </row>
    <row r="260" spans="1:12" x14ac:dyDescent="0.2">
      <c r="A260" s="424"/>
      <c r="B260" s="424"/>
      <c r="C260" s="424"/>
      <c r="D260" s="424"/>
      <c r="E260" s="424"/>
      <c r="F260" s="424"/>
      <c r="G260" s="424"/>
      <c r="H260" s="424"/>
      <c r="I260" s="424"/>
      <c r="J260" s="424"/>
      <c r="K260" s="424"/>
      <c r="L260" s="424"/>
    </row>
    <row r="261" spans="1:12" x14ac:dyDescent="0.2">
      <c r="A261" s="424"/>
      <c r="B261" s="424"/>
      <c r="C261" s="424"/>
      <c r="D261" s="424"/>
      <c r="E261" s="424"/>
      <c r="F261" s="424"/>
      <c r="G261" s="424"/>
      <c r="H261" s="424"/>
      <c r="I261" s="424"/>
      <c r="J261" s="424"/>
      <c r="K261" s="424"/>
      <c r="L261" s="424"/>
    </row>
    <row r="262" spans="1:12" x14ac:dyDescent="0.2">
      <c r="A262" s="424"/>
      <c r="B262" s="424"/>
      <c r="C262" s="424"/>
      <c r="D262" s="424"/>
      <c r="E262" s="424"/>
      <c r="F262" s="424"/>
      <c r="G262" s="424"/>
      <c r="H262" s="424"/>
      <c r="I262" s="424"/>
      <c r="J262" s="424"/>
      <c r="K262" s="424"/>
      <c r="L262" s="424"/>
    </row>
    <row r="263" spans="1:12" x14ac:dyDescent="0.2">
      <c r="A263" s="424"/>
      <c r="B263" s="424"/>
      <c r="C263" s="424"/>
      <c r="D263" s="424"/>
      <c r="E263" s="424"/>
      <c r="F263" s="424"/>
      <c r="G263" s="424"/>
      <c r="H263" s="424"/>
      <c r="I263" s="424"/>
      <c r="J263" s="424"/>
      <c r="K263" s="424"/>
      <c r="L263" s="424"/>
    </row>
    <row r="264" spans="1:12" x14ac:dyDescent="0.2">
      <c r="A264" s="424"/>
      <c r="B264" s="424"/>
      <c r="C264" s="424"/>
      <c r="D264" s="424"/>
      <c r="E264" s="424"/>
      <c r="F264" s="424"/>
      <c r="G264" s="424"/>
      <c r="H264" s="424"/>
      <c r="I264" s="424"/>
      <c r="J264" s="424"/>
      <c r="K264" s="424"/>
      <c r="L264" s="424"/>
    </row>
    <row r="265" spans="1:12" x14ac:dyDescent="0.2">
      <c r="A265" s="424"/>
      <c r="B265" s="424"/>
      <c r="C265" s="424"/>
      <c r="D265" s="424"/>
      <c r="E265" s="424"/>
      <c r="F265" s="424"/>
      <c r="G265" s="424"/>
      <c r="H265" s="424"/>
      <c r="I265" s="424"/>
      <c r="J265" s="424"/>
      <c r="K265" s="424"/>
      <c r="L265" s="424"/>
    </row>
    <row r="266" spans="1:12" x14ac:dyDescent="0.2">
      <c r="A266" s="424"/>
      <c r="B266" s="424"/>
      <c r="C266" s="424"/>
      <c r="D266" s="424"/>
      <c r="E266" s="424"/>
      <c r="F266" s="424"/>
      <c r="G266" s="424"/>
      <c r="H266" s="424"/>
      <c r="I266" s="424"/>
      <c r="J266" s="424"/>
      <c r="K266" s="424"/>
      <c r="L266" s="424"/>
    </row>
    <row r="267" spans="1:12" x14ac:dyDescent="0.2">
      <c r="A267" s="424"/>
      <c r="B267" s="424"/>
      <c r="C267" s="424"/>
      <c r="D267" s="424"/>
      <c r="E267" s="424"/>
      <c r="F267" s="424"/>
      <c r="G267" s="424"/>
      <c r="H267" s="424"/>
      <c r="I267" s="424"/>
      <c r="J267" s="424"/>
      <c r="K267" s="424"/>
      <c r="L267" s="424"/>
    </row>
    <row r="268" spans="1:12" x14ac:dyDescent="0.2">
      <c r="A268" s="424"/>
      <c r="B268" s="424"/>
      <c r="C268" s="424"/>
      <c r="D268" s="424"/>
      <c r="E268" s="424"/>
      <c r="F268" s="424"/>
      <c r="G268" s="424"/>
      <c r="H268" s="424"/>
      <c r="I268" s="424"/>
      <c r="J268" s="424"/>
      <c r="K268" s="424"/>
      <c r="L268" s="424"/>
    </row>
    <row r="269" spans="1:12" x14ac:dyDescent="0.2">
      <c r="A269" s="424"/>
      <c r="B269" s="424"/>
      <c r="C269" s="424"/>
      <c r="D269" s="424"/>
      <c r="E269" s="424"/>
      <c r="F269" s="424"/>
      <c r="G269" s="424"/>
      <c r="H269" s="424"/>
      <c r="I269" s="424"/>
      <c r="J269" s="424"/>
      <c r="K269" s="424"/>
      <c r="L269" s="424"/>
    </row>
    <row r="270" spans="1:12" x14ac:dyDescent="0.2">
      <c r="A270" s="424"/>
      <c r="B270" s="424"/>
      <c r="C270" s="424"/>
      <c r="D270" s="424"/>
      <c r="E270" s="424"/>
      <c r="F270" s="424"/>
      <c r="G270" s="424"/>
      <c r="H270" s="424"/>
      <c r="I270" s="424"/>
      <c r="J270" s="424"/>
      <c r="K270" s="424"/>
      <c r="L270" s="424"/>
    </row>
    <row r="271" spans="1:12" x14ac:dyDescent="0.2">
      <c r="A271" s="424"/>
      <c r="B271" s="424"/>
      <c r="C271" s="424"/>
      <c r="D271" s="424"/>
      <c r="E271" s="424"/>
      <c r="F271" s="424"/>
      <c r="G271" s="424"/>
      <c r="H271" s="424"/>
      <c r="I271" s="424"/>
      <c r="J271" s="424"/>
      <c r="K271" s="424"/>
      <c r="L271" s="424"/>
    </row>
    <row r="272" spans="1:12" x14ac:dyDescent="0.2">
      <c r="A272" s="424"/>
      <c r="B272" s="424"/>
      <c r="C272" s="424"/>
      <c r="D272" s="424"/>
      <c r="E272" s="424"/>
      <c r="F272" s="424"/>
      <c r="G272" s="424"/>
      <c r="H272" s="424"/>
      <c r="I272" s="424"/>
      <c r="J272" s="424"/>
      <c r="K272" s="424"/>
      <c r="L272" s="424"/>
    </row>
    <row r="273" spans="1:12" x14ac:dyDescent="0.2">
      <c r="A273" s="424"/>
      <c r="B273" s="424"/>
      <c r="C273" s="424"/>
      <c r="D273" s="424"/>
      <c r="E273" s="424"/>
      <c r="F273" s="424"/>
      <c r="G273" s="424"/>
      <c r="H273" s="424"/>
      <c r="I273" s="424"/>
      <c r="J273" s="424"/>
      <c r="K273" s="424"/>
      <c r="L273" s="424"/>
    </row>
    <row r="274" spans="1:12" x14ac:dyDescent="0.2">
      <c r="A274" s="424"/>
      <c r="B274" s="424"/>
      <c r="C274" s="424"/>
      <c r="D274" s="424"/>
      <c r="E274" s="424"/>
      <c r="F274" s="424"/>
      <c r="G274" s="424"/>
      <c r="H274" s="424"/>
      <c r="I274" s="424"/>
      <c r="J274" s="424"/>
      <c r="K274" s="424"/>
      <c r="L274" s="424"/>
    </row>
    <row r="275" spans="1:12" x14ac:dyDescent="0.2">
      <c r="A275" s="424"/>
      <c r="B275" s="424"/>
      <c r="C275" s="424"/>
      <c r="D275" s="424"/>
      <c r="E275" s="424"/>
      <c r="F275" s="424"/>
      <c r="G275" s="424"/>
      <c r="H275" s="424"/>
      <c r="I275" s="424"/>
      <c r="J275" s="424"/>
      <c r="K275" s="424"/>
      <c r="L275" s="424"/>
    </row>
    <row r="276" spans="1:12" x14ac:dyDescent="0.2">
      <c r="A276" s="424"/>
      <c r="B276" s="424"/>
      <c r="C276" s="424"/>
      <c r="D276" s="424"/>
      <c r="E276" s="424"/>
      <c r="F276" s="424"/>
      <c r="G276" s="424"/>
      <c r="H276" s="424"/>
      <c r="I276" s="424"/>
      <c r="J276" s="424"/>
      <c r="K276" s="424"/>
      <c r="L276" s="424"/>
    </row>
    <row r="277" spans="1:12" x14ac:dyDescent="0.2">
      <c r="A277" s="424"/>
      <c r="B277" s="424"/>
      <c r="C277" s="424"/>
      <c r="D277" s="424"/>
      <c r="E277" s="424"/>
      <c r="F277" s="424"/>
      <c r="G277" s="424"/>
      <c r="H277" s="424"/>
      <c r="I277" s="424"/>
      <c r="J277" s="424"/>
      <c r="K277" s="424"/>
      <c r="L277" s="424"/>
    </row>
    <row r="278" spans="1:12" x14ac:dyDescent="0.2">
      <c r="A278" s="424"/>
      <c r="B278" s="424"/>
      <c r="C278" s="424"/>
      <c r="D278" s="424"/>
      <c r="E278" s="424"/>
      <c r="F278" s="424"/>
      <c r="G278" s="424"/>
      <c r="H278" s="424"/>
      <c r="I278" s="424"/>
      <c r="J278" s="424"/>
      <c r="K278" s="424"/>
      <c r="L278" s="424"/>
    </row>
    <row r="279" spans="1:12" x14ac:dyDescent="0.2">
      <c r="A279" s="424"/>
      <c r="B279" s="424"/>
      <c r="C279" s="424"/>
      <c r="D279" s="424"/>
      <c r="E279" s="424"/>
      <c r="F279" s="424"/>
      <c r="G279" s="424"/>
      <c r="H279" s="424"/>
      <c r="I279" s="424"/>
      <c r="J279" s="424"/>
      <c r="K279" s="424"/>
      <c r="L279" s="424"/>
    </row>
    <row r="280" spans="1:12" x14ac:dyDescent="0.2">
      <c r="A280" s="424"/>
      <c r="B280" s="424"/>
      <c r="C280" s="424"/>
      <c r="D280" s="424"/>
      <c r="E280" s="424"/>
      <c r="F280" s="424"/>
      <c r="G280" s="424"/>
      <c r="H280" s="424"/>
      <c r="I280" s="424"/>
      <c r="J280" s="424"/>
      <c r="K280" s="424"/>
      <c r="L280" s="424"/>
    </row>
    <row r="281" spans="1:12" x14ac:dyDescent="0.2">
      <c r="A281" s="424"/>
      <c r="B281" s="424"/>
      <c r="C281" s="424"/>
      <c r="D281" s="424"/>
      <c r="E281" s="424"/>
      <c r="F281" s="424"/>
      <c r="G281" s="424"/>
      <c r="H281" s="424"/>
      <c r="I281" s="424"/>
      <c r="J281" s="424"/>
      <c r="K281" s="424"/>
      <c r="L281" s="424"/>
    </row>
    <row r="282" spans="1:12" x14ac:dyDescent="0.2">
      <c r="A282" s="424"/>
      <c r="B282" s="424"/>
      <c r="C282" s="424"/>
      <c r="D282" s="424"/>
      <c r="E282" s="424"/>
      <c r="F282" s="424"/>
      <c r="G282" s="424"/>
      <c r="H282" s="424"/>
      <c r="I282" s="424"/>
      <c r="J282" s="424"/>
      <c r="K282" s="424"/>
      <c r="L282" s="424"/>
    </row>
    <row r="283" spans="1:12" x14ac:dyDescent="0.2">
      <c r="A283" s="424"/>
      <c r="B283" s="424"/>
      <c r="C283" s="424"/>
      <c r="D283" s="424"/>
      <c r="E283" s="424"/>
      <c r="F283" s="424"/>
      <c r="G283" s="424"/>
      <c r="H283" s="424"/>
      <c r="I283" s="424"/>
      <c r="J283" s="424"/>
      <c r="K283" s="424"/>
      <c r="L283" s="424"/>
    </row>
    <row r="284" spans="1:12" x14ac:dyDescent="0.2">
      <c r="A284" s="424"/>
      <c r="B284" s="424"/>
      <c r="C284" s="424"/>
      <c r="D284" s="424"/>
      <c r="E284" s="424"/>
      <c r="F284" s="424"/>
      <c r="G284" s="424"/>
      <c r="H284" s="424"/>
      <c r="I284" s="424"/>
      <c r="J284" s="424"/>
      <c r="K284" s="424"/>
      <c r="L284" s="424"/>
    </row>
    <row r="285" spans="1:12" x14ac:dyDescent="0.2">
      <c r="A285" s="424"/>
      <c r="B285" s="424"/>
      <c r="C285" s="424"/>
      <c r="D285" s="424"/>
      <c r="E285" s="424"/>
      <c r="F285" s="424"/>
      <c r="G285" s="424"/>
      <c r="H285" s="424"/>
      <c r="I285" s="424"/>
      <c r="J285" s="424"/>
      <c r="K285" s="424"/>
      <c r="L285" s="424"/>
    </row>
    <row r="286" spans="1:12" x14ac:dyDescent="0.2">
      <c r="A286" s="424"/>
      <c r="B286" s="424"/>
      <c r="C286" s="424"/>
      <c r="D286" s="424"/>
      <c r="E286" s="424"/>
      <c r="F286" s="424"/>
      <c r="G286" s="424"/>
      <c r="H286" s="424"/>
      <c r="I286" s="424"/>
      <c r="J286" s="424"/>
      <c r="K286" s="424"/>
      <c r="L286" s="424"/>
    </row>
    <row r="287" spans="1:12" x14ac:dyDescent="0.2">
      <c r="A287" s="424"/>
      <c r="B287" s="424"/>
      <c r="C287" s="424"/>
      <c r="D287" s="424"/>
      <c r="E287" s="424"/>
      <c r="F287" s="424"/>
      <c r="G287" s="424"/>
      <c r="H287" s="424"/>
      <c r="I287" s="424"/>
      <c r="J287" s="424"/>
      <c r="K287" s="424"/>
      <c r="L287" s="424"/>
    </row>
    <row r="288" spans="1:12" x14ac:dyDescent="0.2">
      <c r="A288" s="424"/>
      <c r="B288" s="424"/>
      <c r="C288" s="424"/>
      <c r="D288" s="424"/>
      <c r="E288" s="424"/>
      <c r="F288" s="424"/>
      <c r="G288" s="424"/>
      <c r="H288" s="424"/>
      <c r="I288" s="424"/>
      <c r="J288" s="424"/>
      <c r="K288" s="424"/>
      <c r="L288" s="424"/>
    </row>
    <row r="289" spans="1:12" x14ac:dyDescent="0.2">
      <c r="A289" s="424"/>
      <c r="B289" s="424"/>
      <c r="C289" s="424"/>
      <c r="D289" s="424"/>
      <c r="E289" s="424"/>
      <c r="F289" s="424"/>
      <c r="G289" s="424"/>
      <c r="H289" s="424"/>
      <c r="I289" s="424"/>
      <c r="J289" s="424"/>
      <c r="K289" s="424"/>
      <c r="L289" s="424"/>
    </row>
    <row r="290" spans="1:12" x14ac:dyDescent="0.2">
      <c r="A290" s="424"/>
      <c r="B290" s="424"/>
      <c r="C290" s="424"/>
      <c r="D290" s="424"/>
      <c r="E290" s="424"/>
      <c r="F290" s="424"/>
      <c r="G290" s="424"/>
      <c r="H290" s="424"/>
      <c r="I290" s="424"/>
      <c r="J290" s="424"/>
      <c r="K290" s="424"/>
      <c r="L290" s="424"/>
    </row>
    <row r="291" spans="1:12" x14ac:dyDescent="0.2">
      <c r="A291" s="424"/>
      <c r="B291" s="424"/>
      <c r="C291" s="424"/>
      <c r="D291" s="424"/>
      <c r="E291" s="424"/>
      <c r="F291" s="424"/>
      <c r="G291" s="424"/>
      <c r="H291" s="424"/>
      <c r="I291" s="424"/>
      <c r="J291" s="424"/>
      <c r="K291" s="424"/>
      <c r="L291" s="424"/>
    </row>
    <row r="292" spans="1:12" x14ac:dyDescent="0.2">
      <c r="A292" s="424"/>
      <c r="B292" s="424"/>
      <c r="C292" s="424"/>
      <c r="D292" s="424"/>
      <c r="E292" s="424"/>
      <c r="F292" s="424"/>
      <c r="G292" s="424"/>
      <c r="H292" s="424"/>
      <c r="I292" s="424"/>
      <c r="J292" s="424"/>
      <c r="K292" s="424"/>
      <c r="L292" s="424"/>
    </row>
    <row r="293" spans="1:12" x14ac:dyDescent="0.2">
      <c r="A293" s="424"/>
      <c r="B293" s="424"/>
      <c r="C293" s="424"/>
      <c r="D293" s="424"/>
      <c r="E293" s="424"/>
      <c r="F293" s="424"/>
      <c r="G293" s="424"/>
      <c r="H293" s="424"/>
      <c r="I293" s="424"/>
      <c r="J293" s="424"/>
      <c r="K293" s="424"/>
      <c r="L293" s="424"/>
    </row>
    <row r="294" spans="1:12" x14ac:dyDescent="0.2">
      <c r="A294" s="424"/>
      <c r="B294" s="424"/>
      <c r="C294" s="424"/>
      <c r="D294" s="424"/>
      <c r="E294" s="424"/>
      <c r="F294" s="424"/>
      <c r="G294" s="424"/>
      <c r="H294" s="424"/>
      <c r="I294" s="424"/>
      <c r="J294" s="424"/>
      <c r="K294" s="424"/>
      <c r="L294" s="424"/>
    </row>
    <row r="295" spans="1:12" x14ac:dyDescent="0.2">
      <c r="A295" s="424"/>
      <c r="B295" s="424"/>
      <c r="C295" s="424"/>
      <c r="D295" s="424"/>
      <c r="E295" s="424"/>
      <c r="F295" s="424"/>
      <c r="G295" s="424"/>
      <c r="H295" s="424"/>
      <c r="I295" s="424"/>
      <c r="J295" s="424"/>
      <c r="K295" s="424"/>
      <c r="L295" s="424"/>
    </row>
    <row r="296" spans="1:12" x14ac:dyDescent="0.2">
      <c r="A296" s="424"/>
      <c r="B296" s="424"/>
      <c r="C296" s="424"/>
      <c r="D296" s="424"/>
      <c r="E296" s="424"/>
      <c r="F296" s="424"/>
      <c r="G296" s="424"/>
      <c r="H296" s="424"/>
      <c r="I296" s="424"/>
      <c r="J296" s="424"/>
      <c r="K296" s="424"/>
      <c r="L296" s="424"/>
    </row>
    <row r="297" spans="1:12" x14ac:dyDescent="0.2">
      <c r="A297" s="424"/>
      <c r="B297" s="424"/>
      <c r="C297" s="424"/>
      <c r="D297" s="424"/>
      <c r="E297" s="424"/>
      <c r="F297" s="424"/>
      <c r="G297" s="424"/>
      <c r="H297" s="424"/>
      <c r="I297" s="424"/>
      <c r="J297" s="424"/>
      <c r="K297" s="424"/>
      <c r="L297" s="424"/>
    </row>
    <row r="298" spans="1:12" x14ac:dyDescent="0.2">
      <c r="A298" s="424"/>
      <c r="B298" s="424"/>
      <c r="C298" s="424"/>
      <c r="D298" s="424"/>
      <c r="E298" s="424"/>
      <c r="F298" s="424"/>
      <c r="G298" s="424"/>
      <c r="H298" s="424"/>
      <c r="I298" s="424"/>
      <c r="J298" s="424"/>
      <c r="K298" s="424"/>
      <c r="L298" s="424"/>
    </row>
    <row r="299" spans="1:12" x14ac:dyDescent="0.2">
      <c r="A299" s="424"/>
      <c r="B299" s="424"/>
      <c r="C299" s="424"/>
      <c r="D299" s="424"/>
      <c r="E299" s="424"/>
      <c r="F299" s="424"/>
      <c r="G299" s="424"/>
      <c r="H299" s="424"/>
      <c r="I299" s="424"/>
      <c r="J299" s="424"/>
      <c r="K299" s="424"/>
      <c r="L299" s="424"/>
    </row>
    <row r="300" spans="1:12" x14ac:dyDescent="0.2">
      <c r="A300" s="424"/>
      <c r="B300" s="424"/>
      <c r="C300" s="424"/>
      <c r="D300" s="424"/>
      <c r="E300" s="424"/>
      <c r="F300" s="424"/>
      <c r="G300" s="424"/>
      <c r="H300" s="424"/>
      <c r="I300" s="424"/>
      <c r="J300" s="424"/>
      <c r="K300" s="424"/>
      <c r="L300" s="424"/>
    </row>
    <row r="301" spans="1:12" x14ac:dyDescent="0.2">
      <c r="A301" s="424"/>
      <c r="B301" s="424"/>
      <c r="C301" s="424"/>
      <c r="D301" s="424"/>
      <c r="E301" s="424"/>
      <c r="F301" s="424"/>
      <c r="G301" s="424"/>
      <c r="H301" s="424"/>
      <c r="I301" s="424"/>
      <c r="J301" s="424"/>
      <c r="K301" s="424"/>
      <c r="L301" s="424"/>
    </row>
    <row r="302" spans="1:12" x14ac:dyDescent="0.2">
      <c r="A302" s="424"/>
      <c r="B302" s="424"/>
      <c r="C302" s="424"/>
      <c r="D302" s="424"/>
      <c r="E302" s="424"/>
      <c r="F302" s="424"/>
      <c r="G302" s="424"/>
      <c r="H302" s="424"/>
      <c r="I302" s="424"/>
      <c r="J302" s="424"/>
      <c r="K302" s="424"/>
      <c r="L302" s="424"/>
    </row>
    <row r="303" spans="1:12" x14ac:dyDescent="0.2">
      <c r="A303" s="424"/>
      <c r="B303" s="424"/>
      <c r="C303" s="424"/>
      <c r="D303" s="424"/>
      <c r="E303" s="424"/>
      <c r="F303" s="424"/>
      <c r="G303" s="424"/>
      <c r="H303" s="424"/>
      <c r="I303" s="424"/>
      <c r="J303" s="424"/>
      <c r="K303" s="424"/>
      <c r="L303" s="424"/>
    </row>
    <row r="304" spans="1:12" x14ac:dyDescent="0.2">
      <c r="A304" s="424"/>
      <c r="B304" s="424"/>
      <c r="C304" s="424"/>
      <c r="D304" s="424"/>
      <c r="E304" s="424"/>
      <c r="F304" s="424"/>
      <c r="G304" s="424"/>
      <c r="H304" s="424"/>
      <c r="I304" s="424"/>
      <c r="J304" s="424"/>
      <c r="K304" s="424"/>
      <c r="L304" s="424"/>
    </row>
    <row r="305" spans="1:12" x14ac:dyDescent="0.2">
      <c r="A305" s="424"/>
      <c r="B305" s="424"/>
      <c r="C305" s="424"/>
      <c r="D305" s="424"/>
      <c r="E305" s="424"/>
      <c r="F305" s="424"/>
      <c r="G305" s="424"/>
      <c r="H305" s="424"/>
      <c r="I305" s="424"/>
      <c r="J305" s="424"/>
      <c r="K305" s="424"/>
      <c r="L305" s="424"/>
    </row>
    <row r="306" spans="1:12" x14ac:dyDescent="0.2">
      <c r="A306" s="424"/>
      <c r="B306" s="424"/>
      <c r="C306" s="424"/>
      <c r="D306" s="424"/>
      <c r="E306" s="424"/>
      <c r="F306" s="424"/>
      <c r="G306" s="424"/>
      <c r="H306" s="424"/>
      <c r="I306" s="424"/>
      <c r="J306" s="424"/>
      <c r="K306" s="424"/>
      <c r="L306" s="424"/>
    </row>
    <row r="307" spans="1:12" x14ac:dyDescent="0.2">
      <c r="A307" s="424"/>
      <c r="B307" s="424"/>
      <c r="C307" s="424"/>
      <c r="D307" s="424"/>
      <c r="E307" s="424"/>
      <c r="F307" s="424"/>
      <c r="G307" s="424"/>
      <c r="H307" s="424"/>
      <c r="I307" s="424"/>
      <c r="J307" s="424"/>
      <c r="K307" s="424"/>
      <c r="L307" s="424"/>
    </row>
    <row r="308" spans="1:12" x14ac:dyDescent="0.2">
      <c r="A308" s="424"/>
      <c r="B308" s="424"/>
      <c r="C308" s="424"/>
      <c r="D308" s="424"/>
      <c r="E308" s="424"/>
      <c r="F308" s="424"/>
      <c r="G308" s="424"/>
      <c r="H308" s="424"/>
      <c r="I308" s="424"/>
      <c r="J308" s="424"/>
      <c r="K308" s="424"/>
      <c r="L308" s="424"/>
    </row>
    <row r="309" spans="1:12" x14ac:dyDescent="0.2">
      <c r="A309" s="424"/>
      <c r="B309" s="424"/>
      <c r="C309" s="424"/>
      <c r="D309" s="424"/>
      <c r="E309" s="424"/>
      <c r="F309" s="424"/>
      <c r="G309" s="424"/>
      <c r="H309" s="424"/>
      <c r="I309" s="424"/>
      <c r="J309" s="424"/>
      <c r="K309" s="424"/>
      <c r="L309" s="424"/>
    </row>
    <row r="310" spans="1:12" x14ac:dyDescent="0.2">
      <c r="A310" s="424"/>
      <c r="B310" s="424"/>
      <c r="C310" s="424"/>
      <c r="D310" s="424"/>
      <c r="E310" s="424"/>
      <c r="F310" s="424"/>
      <c r="G310" s="424"/>
      <c r="H310" s="424"/>
      <c r="I310" s="424"/>
      <c r="J310" s="424"/>
      <c r="K310" s="424"/>
      <c r="L310" s="424"/>
    </row>
    <row r="311" spans="1:12" x14ac:dyDescent="0.2">
      <c r="A311" s="424"/>
      <c r="B311" s="424"/>
      <c r="C311" s="424"/>
      <c r="D311" s="424"/>
      <c r="E311" s="424"/>
      <c r="F311" s="424"/>
      <c r="G311" s="424"/>
      <c r="H311" s="424"/>
      <c r="I311" s="424"/>
      <c r="J311" s="424"/>
      <c r="K311" s="424"/>
      <c r="L311" s="424"/>
    </row>
    <row r="312" spans="1:12" x14ac:dyDescent="0.2">
      <c r="A312" s="424"/>
      <c r="B312" s="424"/>
      <c r="C312" s="424"/>
      <c r="D312" s="424"/>
      <c r="E312" s="424"/>
      <c r="F312" s="424"/>
      <c r="G312" s="424"/>
      <c r="H312" s="424"/>
      <c r="I312" s="424"/>
      <c r="J312" s="424"/>
      <c r="K312" s="424"/>
      <c r="L312" s="424"/>
    </row>
    <row r="313" spans="1:12" x14ac:dyDescent="0.2">
      <c r="A313" s="424"/>
      <c r="B313" s="424"/>
      <c r="C313" s="424"/>
      <c r="D313" s="424"/>
      <c r="E313" s="424"/>
      <c r="F313" s="424"/>
      <c r="G313" s="424"/>
      <c r="H313" s="424"/>
      <c r="I313" s="424"/>
      <c r="J313" s="424"/>
      <c r="K313" s="424"/>
      <c r="L313" s="424"/>
    </row>
    <row r="314" spans="1:12" x14ac:dyDescent="0.2">
      <c r="A314" s="424"/>
      <c r="B314" s="424"/>
      <c r="C314" s="424"/>
      <c r="D314" s="424"/>
      <c r="E314" s="424"/>
      <c r="F314" s="424"/>
      <c r="G314" s="424"/>
      <c r="H314" s="424"/>
      <c r="I314" s="424"/>
      <c r="J314" s="424"/>
      <c r="K314" s="424"/>
      <c r="L314" s="424"/>
    </row>
    <row r="315" spans="1:12" x14ac:dyDescent="0.2">
      <c r="A315" s="424"/>
      <c r="B315" s="424"/>
      <c r="C315" s="424"/>
      <c r="D315" s="424"/>
      <c r="E315" s="424"/>
      <c r="F315" s="424"/>
      <c r="G315" s="424"/>
      <c r="H315" s="424"/>
      <c r="I315" s="424"/>
      <c r="J315" s="424"/>
      <c r="K315" s="424"/>
      <c r="L315" s="424"/>
    </row>
    <row r="316" spans="1:12" x14ac:dyDescent="0.2">
      <c r="A316" s="424"/>
      <c r="B316" s="424"/>
      <c r="C316" s="424"/>
      <c r="D316" s="424"/>
      <c r="E316" s="424"/>
      <c r="F316" s="424"/>
      <c r="G316" s="424"/>
      <c r="H316" s="424"/>
      <c r="I316" s="424"/>
      <c r="J316" s="424"/>
      <c r="K316" s="424"/>
      <c r="L316" s="424"/>
    </row>
    <row r="317" spans="1:12" x14ac:dyDescent="0.2">
      <c r="A317" s="424"/>
      <c r="B317" s="424"/>
      <c r="C317" s="424"/>
      <c r="D317" s="424"/>
      <c r="E317" s="424"/>
      <c r="F317" s="424"/>
      <c r="G317" s="424"/>
      <c r="H317" s="424"/>
      <c r="I317" s="424"/>
      <c r="J317" s="424"/>
      <c r="K317" s="424"/>
      <c r="L317" s="424"/>
    </row>
    <row r="318" spans="1:12" x14ac:dyDescent="0.2">
      <c r="A318" s="424"/>
      <c r="B318" s="424"/>
      <c r="C318" s="424"/>
      <c r="D318" s="424"/>
      <c r="E318" s="424"/>
      <c r="F318" s="424"/>
      <c r="G318" s="424"/>
      <c r="H318" s="424"/>
      <c r="I318" s="424"/>
      <c r="J318" s="424"/>
      <c r="K318" s="424"/>
      <c r="L318" s="424"/>
    </row>
    <row r="319" spans="1:12" x14ac:dyDescent="0.2">
      <c r="A319" s="424"/>
      <c r="B319" s="424"/>
      <c r="C319" s="424"/>
      <c r="D319" s="424"/>
      <c r="E319" s="424"/>
      <c r="F319" s="424"/>
      <c r="G319" s="424"/>
      <c r="H319" s="424"/>
      <c r="I319" s="424"/>
      <c r="J319" s="424"/>
      <c r="K319" s="424"/>
      <c r="L319" s="424"/>
    </row>
    <row r="320" spans="1:12" x14ac:dyDescent="0.2">
      <c r="A320" s="424"/>
      <c r="B320" s="424"/>
      <c r="C320" s="424"/>
      <c r="D320" s="424"/>
      <c r="E320" s="424"/>
      <c r="F320" s="424"/>
      <c r="G320" s="424"/>
      <c r="H320" s="424"/>
      <c r="I320" s="424"/>
      <c r="J320" s="424"/>
      <c r="K320" s="424"/>
      <c r="L320" s="424"/>
    </row>
    <row r="321" spans="1:12" x14ac:dyDescent="0.2">
      <c r="A321" s="424"/>
      <c r="B321" s="424"/>
      <c r="C321" s="424"/>
      <c r="D321" s="424"/>
      <c r="E321" s="424"/>
      <c r="F321" s="424"/>
      <c r="G321" s="424"/>
      <c r="H321" s="424"/>
      <c r="I321" s="424"/>
      <c r="J321" s="424"/>
      <c r="K321" s="424"/>
      <c r="L321" s="424"/>
    </row>
    <row r="322" spans="1:12" x14ac:dyDescent="0.2">
      <c r="A322" s="424"/>
      <c r="B322" s="424"/>
      <c r="C322" s="424"/>
      <c r="D322" s="424"/>
      <c r="E322" s="424"/>
      <c r="F322" s="424"/>
      <c r="G322" s="424"/>
      <c r="H322" s="424"/>
      <c r="I322" s="424"/>
      <c r="J322" s="424"/>
      <c r="K322" s="424"/>
      <c r="L322" s="424"/>
    </row>
    <row r="323" spans="1:12" x14ac:dyDescent="0.2">
      <c r="A323" s="424"/>
      <c r="B323" s="424"/>
      <c r="C323" s="424"/>
      <c r="D323" s="424"/>
      <c r="E323" s="424"/>
      <c r="F323" s="424"/>
      <c r="G323" s="424"/>
      <c r="H323" s="424"/>
      <c r="I323" s="424"/>
      <c r="J323" s="424"/>
      <c r="K323" s="424"/>
      <c r="L323" s="424"/>
    </row>
    <row r="324" spans="1:12" x14ac:dyDescent="0.2">
      <c r="A324" s="424"/>
      <c r="B324" s="424"/>
      <c r="C324" s="424"/>
      <c r="D324" s="424"/>
      <c r="E324" s="424"/>
      <c r="F324" s="424"/>
      <c r="G324" s="424"/>
      <c r="H324" s="424"/>
      <c r="I324" s="424"/>
      <c r="J324" s="424"/>
      <c r="K324" s="424"/>
      <c r="L324" s="424"/>
    </row>
    <row r="325" spans="1:12" x14ac:dyDescent="0.2">
      <c r="A325" s="424"/>
      <c r="B325" s="424"/>
      <c r="C325" s="424"/>
      <c r="D325" s="424"/>
      <c r="E325" s="424"/>
      <c r="F325" s="424"/>
      <c r="G325" s="424"/>
      <c r="H325" s="424"/>
      <c r="I325" s="424"/>
      <c r="J325" s="424"/>
      <c r="K325" s="424"/>
      <c r="L325" s="424"/>
    </row>
    <row r="326" spans="1:12" x14ac:dyDescent="0.2">
      <c r="A326" s="424"/>
      <c r="B326" s="424"/>
      <c r="C326" s="424"/>
      <c r="D326" s="424"/>
      <c r="E326" s="424"/>
      <c r="F326" s="424"/>
      <c r="G326" s="424"/>
      <c r="H326" s="424"/>
      <c r="I326" s="424"/>
      <c r="J326" s="424"/>
      <c r="K326" s="424"/>
      <c r="L326" s="424"/>
    </row>
    <row r="327" spans="1:12" x14ac:dyDescent="0.2">
      <c r="A327" s="424"/>
      <c r="B327" s="424"/>
      <c r="C327" s="424"/>
      <c r="D327" s="424"/>
      <c r="E327" s="424"/>
      <c r="F327" s="424"/>
      <c r="G327" s="424"/>
      <c r="H327" s="424"/>
      <c r="I327" s="424"/>
      <c r="J327" s="424"/>
      <c r="K327" s="424"/>
      <c r="L327" s="424"/>
    </row>
    <row r="328" spans="1:12" x14ac:dyDescent="0.2">
      <c r="A328" s="424"/>
      <c r="B328" s="424"/>
      <c r="C328" s="424"/>
      <c r="D328" s="424"/>
      <c r="E328" s="424"/>
      <c r="F328" s="424"/>
      <c r="G328" s="424"/>
      <c r="H328" s="424"/>
      <c r="I328" s="424"/>
      <c r="J328" s="424"/>
      <c r="K328" s="424"/>
      <c r="L328" s="424"/>
    </row>
    <row r="329" spans="1:12" x14ac:dyDescent="0.2">
      <c r="A329" s="424"/>
      <c r="B329" s="424"/>
      <c r="C329" s="424"/>
      <c r="D329" s="424"/>
      <c r="E329" s="424"/>
      <c r="F329" s="424"/>
      <c r="G329" s="424"/>
      <c r="H329" s="424"/>
      <c r="I329" s="424"/>
      <c r="J329" s="424"/>
      <c r="K329" s="424"/>
      <c r="L329" s="424"/>
    </row>
    <row r="330" spans="1:12" x14ac:dyDescent="0.2">
      <c r="A330" s="424"/>
      <c r="B330" s="424"/>
      <c r="C330" s="424"/>
      <c r="D330" s="424"/>
      <c r="E330" s="424"/>
      <c r="F330" s="424"/>
      <c r="G330" s="424"/>
      <c r="H330" s="424"/>
      <c r="I330" s="424"/>
      <c r="J330" s="424"/>
      <c r="K330" s="424"/>
      <c r="L330" s="424"/>
    </row>
    <row r="331" spans="1:12" x14ac:dyDescent="0.2">
      <c r="A331" s="424"/>
      <c r="B331" s="424"/>
      <c r="C331" s="424"/>
      <c r="D331" s="424"/>
      <c r="E331" s="424"/>
      <c r="F331" s="424"/>
      <c r="G331" s="424"/>
      <c r="H331" s="424"/>
      <c r="I331" s="424"/>
      <c r="J331" s="424"/>
      <c r="K331" s="424"/>
      <c r="L331" s="424"/>
    </row>
    <row r="332" spans="1:12" x14ac:dyDescent="0.2">
      <c r="A332" s="424"/>
      <c r="B332" s="424"/>
      <c r="C332" s="424"/>
      <c r="D332" s="424"/>
      <c r="E332" s="424"/>
      <c r="F332" s="424"/>
      <c r="G332" s="424"/>
      <c r="H332" s="424"/>
      <c r="I332" s="424"/>
      <c r="J332" s="424"/>
      <c r="K332" s="424"/>
      <c r="L332" s="424"/>
    </row>
    <row r="333" spans="1:12" x14ac:dyDescent="0.2">
      <c r="A333" s="424"/>
      <c r="B333" s="424"/>
      <c r="C333" s="424"/>
      <c r="D333" s="424"/>
      <c r="E333" s="424"/>
      <c r="F333" s="424"/>
      <c r="G333" s="424"/>
      <c r="H333" s="424"/>
      <c r="I333" s="424"/>
      <c r="J333" s="424"/>
      <c r="K333" s="424"/>
      <c r="L333" s="424"/>
    </row>
    <row r="334" spans="1:12" x14ac:dyDescent="0.2">
      <c r="A334" s="424"/>
      <c r="B334" s="424"/>
      <c r="C334" s="424"/>
      <c r="D334" s="424"/>
      <c r="E334" s="424"/>
      <c r="F334" s="424"/>
      <c r="G334" s="424"/>
      <c r="H334" s="424"/>
      <c r="I334" s="424"/>
      <c r="J334" s="424"/>
      <c r="K334" s="424"/>
      <c r="L334" s="424"/>
    </row>
    <row r="335" spans="1:12" x14ac:dyDescent="0.2">
      <c r="A335" s="424"/>
      <c r="B335" s="424"/>
      <c r="C335" s="424"/>
      <c r="D335" s="424"/>
      <c r="E335" s="424"/>
      <c r="F335" s="424"/>
      <c r="G335" s="424"/>
      <c r="H335" s="424"/>
      <c r="I335" s="424"/>
      <c r="J335" s="424"/>
      <c r="K335" s="424"/>
      <c r="L335" s="424"/>
    </row>
    <row r="336" spans="1:12" x14ac:dyDescent="0.2">
      <c r="A336" s="424"/>
      <c r="B336" s="424"/>
      <c r="C336" s="424"/>
      <c r="D336" s="424"/>
      <c r="E336" s="424"/>
      <c r="F336" s="424"/>
      <c r="G336" s="424"/>
      <c r="H336" s="424"/>
      <c r="I336" s="424"/>
      <c r="J336" s="424"/>
      <c r="K336" s="424"/>
      <c r="L336" s="424"/>
    </row>
    <row r="337" spans="1:12" x14ac:dyDescent="0.2">
      <c r="A337" s="424"/>
      <c r="B337" s="424"/>
      <c r="C337" s="424"/>
      <c r="D337" s="424"/>
      <c r="E337" s="424"/>
      <c r="F337" s="424"/>
      <c r="G337" s="424"/>
      <c r="H337" s="424"/>
      <c r="I337" s="424"/>
      <c r="J337" s="424"/>
      <c r="K337" s="424"/>
      <c r="L337" s="424"/>
    </row>
    <row r="338" spans="1:12" x14ac:dyDescent="0.2">
      <c r="A338" s="424"/>
      <c r="B338" s="424"/>
      <c r="C338" s="424"/>
      <c r="D338" s="424"/>
      <c r="E338" s="424"/>
      <c r="F338" s="424"/>
      <c r="G338" s="424"/>
      <c r="H338" s="424"/>
      <c r="I338" s="424"/>
      <c r="J338" s="424"/>
      <c r="K338" s="424"/>
      <c r="L338" s="424"/>
    </row>
    <row r="339" spans="1:12" x14ac:dyDescent="0.2">
      <c r="A339" s="424"/>
      <c r="B339" s="424"/>
      <c r="C339" s="424"/>
      <c r="D339" s="424"/>
      <c r="E339" s="424"/>
      <c r="F339" s="424"/>
      <c r="G339" s="424"/>
      <c r="H339" s="424"/>
      <c r="I339" s="424"/>
      <c r="J339" s="424"/>
      <c r="K339" s="424"/>
      <c r="L339" s="424"/>
    </row>
    <row r="340" spans="1:12" x14ac:dyDescent="0.2">
      <c r="A340" s="424"/>
      <c r="B340" s="424"/>
      <c r="C340" s="424"/>
      <c r="D340" s="424"/>
      <c r="E340" s="424"/>
      <c r="F340" s="424"/>
      <c r="G340" s="424"/>
      <c r="H340" s="424"/>
      <c r="I340" s="424"/>
      <c r="J340" s="424"/>
      <c r="K340" s="424"/>
      <c r="L340" s="424"/>
    </row>
    <row r="341" spans="1:12" x14ac:dyDescent="0.2">
      <c r="A341" s="424"/>
      <c r="B341" s="424"/>
      <c r="C341" s="424"/>
      <c r="D341" s="424"/>
      <c r="E341" s="424"/>
      <c r="F341" s="424"/>
      <c r="G341" s="424"/>
      <c r="H341" s="424"/>
      <c r="I341" s="424"/>
      <c r="J341" s="424"/>
      <c r="K341" s="424"/>
      <c r="L341" s="424"/>
    </row>
    <row r="342" spans="1:12" x14ac:dyDescent="0.2">
      <c r="A342" s="424"/>
      <c r="B342" s="424"/>
      <c r="C342" s="424"/>
      <c r="D342" s="424"/>
      <c r="E342" s="424"/>
      <c r="F342" s="424"/>
      <c r="G342" s="424"/>
      <c r="H342" s="424"/>
      <c r="I342" s="424"/>
      <c r="J342" s="424"/>
      <c r="K342" s="424"/>
      <c r="L342" s="424"/>
    </row>
    <row r="343" spans="1:12" x14ac:dyDescent="0.2">
      <c r="A343" s="424"/>
      <c r="B343" s="424"/>
      <c r="C343" s="424"/>
      <c r="D343" s="424"/>
      <c r="E343" s="424"/>
      <c r="F343" s="424"/>
      <c r="G343" s="424"/>
      <c r="H343" s="424"/>
      <c r="I343" s="424"/>
      <c r="J343" s="424"/>
      <c r="K343" s="424"/>
      <c r="L343" s="424"/>
    </row>
    <row r="344" spans="1:12" x14ac:dyDescent="0.2">
      <c r="A344" s="424"/>
      <c r="B344" s="424"/>
      <c r="C344" s="424"/>
      <c r="D344" s="424"/>
      <c r="E344" s="424"/>
      <c r="F344" s="424"/>
      <c r="G344" s="424"/>
      <c r="H344" s="424"/>
      <c r="I344" s="424"/>
      <c r="J344" s="424"/>
      <c r="K344" s="424"/>
      <c r="L344" s="424"/>
    </row>
    <row r="345" spans="1:12" x14ac:dyDescent="0.2">
      <c r="A345" s="424"/>
      <c r="B345" s="424"/>
      <c r="C345" s="424"/>
      <c r="D345" s="424"/>
      <c r="E345" s="424"/>
      <c r="F345" s="424"/>
      <c r="G345" s="424"/>
      <c r="H345" s="424"/>
      <c r="I345" s="424"/>
      <c r="J345" s="424"/>
      <c r="K345" s="424"/>
      <c r="L345" s="424"/>
    </row>
    <row r="346" spans="1:12" x14ac:dyDescent="0.2">
      <c r="A346" s="424"/>
      <c r="B346" s="424"/>
      <c r="C346" s="424"/>
      <c r="D346" s="424"/>
      <c r="E346" s="424"/>
      <c r="F346" s="424"/>
      <c r="G346" s="424"/>
      <c r="H346" s="424"/>
      <c r="I346" s="424"/>
      <c r="J346" s="424"/>
      <c r="K346" s="424"/>
      <c r="L346" s="424"/>
    </row>
    <row r="347" spans="1:12" x14ac:dyDescent="0.2">
      <c r="A347" s="424"/>
      <c r="B347" s="424"/>
      <c r="C347" s="424"/>
      <c r="D347" s="424"/>
      <c r="E347" s="424"/>
      <c r="F347" s="424"/>
      <c r="G347" s="424"/>
      <c r="H347" s="424"/>
      <c r="I347" s="424"/>
      <c r="J347" s="424"/>
      <c r="K347" s="424"/>
      <c r="L347" s="424"/>
    </row>
    <row r="348" spans="1:12" x14ac:dyDescent="0.2">
      <c r="A348" s="424"/>
      <c r="B348" s="424"/>
      <c r="C348" s="424"/>
      <c r="D348" s="424"/>
      <c r="E348" s="424"/>
      <c r="F348" s="424"/>
      <c r="G348" s="424"/>
      <c r="H348" s="424"/>
      <c r="I348" s="424"/>
      <c r="J348" s="424"/>
      <c r="K348" s="424"/>
      <c r="L348" s="424"/>
    </row>
    <row r="349" spans="1:12" x14ac:dyDescent="0.2">
      <c r="A349" s="424"/>
      <c r="B349" s="424"/>
      <c r="C349" s="424"/>
      <c r="D349" s="424"/>
      <c r="E349" s="424"/>
      <c r="F349" s="424"/>
      <c r="G349" s="424"/>
      <c r="H349" s="424"/>
      <c r="I349" s="424"/>
      <c r="J349" s="424"/>
      <c r="K349" s="424"/>
      <c r="L349" s="424"/>
    </row>
    <row r="350" spans="1:12" x14ac:dyDescent="0.2">
      <c r="A350" s="424"/>
      <c r="B350" s="424"/>
      <c r="C350" s="424"/>
      <c r="D350" s="424"/>
      <c r="E350" s="424"/>
      <c r="F350" s="424"/>
      <c r="G350" s="424"/>
      <c r="H350" s="424"/>
      <c r="I350" s="424"/>
      <c r="J350" s="424"/>
      <c r="K350" s="424"/>
      <c r="L350" s="424"/>
    </row>
    <row r="351" spans="1:12" x14ac:dyDescent="0.2">
      <c r="A351" s="424"/>
      <c r="B351" s="424"/>
      <c r="C351" s="424"/>
      <c r="D351" s="424"/>
      <c r="E351" s="424"/>
      <c r="F351" s="424"/>
      <c r="G351" s="424"/>
      <c r="H351" s="424"/>
      <c r="I351" s="424"/>
      <c r="J351" s="424"/>
      <c r="K351" s="424"/>
      <c r="L351" s="424"/>
    </row>
    <row r="352" spans="1:12" x14ac:dyDescent="0.2">
      <c r="A352" s="424"/>
      <c r="B352" s="424"/>
      <c r="C352" s="424"/>
      <c r="D352" s="424"/>
      <c r="E352" s="424"/>
      <c r="F352" s="424"/>
      <c r="G352" s="424"/>
      <c r="H352" s="424"/>
      <c r="I352" s="424"/>
      <c r="J352" s="424"/>
      <c r="K352" s="424"/>
      <c r="L352" s="424"/>
    </row>
    <row r="353" spans="1:12" x14ac:dyDescent="0.2">
      <c r="A353" s="424"/>
      <c r="B353" s="424"/>
      <c r="C353" s="424"/>
      <c r="D353" s="424"/>
      <c r="E353" s="424"/>
      <c r="F353" s="424"/>
      <c r="G353" s="424"/>
      <c r="H353" s="424"/>
      <c r="I353" s="424"/>
      <c r="J353" s="424"/>
      <c r="K353" s="424"/>
      <c r="L353" s="424"/>
    </row>
    <row r="354" spans="1:12" x14ac:dyDescent="0.2">
      <c r="A354" s="424"/>
      <c r="B354" s="424"/>
      <c r="C354" s="424"/>
      <c r="D354" s="424"/>
      <c r="E354" s="424"/>
      <c r="F354" s="424"/>
      <c r="G354" s="424"/>
      <c r="H354" s="424"/>
      <c r="I354" s="424"/>
      <c r="J354" s="424"/>
      <c r="K354" s="424"/>
      <c r="L354" s="424"/>
    </row>
  </sheetData>
  <sheetProtection sheet="1"/>
  <mergeCells count="55">
    <mergeCell ref="C136:D136"/>
    <mergeCell ref="B144:K144"/>
    <mergeCell ref="C147:D147"/>
    <mergeCell ref="J147:K147"/>
    <mergeCell ref="C148:D148"/>
    <mergeCell ref="J148:K148"/>
    <mergeCell ref="C137:D137"/>
    <mergeCell ref="B126:K126"/>
    <mergeCell ref="B128:K128"/>
    <mergeCell ref="C133:D133"/>
    <mergeCell ref="H133:I133"/>
    <mergeCell ref="B130:K130"/>
    <mergeCell ref="F23:G23"/>
    <mergeCell ref="B35:K35"/>
    <mergeCell ref="C41:D41"/>
    <mergeCell ref="B48:C48"/>
    <mergeCell ref="B85:K85"/>
    <mergeCell ref="C77:D77"/>
    <mergeCell ref="C80:D80"/>
    <mergeCell ref="C83:D83"/>
    <mergeCell ref="B53:K53"/>
    <mergeCell ref="B57:K57"/>
    <mergeCell ref="C25:D25"/>
    <mergeCell ref="B30:K30"/>
    <mergeCell ref="B31:K31"/>
    <mergeCell ref="B33:K33"/>
    <mergeCell ref="B6:K6"/>
    <mergeCell ref="B7:K7"/>
    <mergeCell ref="B8:K8"/>
    <mergeCell ref="B10:K10"/>
    <mergeCell ref="B12:K12"/>
    <mergeCell ref="B88:K88"/>
    <mergeCell ref="B55:K55"/>
    <mergeCell ref="B58:K58"/>
    <mergeCell ref="G50:H50"/>
    <mergeCell ref="B52:K52"/>
    <mergeCell ref="I51:K51"/>
    <mergeCell ref="B86:K86"/>
    <mergeCell ref="C74:D74"/>
    <mergeCell ref="C134:D134"/>
    <mergeCell ref="H134:I134"/>
    <mergeCell ref="B110:K110"/>
    <mergeCell ref="B90:K90"/>
    <mergeCell ref="C94:D94"/>
    <mergeCell ref="B105:K105"/>
    <mergeCell ref="C97:D97"/>
    <mergeCell ref="C100:D100"/>
    <mergeCell ref="C103:D103"/>
    <mergeCell ref="B106:K106"/>
    <mergeCell ref="B108:K108"/>
    <mergeCell ref="C114:D114"/>
    <mergeCell ref="C117:D117"/>
    <mergeCell ref="C120:D120"/>
    <mergeCell ref="C123:D123"/>
    <mergeCell ref="B125:K125"/>
  </mergeCells>
  <pageMargins left="0.7" right="0.7" top="0.75" bottom="0.75" header="0.3" footer="0.3"/>
  <pageSetup scale="73"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 x14ac:dyDescent="0.2"/>
  <cols>
    <col min="1" max="1" width="71.21875" customWidth="1"/>
  </cols>
  <sheetData>
    <row r="1" spans="1:1" ht="16.5" x14ac:dyDescent="0.25">
      <c r="A1" s="425" t="s">
        <v>668</v>
      </c>
    </row>
    <row r="3" spans="1:1" ht="31.5" x14ac:dyDescent="0.25">
      <c r="A3" s="426" t="s">
        <v>669</v>
      </c>
    </row>
    <row r="4" spans="1:1" ht="15.75" x14ac:dyDescent="0.25">
      <c r="A4" s="427" t="s">
        <v>670</v>
      </c>
    </row>
    <row r="7" spans="1:1" ht="31.5" x14ac:dyDescent="0.25">
      <c r="A7" s="426" t="s">
        <v>671</v>
      </c>
    </row>
    <row r="8" spans="1:1" ht="15.75" x14ac:dyDescent="0.25">
      <c r="A8" s="427" t="s">
        <v>672</v>
      </c>
    </row>
    <row r="11" spans="1:1" ht="15.75" x14ac:dyDescent="0.25">
      <c r="A11" s="1" t="s">
        <v>673</v>
      </c>
    </row>
    <row r="12" spans="1:1" ht="15.75" x14ac:dyDescent="0.25">
      <c r="A12" s="427" t="s">
        <v>674</v>
      </c>
    </row>
    <row r="15" spans="1:1" ht="15.75" x14ac:dyDescent="0.25">
      <c r="A15" s="1" t="s">
        <v>675</v>
      </c>
    </row>
    <row r="16" spans="1:1" ht="15.75" x14ac:dyDescent="0.25">
      <c r="A16" s="427" t="s">
        <v>676</v>
      </c>
    </row>
    <row r="19" spans="1:1" ht="15.75" x14ac:dyDescent="0.25">
      <c r="A19" s="1" t="s">
        <v>677</v>
      </c>
    </row>
    <row r="20" spans="1:1" ht="15.75" x14ac:dyDescent="0.25">
      <c r="A20" s="427" t="s">
        <v>678</v>
      </c>
    </row>
    <row r="23" spans="1:1" ht="15.75" x14ac:dyDescent="0.25">
      <c r="A23" s="1" t="s">
        <v>679</v>
      </c>
    </row>
    <row r="24" spans="1:1" ht="15.75" x14ac:dyDescent="0.25">
      <c r="A24" s="427" t="s">
        <v>680</v>
      </c>
    </row>
    <row r="27" spans="1:1" ht="15.75" x14ac:dyDescent="0.25">
      <c r="A27" s="1" t="s">
        <v>681</v>
      </c>
    </row>
    <row r="28" spans="1:1" ht="15.75" x14ac:dyDescent="0.25">
      <c r="A28" s="427" t="s">
        <v>682</v>
      </c>
    </row>
    <row r="31" spans="1:1" ht="15.75" x14ac:dyDescent="0.25">
      <c r="A31" s="1" t="s">
        <v>683</v>
      </c>
    </row>
    <row r="32" spans="1:1" ht="15.75" x14ac:dyDescent="0.25">
      <c r="A32" s="427" t="s">
        <v>684</v>
      </c>
    </row>
    <row r="35" spans="1:1" ht="15.75" x14ac:dyDescent="0.25">
      <c r="A35" s="1" t="s">
        <v>685</v>
      </c>
    </row>
    <row r="36" spans="1:1" ht="15.75" x14ac:dyDescent="0.25">
      <c r="A36" s="427" t="s">
        <v>686</v>
      </c>
    </row>
    <row r="39" spans="1:1" ht="15.75" x14ac:dyDescent="0.25">
      <c r="A39" s="1" t="s">
        <v>687</v>
      </c>
    </row>
    <row r="40" spans="1:1" ht="15.75" x14ac:dyDescent="0.25">
      <c r="A40" s="427" t="s">
        <v>688</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workbookViewId="0">
      <selection activeCell="L142" sqref="L142"/>
    </sheetView>
  </sheetViews>
  <sheetFormatPr defaultColWidth="8.88671875" defaultRowHeight="15.75" x14ac:dyDescent="0.2"/>
  <cols>
    <col min="1" max="1" width="84.5546875" style="3" customWidth="1"/>
    <col min="2" max="16384" width="8.88671875" style="3"/>
  </cols>
  <sheetData>
    <row r="1" spans="1:1" x14ac:dyDescent="0.2">
      <c r="A1" s="356" t="s">
        <v>943</v>
      </c>
    </row>
    <row r="2" spans="1:1" x14ac:dyDescent="0.2">
      <c r="A2" s="3" t="s">
        <v>942</v>
      </c>
    </row>
    <row r="4" spans="1:1" x14ac:dyDescent="0.2">
      <c r="A4" s="356" t="s">
        <v>944</v>
      </c>
    </row>
    <row r="5" spans="1:1" x14ac:dyDescent="0.2">
      <c r="A5" s="628" t="s">
        <v>913</v>
      </c>
    </row>
    <row r="7" spans="1:1" x14ac:dyDescent="0.2">
      <c r="A7" s="356" t="s">
        <v>945</v>
      </c>
    </row>
    <row r="8" spans="1:1" x14ac:dyDescent="0.2">
      <c r="A8" s="3" t="s">
        <v>912</v>
      </c>
    </row>
    <row r="10" spans="1:1" x14ac:dyDescent="0.2">
      <c r="A10" s="356" t="s">
        <v>946</v>
      </c>
    </row>
    <row r="11" spans="1:1" x14ac:dyDescent="0.2">
      <c r="A11" s="3" t="s">
        <v>911</v>
      </c>
    </row>
    <row r="13" spans="1:1" x14ac:dyDescent="0.2">
      <c r="A13" s="356" t="s">
        <v>947</v>
      </c>
    </row>
    <row r="14" spans="1:1" x14ac:dyDescent="0.2">
      <c r="A14" s="3" t="s">
        <v>909</v>
      </c>
    </row>
    <row r="16" spans="1:1" x14ac:dyDescent="0.2">
      <c r="A16" s="356" t="s">
        <v>948</v>
      </c>
    </row>
    <row r="17" spans="1:1" x14ac:dyDescent="0.2">
      <c r="A17" s="3" t="s">
        <v>908</v>
      </c>
    </row>
    <row r="19" spans="1:1" x14ac:dyDescent="0.2">
      <c r="A19" s="356" t="s">
        <v>948</v>
      </c>
    </row>
    <row r="20" spans="1:1" x14ac:dyDescent="0.2">
      <c r="A20" s="605" t="s">
        <v>907</v>
      </c>
    </row>
    <row r="22" spans="1:1" x14ac:dyDescent="0.2">
      <c r="A22" s="356" t="s">
        <v>949</v>
      </c>
    </row>
    <row r="23" spans="1:1" x14ac:dyDescent="0.2">
      <c r="A23" s="3" t="s">
        <v>906</v>
      </c>
    </row>
    <row r="25" spans="1:1" x14ac:dyDescent="0.2">
      <c r="A25" s="356" t="s">
        <v>950</v>
      </c>
    </row>
    <row r="26" spans="1:1" x14ac:dyDescent="0.2">
      <c r="A26" s="3" t="s">
        <v>905</v>
      </c>
    </row>
    <row r="28" spans="1:1" x14ac:dyDescent="0.2">
      <c r="A28" s="356" t="s">
        <v>951</v>
      </c>
    </row>
    <row r="29" spans="1:1" x14ac:dyDescent="0.2">
      <c r="A29" s="618" t="s">
        <v>904</v>
      </c>
    </row>
    <row r="31" spans="1:1" x14ac:dyDescent="0.2">
      <c r="A31" s="356" t="s">
        <v>952</v>
      </c>
    </row>
    <row r="32" spans="1:1" x14ac:dyDescent="0.2">
      <c r="A32" s="3" t="s">
        <v>902</v>
      </c>
    </row>
    <row r="34" spans="1:1" x14ac:dyDescent="0.2">
      <c r="A34" s="356" t="s">
        <v>953</v>
      </c>
    </row>
    <row r="35" spans="1:1" x14ac:dyDescent="0.2">
      <c r="A35" s="605" t="s">
        <v>824</v>
      </c>
    </row>
    <row r="36" spans="1:1" x14ac:dyDescent="0.2">
      <c r="A36" s="3" t="s">
        <v>825</v>
      </c>
    </row>
    <row r="37" spans="1:1" x14ac:dyDescent="0.2">
      <c r="A37" s="3" t="s">
        <v>826</v>
      </c>
    </row>
    <row r="38" spans="1:1" x14ac:dyDescent="0.2">
      <c r="A38" s="3" t="s">
        <v>827</v>
      </c>
    </row>
    <row r="39" spans="1:1" x14ac:dyDescent="0.2">
      <c r="A39" s="3" t="s">
        <v>828</v>
      </c>
    </row>
    <row r="40" spans="1:1" x14ac:dyDescent="0.2">
      <c r="A40" s="3" t="s">
        <v>829</v>
      </c>
    </row>
    <row r="41" spans="1:1" x14ac:dyDescent="0.2">
      <c r="A41" s="3" t="s">
        <v>830</v>
      </c>
    </row>
    <row r="42" spans="1:1" x14ac:dyDescent="0.2">
      <c r="A42" s="3" t="s">
        <v>831</v>
      </c>
    </row>
    <row r="43" spans="1:1" x14ac:dyDescent="0.2">
      <c r="A43" s="3" t="s">
        <v>832</v>
      </c>
    </row>
    <row r="44" spans="1:1" x14ac:dyDescent="0.2">
      <c r="A44" s="3" t="s">
        <v>833</v>
      </c>
    </row>
    <row r="45" spans="1:1" x14ac:dyDescent="0.2">
      <c r="A45" s="3" t="s">
        <v>834</v>
      </c>
    </row>
    <row r="46" spans="1:1" x14ac:dyDescent="0.2">
      <c r="A46" s="3" t="s">
        <v>835</v>
      </c>
    </row>
    <row r="47" spans="1:1" x14ac:dyDescent="0.2">
      <c r="A47" s="3" t="s">
        <v>836</v>
      </c>
    </row>
    <row r="48" spans="1:1" x14ac:dyDescent="0.2">
      <c r="A48" s="3" t="s">
        <v>837</v>
      </c>
    </row>
    <row r="49" spans="1:1" x14ac:dyDescent="0.2">
      <c r="A49" s="3" t="s">
        <v>838</v>
      </c>
    </row>
    <row r="50" spans="1:1" x14ac:dyDescent="0.2">
      <c r="A50" s="3" t="s">
        <v>839</v>
      </c>
    </row>
    <row r="51" spans="1:1" ht="47.25" x14ac:dyDescent="0.2">
      <c r="A51" s="5" t="s">
        <v>840</v>
      </c>
    </row>
    <row r="52" spans="1:1" x14ac:dyDescent="0.2">
      <c r="A52" s="4" t="s">
        <v>841</v>
      </c>
    </row>
    <row r="53" spans="1:1" ht="31.5" x14ac:dyDescent="0.2">
      <c r="A53" s="5" t="s">
        <v>842</v>
      </c>
    </row>
    <row r="54" spans="1:1" x14ac:dyDescent="0.2">
      <c r="A54" s="3" t="s">
        <v>843</v>
      </c>
    </row>
    <row r="55" spans="1:1" x14ac:dyDescent="0.2">
      <c r="A55" s="3" t="s">
        <v>844</v>
      </c>
    </row>
    <row r="56" spans="1:1" x14ac:dyDescent="0.2">
      <c r="A56" s="3" t="s">
        <v>845</v>
      </c>
    </row>
    <row r="57" spans="1:1" x14ac:dyDescent="0.2">
      <c r="A57" s="3" t="s">
        <v>846</v>
      </c>
    </row>
    <row r="58" spans="1:1" x14ac:dyDescent="0.2">
      <c r="A58" s="3" t="s">
        <v>847</v>
      </c>
    </row>
    <row r="59" spans="1:1" x14ac:dyDescent="0.2">
      <c r="A59" s="3" t="s">
        <v>848</v>
      </c>
    </row>
    <row r="60" spans="1:1" x14ac:dyDescent="0.2">
      <c r="A60" s="3" t="s">
        <v>849</v>
      </c>
    </row>
    <row r="61" spans="1:1" x14ac:dyDescent="0.2">
      <c r="A61" s="3" t="s">
        <v>850</v>
      </c>
    </row>
    <row r="62" spans="1:1" x14ac:dyDescent="0.2">
      <c r="A62" s="3" t="s">
        <v>851</v>
      </c>
    </row>
    <row r="63" spans="1:1" x14ac:dyDescent="0.2">
      <c r="A63" s="3" t="s">
        <v>852</v>
      </c>
    </row>
    <row r="64" spans="1:1" x14ac:dyDescent="0.2">
      <c r="A64" s="3" t="s">
        <v>853</v>
      </c>
    </row>
    <row r="65" spans="1:1" x14ac:dyDescent="0.2">
      <c r="A65" s="3" t="s">
        <v>854</v>
      </c>
    </row>
    <row r="66" spans="1:1" x14ac:dyDescent="0.2">
      <c r="A66" s="3" t="s">
        <v>855</v>
      </c>
    </row>
    <row r="67" spans="1:1" x14ac:dyDescent="0.2">
      <c r="A67" s="3" t="s">
        <v>856</v>
      </c>
    </row>
    <row r="68" spans="1:1" x14ac:dyDescent="0.2">
      <c r="A68" s="3" t="s">
        <v>857</v>
      </c>
    </row>
    <row r="69" spans="1:1" x14ac:dyDescent="0.2">
      <c r="A69" s="3" t="s">
        <v>858</v>
      </c>
    </row>
    <row r="71" spans="1:1" x14ac:dyDescent="0.2">
      <c r="A71" s="356" t="s">
        <v>954</v>
      </c>
    </row>
    <row r="72" spans="1:1" x14ac:dyDescent="0.2">
      <c r="A72" s="444" t="s">
        <v>737</v>
      </c>
    </row>
    <row r="74" spans="1:1" x14ac:dyDescent="0.2">
      <c r="A74" s="356" t="s">
        <v>955</v>
      </c>
    </row>
    <row r="75" spans="1:1" x14ac:dyDescent="0.2">
      <c r="A75" s="444" t="s">
        <v>694</v>
      </c>
    </row>
    <row r="76" spans="1:1" x14ac:dyDescent="0.2">
      <c r="A76" s="444" t="s">
        <v>695</v>
      </c>
    </row>
    <row r="77" spans="1:1" x14ac:dyDescent="0.2">
      <c r="A77" s="445" t="s">
        <v>702</v>
      </c>
    </row>
    <row r="78" spans="1:1" x14ac:dyDescent="0.2">
      <c r="A78" s="444" t="s">
        <v>703</v>
      </c>
    </row>
    <row r="79" spans="1:1" x14ac:dyDescent="0.2">
      <c r="A79" s="444" t="s">
        <v>704</v>
      </c>
    </row>
    <row r="80" spans="1:1" x14ac:dyDescent="0.2">
      <c r="A80" s="444" t="s">
        <v>705</v>
      </c>
    </row>
    <row r="81" spans="1:1" x14ac:dyDescent="0.2">
      <c r="A81" s="444" t="s">
        <v>706</v>
      </c>
    </row>
    <row r="82" spans="1:1" x14ac:dyDescent="0.2">
      <c r="A82" s="444" t="s">
        <v>707</v>
      </c>
    </row>
    <row r="83" spans="1:1" x14ac:dyDescent="0.2">
      <c r="A83" s="444" t="s">
        <v>708</v>
      </c>
    </row>
    <row r="84" spans="1:1" x14ac:dyDescent="0.2">
      <c r="A84" s="444" t="s">
        <v>709</v>
      </c>
    </row>
    <row r="85" spans="1:1" x14ac:dyDescent="0.2">
      <c r="A85" s="444" t="s">
        <v>710</v>
      </c>
    </row>
    <row r="86" spans="1:1" x14ac:dyDescent="0.2">
      <c r="A86" s="444" t="s">
        <v>711</v>
      </c>
    </row>
    <row r="87" spans="1:1" x14ac:dyDescent="0.2">
      <c r="A87" s="444" t="s">
        <v>712</v>
      </c>
    </row>
    <row r="88" spans="1:1" x14ac:dyDescent="0.2">
      <c r="A88" s="444" t="s">
        <v>713</v>
      </c>
    </row>
    <row r="89" spans="1:1" x14ac:dyDescent="0.2">
      <c r="A89" s="444" t="s">
        <v>714</v>
      </c>
    </row>
    <row r="90" spans="1:1" x14ac:dyDescent="0.2">
      <c r="A90" s="444" t="s">
        <v>715</v>
      </c>
    </row>
    <row r="91" spans="1:1" x14ac:dyDescent="0.2">
      <c r="A91" s="444" t="s">
        <v>716</v>
      </c>
    </row>
    <row r="92" spans="1:1" x14ac:dyDescent="0.2">
      <c r="A92" s="444" t="s">
        <v>717</v>
      </c>
    </row>
    <row r="93" spans="1:1" x14ac:dyDescent="0.2">
      <c r="A93" s="444" t="s">
        <v>718</v>
      </c>
    </row>
    <row r="94" spans="1:1" x14ac:dyDescent="0.2">
      <c r="A94" s="444" t="s">
        <v>719</v>
      </c>
    </row>
    <row r="95" spans="1:1" x14ac:dyDescent="0.2">
      <c r="A95" s="444" t="s">
        <v>720</v>
      </c>
    </row>
    <row r="96" spans="1:1" x14ac:dyDescent="0.2">
      <c r="A96" s="444" t="s">
        <v>721</v>
      </c>
    </row>
    <row r="97" spans="1:1" x14ac:dyDescent="0.2">
      <c r="A97" s="444" t="s">
        <v>722</v>
      </c>
    </row>
    <row r="98" spans="1:1" x14ac:dyDescent="0.2">
      <c r="A98" s="444" t="s">
        <v>723</v>
      </c>
    </row>
    <row r="99" spans="1:1" x14ac:dyDescent="0.2">
      <c r="A99" s="444" t="s">
        <v>724</v>
      </c>
    </row>
    <row r="100" spans="1:1" x14ac:dyDescent="0.2">
      <c r="A100" s="444" t="s">
        <v>725</v>
      </c>
    </row>
    <row r="101" spans="1:1" x14ac:dyDescent="0.2">
      <c r="A101" s="444" t="s">
        <v>726</v>
      </c>
    </row>
    <row r="102" spans="1:1" x14ac:dyDescent="0.2">
      <c r="A102" s="444" t="s">
        <v>727</v>
      </c>
    </row>
    <row r="104" spans="1:1" x14ac:dyDescent="0.2">
      <c r="A104" s="356" t="s">
        <v>956</v>
      </c>
    </row>
    <row r="105" spans="1:1" x14ac:dyDescent="0.2">
      <c r="A105" s="3" t="s">
        <v>606</v>
      </c>
    </row>
    <row r="106" spans="1:1" x14ac:dyDescent="0.2">
      <c r="A106" s="3" t="s">
        <v>607</v>
      </c>
    </row>
    <row r="107" spans="1:1" x14ac:dyDescent="0.2">
      <c r="A107" s="3" t="s">
        <v>608</v>
      </c>
    </row>
    <row r="109" spans="1:1" x14ac:dyDescent="0.2">
      <c r="A109" s="359" t="s">
        <v>957</v>
      </c>
    </row>
    <row r="110" spans="1:1" x14ac:dyDescent="0.2">
      <c r="A110" s="3" t="s">
        <v>605</v>
      </c>
    </row>
    <row r="112" spans="1:1" x14ac:dyDescent="0.2">
      <c r="A112" s="356" t="s">
        <v>958</v>
      </c>
    </row>
    <row r="113" spans="1:1" x14ac:dyDescent="0.2">
      <c r="A113" s="355" t="s">
        <v>582</v>
      </c>
    </row>
    <row r="114" spans="1:1" x14ac:dyDescent="0.2">
      <c r="A114" s="355" t="s">
        <v>583</v>
      </c>
    </row>
    <row r="115" spans="1:1" x14ac:dyDescent="0.2">
      <c r="A115" s="355" t="s">
        <v>584</v>
      </c>
    </row>
    <row r="116" spans="1:1" x14ac:dyDescent="0.2">
      <c r="A116" s="3" t="s">
        <v>594</v>
      </c>
    </row>
    <row r="118" spans="1:1" x14ac:dyDescent="0.2">
      <c r="A118" s="332" t="s">
        <v>959</v>
      </c>
    </row>
    <row r="119" spans="1:1" x14ac:dyDescent="0.2">
      <c r="A119" s="336" t="s">
        <v>355</v>
      </c>
    </row>
    <row r="120" spans="1:1" x14ac:dyDescent="0.2">
      <c r="A120" s="335" t="s">
        <v>356</v>
      </c>
    </row>
    <row r="121" spans="1:1" x14ac:dyDescent="0.2">
      <c r="A121" s="335" t="s">
        <v>357</v>
      </c>
    </row>
    <row r="122" spans="1:1" ht="16.5" customHeight="1" x14ac:dyDescent="0.2">
      <c r="A122" s="667" t="s">
        <v>358</v>
      </c>
    </row>
    <row r="123" spans="1:1" x14ac:dyDescent="0.2">
      <c r="A123" s="335" t="s">
        <v>359</v>
      </c>
    </row>
    <row r="124" spans="1:1" x14ac:dyDescent="0.2">
      <c r="A124" s="335" t="s">
        <v>360</v>
      </c>
    </row>
    <row r="125" spans="1:1" x14ac:dyDescent="0.2">
      <c r="A125" s="335" t="s">
        <v>361</v>
      </c>
    </row>
    <row r="126" spans="1:1" x14ac:dyDescent="0.2">
      <c r="A126" s="335" t="s">
        <v>362</v>
      </c>
    </row>
    <row r="127" spans="1:1" x14ac:dyDescent="0.2">
      <c r="A127" s="3" t="s">
        <v>363</v>
      </c>
    </row>
    <row r="128" spans="1:1" x14ac:dyDescent="0.2">
      <c r="A128" s="3" t="s">
        <v>364</v>
      </c>
    </row>
    <row r="129" spans="1:1" x14ac:dyDescent="0.2">
      <c r="A129" s="3" t="s">
        <v>365</v>
      </c>
    </row>
    <row r="131" spans="1:1" x14ac:dyDescent="0.2">
      <c r="A131" s="332" t="s">
        <v>960</v>
      </c>
    </row>
    <row r="132" spans="1:1" ht="31.5" x14ac:dyDescent="0.2">
      <c r="A132" s="5" t="s">
        <v>305</v>
      </c>
    </row>
    <row r="134" spans="1:1" x14ac:dyDescent="0.2">
      <c r="A134" s="332" t="s">
        <v>302</v>
      </c>
    </row>
    <row r="135" spans="1:1" x14ac:dyDescent="0.2">
      <c r="A135" s="3" t="s">
        <v>303</v>
      </c>
    </row>
    <row r="136" spans="1:1" x14ac:dyDescent="0.2">
      <c r="A136" s="3" t="s">
        <v>304</v>
      </c>
    </row>
    <row r="138" spans="1:1" x14ac:dyDescent="0.2">
      <c r="A138" s="332" t="s">
        <v>299</v>
      </c>
    </row>
    <row r="139" spans="1:1" x14ac:dyDescent="0.2">
      <c r="A139" s="3" t="s">
        <v>281</v>
      </c>
    </row>
    <row r="140" spans="1:1" x14ac:dyDescent="0.2">
      <c r="A140" s="3" t="s">
        <v>282</v>
      </c>
    </row>
    <row r="141" spans="1:1" x14ac:dyDescent="0.2">
      <c r="A141" s="3" t="s">
        <v>283</v>
      </c>
    </row>
    <row r="142" spans="1:1" x14ac:dyDescent="0.2">
      <c r="A142" s="3" t="s">
        <v>284</v>
      </c>
    </row>
    <row r="143" spans="1:1" x14ac:dyDescent="0.2">
      <c r="A143" s="3" t="s">
        <v>285</v>
      </c>
    </row>
    <row r="144" spans="1:1" x14ac:dyDescent="0.2">
      <c r="A144" s="3" t="s">
        <v>286</v>
      </c>
    </row>
    <row r="145" spans="1:1" ht="31.5" x14ac:dyDescent="0.2">
      <c r="A145" s="5" t="s">
        <v>287</v>
      </c>
    </row>
    <row r="146" spans="1:1" ht="31.5" x14ac:dyDescent="0.2">
      <c r="A146" s="5" t="s">
        <v>288</v>
      </c>
    </row>
    <row r="147" spans="1:1" x14ac:dyDescent="0.2">
      <c r="A147" s="5" t="s">
        <v>289</v>
      </c>
    </row>
    <row r="148" spans="1:1" x14ac:dyDescent="0.2">
      <c r="A148" s="5" t="s">
        <v>290</v>
      </c>
    </row>
    <row r="149" spans="1:1" ht="31.5" x14ac:dyDescent="0.2">
      <c r="A149" s="5" t="s">
        <v>291</v>
      </c>
    </row>
    <row r="150" spans="1:1" x14ac:dyDescent="0.2">
      <c r="A150" s="3" t="s">
        <v>292</v>
      </c>
    </row>
    <row r="151" spans="1:1" x14ac:dyDescent="0.2">
      <c r="A151" s="5" t="s">
        <v>293</v>
      </c>
    </row>
    <row r="152" spans="1:1" x14ac:dyDescent="0.2">
      <c r="A152" s="3" t="s">
        <v>294</v>
      </c>
    </row>
    <row r="153" spans="1:1" x14ac:dyDescent="0.2">
      <c r="A153" s="3" t="s">
        <v>295</v>
      </c>
    </row>
    <row r="154" spans="1:1" x14ac:dyDescent="0.2">
      <c r="A154" s="3" t="s">
        <v>296</v>
      </c>
    </row>
    <row r="155" spans="1:1" ht="31.5" x14ac:dyDescent="0.2">
      <c r="A155" s="5" t="s">
        <v>297</v>
      </c>
    </row>
    <row r="156" spans="1:1" x14ac:dyDescent="0.2">
      <c r="A156" s="3" t="s">
        <v>298</v>
      </c>
    </row>
    <row r="159" spans="1:1" x14ac:dyDescent="0.2">
      <c r="A159" s="332" t="s">
        <v>277</v>
      </c>
    </row>
    <row r="160" spans="1:1" x14ac:dyDescent="0.2">
      <c r="A160" s="3" t="s">
        <v>0</v>
      </c>
    </row>
    <row r="161" spans="1:1" x14ac:dyDescent="0.2">
      <c r="A161" s="3" t="s">
        <v>1</v>
      </c>
    </row>
    <row r="162" spans="1:1" x14ac:dyDescent="0.2">
      <c r="A162" s="3" t="s">
        <v>2</v>
      </c>
    </row>
    <row r="163" spans="1:1" x14ac:dyDescent="0.2">
      <c r="A163" s="3" t="s">
        <v>278</v>
      </c>
    </row>
    <row r="165" spans="1:1" x14ac:dyDescent="0.2">
      <c r="A165" s="332" t="s">
        <v>272</v>
      </c>
    </row>
    <row r="166" spans="1:1" x14ac:dyDescent="0.2">
      <c r="A166" s="3" t="s">
        <v>273</v>
      </c>
    </row>
    <row r="167" spans="1:1" x14ac:dyDescent="0.2">
      <c r="A167" s="3" t="s">
        <v>274</v>
      </c>
    </row>
    <row r="168" spans="1:1" ht="31.5" x14ac:dyDescent="0.2">
      <c r="A168" s="5" t="s">
        <v>275</v>
      </c>
    </row>
    <row r="169" spans="1:1" x14ac:dyDescent="0.2">
      <c r="A169" s="3" t="s">
        <v>276</v>
      </c>
    </row>
    <row r="172" spans="1:1" ht="18" customHeight="1" x14ac:dyDescent="0.2">
      <c r="A172" s="332" t="s">
        <v>167</v>
      </c>
    </row>
    <row r="173" spans="1:1" ht="51" customHeight="1" x14ac:dyDescent="0.2">
      <c r="A173" s="5" t="s">
        <v>207</v>
      </c>
    </row>
    <row r="174" spans="1:1" x14ac:dyDescent="0.2">
      <c r="A174" s="3" t="s">
        <v>5</v>
      </c>
    </row>
    <row r="175" spans="1:1" x14ac:dyDescent="0.2">
      <c r="A175" s="3" t="s">
        <v>168</v>
      </c>
    </row>
    <row r="176" spans="1:1" x14ac:dyDescent="0.2">
      <c r="A176" s="3" t="s">
        <v>208</v>
      </c>
    </row>
    <row r="177" spans="1:1" x14ac:dyDescent="0.2">
      <c r="A177" s="3" t="s">
        <v>169</v>
      </c>
    </row>
    <row r="178" spans="1:1" x14ac:dyDescent="0.2">
      <c r="A178" s="3" t="s">
        <v>170</v>
      </c>
    </row>
    <row r="179" spans="1:1" x14ac:dyDescent="0.2">
      <c r="A179" s="3" t="s">
        <v>171</v>
      </c>
    </row>
    <row r="180" spans="1:1" x14ac:dyDescent="0.2">
      <c r="A180" s="3" t="s">
        <v>172</v>
      </c>
    </row>
    <row r="181" spans="1:1" x14ac:dyDescent="0.2">
      <c r="A181" s="3" t="s">
        <v>173</v>
      </c>
    </row>
    <row r="182" spans="1:1" ht="31.5" x14ac:dyDescent="0.2">
      <c r="A182" s="5" t="s">
        <v>179</v>
      </c>
    </row>
    <row r="183" spans="1:1" ht="31.5" x14ac:dyDescent="0.2">
      <c r="A183" s="5" t="s">
        <v>237</v>
      </c>
    </row>
    <row r="184" spans="1:1" x14ac:dyDescent="0.2">
      <c r="A184" s="3" t="s">
        <v>175</v>
      </c>
    </row>
    <row r="185" spans="1:1" x14ac:dyDescent="0.2">
      <c r="A185" s="3" t="s">
        <v>180</v>
      </c>
    </row>
    <row r="186" spans="1:1" x14ac:dyDescent="0.2">
      <c r="A186" s="3" t="s">
        <v>209</v>
      </c>
    </row>
    <row r="187" spans="1:1" x14ac:dyDescent="0.2">
      <c r="A187" s="3" t="s">
        <v>177</v>
      </c>
    </row>
    <row r="188" spans="1:1" x14ac:dyDescent="0.2">
      <c r="A188" s="3" t="s">
        <v>210</v>
      </c>
    </row>
    <row r="189" spans="1:1" ht="31.5" x14ac:dyDescent="0.2">
      <c r="A189" s="5" t="s">
        <v>211</v>
      </c>
    </row>
    <row r="190" spans="1:1" x14ac:dyDescent="0.2">
      <c r="A190" s="3" t="s">
        <v>186</v>
      </c>
    </row>
    <row r="191" spans="1:1" x14ac:dyDescent="0.2">
      <c r="A191" s="3" t="s">
        <v>187</v>
      </c>
    </row>
    <row r="192" spans="1:1" ht="31.5" x14ac:dyDescent="0.2">
      <c r="A192" s="5" t="s">
        <v>188</v>
      </c>
    </row>
    <row r="193" spans="1:1" x14ac:dyDescent="0.2">
      <c r="A193" s="3" t="s">
        <v>254</v>
      </c>
    </row>
    <row r="194" spans="1:1" x14ac:dyDescent="0.2">
      <c r="A194" s="3" t="s">
        <v>255</v>
      </c>
    </row>
    <row r="195" spans="1:1" x14ac:dyDescent="0.2">
      <c r="A195" s="3" t="s">
        <v>256</v>
      </c>
    </row>
    <row r="196" spans="1:1" x14ac:dyDescent="0.2">
      <c r="A196" s="3" t="s">
        <v>257</v>
      </c>
    </row>
    <row r="197" spans="1:1" x14ac:dyDescent="0.2">
      <c r="A197" s="3" t="s">
        <v>258</v>
      </c>
    </row>
    <row r="198" spans="1:1" x14ac:dyDescent="0.2">
      <c r="A198" s="3" t="s">
        <v>259</v>
      </c>
    </row>
    <row r="199" spans="1:1" x14ac:dyDescent="0.2">
      <c r="A199" s="3" t="s">
        <v>260</v>
      </c>
    </row>
    <row r="200" spans="1:1" x14ac:dyDescent="0.2">
      <c r="A200" s="3" t="s">
        <v>261</v>
      </c>
    </row>
    <row r="201" spans="1:1" x14ac:dyDescent="0.2">
      <c r="A201" s="3" t="s">
        <v>262</v>
      </c>
    </row>
    <row r="202" spans="1:1" x14ac:dyDescent="0.2">
      <c r="A202" s="3" t="s">
        <v>263</v>
      </c>
    </row>
    <row r="203" spans="1:1" x14ac:dyDescent="0.2">
      <c r="A203" s="3" t="s">
        <v>264</v>
      </c>
    </row>
    <row r="204" spans="1:1" x14ac:dyDescent="0.2">
      <c r="A204" s="3" t="s">
        <v>265</v>
      </c>
    </row>
    <row r="205" spans="1:1" x14ac:dyDescent="0.2">
      <c r="A205" s="3" t="s">
        <v>266</v>
      </c>
    </row>
    <row r="206" spans="1:1" x14ac:dyDescent="0.2">
      <c r="A206" s="3" t="s">
        <v>267</v>
      </c>
    </row>
    <row r="207" spans="1:1" x14ac:dyDescent="0.2">
      <c r="A207" s="3" t="s">
        <v>268</v>
      </c>
    </row>
    <row r="208" spans="1:1" x14ac:dyDescent="0.2">
      <c r="A208" s="3" t="s">
        <v>269</v>
      </c>
    </row>
    <row r="209" spans="1:1" x14ac:dyDescent="0.2">
      <c r="A209" s="3" t="s">
        <v>271</v>
      </c>
    </row>
    <row r="210" spans="1:1" x14ac:dyDescent="0.2">
      <c r="A210" s="3" t="s">
        <v>270</v>
      </c>
    </row>
  </sheetData>
  <sheetProtection sheet="1"/>
  <phoneticPr fontId="1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topLeftCell="A59" workbookViewId="0">
      <selection activeCell="J75" sqref="J75"/>
    </sheetView>
  </sheetViews>
  <sheetFormatPr defaultColWidth="8.88671875" defaultRowHeight="15" customHeight="1" x14ac:dyDescent="0.2"/>
  <cols>
    <col min="1" max="1" width="24.44140625" style="126" customWidth="1"/>
    <col min="2" max="2" width="9.21875" style="126" customWidth="1"/>
    <col min="3" max="3" width="6.44140625" style="126" customWidth="1"/>
    <col min="4" max="4" width="12.77734375" style="126" customWidth="1"/>
    <col min="5" max="5" width="12.33203125" style="126" customWidth="1"/>
    <col min="6" max="7" width="10.77734375" style="126" customWidth="1"/>
    <col min="8" max="16384" width="8.88671875" style="126"/>
  </cols>
  <sheetData>
    <row r="1" spans="1:7" ht="15" customHeight="1" x14ac:dyDescent="0.2">
      <c r="A1" s="20"/>
      <c r="B1" s="20"/>
      <c r="C1" s="19" t="s">
        <v>92</v>
      </c>
      <c r="D1" s="19"/>
      <c r="E1" s="20"/>
      <c r="F1" s="20"/>
      <c r="G1" s="125">
        <f>inputPrYr!$C$10</f>
        <v>2015</v>
      </c>
    </row>
    <row r="2" spans="1:7" s="16" customFormat="1" ht="15" customHeight="1" x14ac:dyDescent="0.2">
      <c r="A2" s="764" t="str">
        <f>CONCATENATE("To the Clerk of ",inputPrYr!D4,", State of Kansas")</f>
        <v>To the Clerk of Wyandotte County, State of Kansas</v>
      </c>
      <c r="B2" s="723"/>
      <c r="C2" s="723"/>
      <c r="D2" s="723"/>
      <c r="E2" s="723"/>
      <c r="F2" s="723"/>
      <c r="G2" s="723"/>
    </row>
    <row r="3" spans="1:7" s="16" customFormat="1" ht="15" customHeight="1" x14ac:dyDescent="0.2">
      <c r="A3" s="27" t="s">
        <v>1213</v>
      </c>
      <c r="B3" s="26"/>
      <c r="C3" s="26"/>
      <c r="D3" s="26"/>
      <c r="E3" s="26"/>
      <c r="F3" s="26"/>
      <c r="G3" s="26"/>
    </row>
    <row r="4" spans="1:7" s="16" customFormat="1" ht="15" customHeight="1" x14ac:dyDescent="0.2">
      <c r="A4" s="20"/>
      <c r="B4" s="20"/>
      <c r="C4" s="481" t="str">
        <f>(inputPrYr!D3)</f>
        <v>City of Bonner Springs</v>
      </c>
      <c r="D4" s="481"/>
      <c r="E4" s="20"/>
      <c r="F4" s="20"/>
      <c r="G4" s="20"/>
    </row>
    <row r="5" spans="1:7" s="16" customFormat="1" ht="15" customHeight="1" x14ac:dyDescent="0.2">
      <c r="A5" s="27" t="s">
        <v>1214</v>
      </c>
      <c r="B5" s="26"/>
      <c r="C5" s="26"/>
      <c r="D5" s="26"/>
      <c r="E5" s="26"/>
      <c r="F5" s="26"/>
      <c r="G5" s="26"/>
    </row>
    <row r="6" spans="1:7" s="16" customFormat="1" ht="15" customHeight="1" x14ac:dyDescent="0.2">
      <c r="A6" s="27" t="s">
        <v>1215</v>
      </c>
      <c r="B6" s="26"/>
      <c r="C6" s="26"/>
      <c r="D6" s="26"/>
      <c r="E6" s="26"/>
      <c r="F6" s="26"/>
      <c r="G6" s="26"/>
    </row>
    <row r="7" spans="1:7" s="16" customFormat="1" ht="15" customHeight="1" x14ac:dyDescent="0.2">
      <c r="A7" s="27" t="s">
        <v>1211</v>
      </c>
      <c r="B7" s="26"/>
      <c r="C7" s="26"/>
      <c r="D7" s="26"/>
      <c r="E7" s="26"/>
      <c r="F7" s="26"/>
      <c r="G7" s="26"/>
    </row>
    <row r="8" spans="1:7" s="16" customFormat="1" ht="15" customHeight="1" x14ac:dyDescent="0.2">
      <c r="A8" s="27" t="s">
        <v>1212</v>
      </c>
      <c r="B8" s="26"/>
      <c r="C8" s="26"/>
      <c r="D8" s="26"/>
      <c r="E8" s="26"/>
      <c r="F8" s="26"/>
      <c r="G8" s="26"/>
    </row>
    <row r="9" spans="1:7" ht="15" customHeight="1" x14ac:dyDescent="0.2">
      <c r="A9" s="20"/>
      <c r="B9" s="20"/>
      <c r="C9" s="24"/>
      <c r="D9" s="24"/>
      <c r="E9" s="710">
        <f>inputPrYr!$C$10</f>
        <v>2015</v>
      </c>
      <c r="F9" s="131" t="s">
        <v>41</v>
      </c>
      <c r="G9" s="132"/>
    </row>
    <row r="10" spans="1:7" ht="16.5" customHeight="1" x14ac:dyDescent="0.2">
      <c r="A10" s="129"/>
      <c r="B10" s="20"/>
      <c r="C10" s="133"/>
      <c r="D10" s="554" t="s">
        <v>1130</v>
      </c>
      <c r="E10" s="134" t="s">
        <v>18</v>
      </c>
      <c r="F10" s="765" t="str">
        <f>CONCATENATE("Amount of ",$G$1-1," Ad Valorem Tax")</f>
        <v>Amount of 2014 Ad Valorem Tax</v>
      </c>
      <c r="G10" s="135" t="s">
        <v>19</v>
      </c>
    </row>
    <row r="11" spans="1:7" ht="14.25" customHeight="1" x14ac:dyDescent="0.2">
      <c r="A11" s="20"/>
      <c r="B11" s="20"/>
      <c r="C11" s="135" t="s">
        <v>20</v>
      </c>
      <c r="D11" s="690" t="s">
        <v>1131</v>
      </c>
      <c r="E11" s="136" t="s">
        <v>233</v>
      </c>
      <c r="F11" s="766"/>
      <c r="G11" s="136" t="s">
        <v>21</v>
      </c>
    </row>
    <row r="12" spans="1:7" ht="12.75" customHeight="1" x14ac:dyDescent="0.2">
      <c r="A12" s="137" t="s">
        <v>22</v>
      </c>
      <c r="B12" s="61"/>
      <c r="C12" s="700" t="s">
        <v>23</v>
      </c>
      <c r="D12" s="700"/>
      <c r="E12" s="138" t="s">
        <v>696</v>
      </c>
      <c r="F12" s="743"/>
      <c r="G12" s="138" t="s">
        <v>25</v>
      </c>
    </row>
    <row r="13" spans="1:7" ht="15" customHeight="1" x14ac:dyDescent="0.2">
      <c r="A13" s="100" t="s">
        <v>154</v>
      </c>
      <c r="B13" s="139">
        <f>inputPrYr!$C$10</f>
        <v>2015</v>
      </c>
      <c r="C13" s="140">
        <v>2</v>
      </c>
      <c r="D13" s="690"/>
      <c r="E13" s="24"/>
      <c r="F13" s="24"/>
      <c r="G13" s="98"/>
    </row>
    <row r="14" spans="1:7" ht="15" customHeight="1" x14ac:dyDescent="0.2">
      <c r="A14" s="134" t="s">
        <v>231</v>
      </c>
      <c r="B14" s="141"/>
      <c r="C14" s="140">
        <v>3</v>
      </c>
      <c r="D14" s="690"/>
      <c r="E14" s="24"/>
      <c r="F14" s="24"/>
      <c r="G14" s="130"/>
    </row>
    <row r="15" spans="1:7" ht="15" customHeight="1" x14ac:dyDescent="0.2">
      <c r="A15" s="100" t="s">
        <v>138</v>
      </c>
      <c r="B15" s="67"/>
      <c r="C15" s="142">
        <v>4</v>
      </c>
      <c r="D15" s="690"/>
      <c r="E15" s="24"/>
      <c r="F15" s="24"/>
      <c r="G15" s="130"/>
    </row>
    <row r="16" spans="1:7" ht="15" customHeight="1" x14ac:dyDescent="0.2">
      <c r="A16" s="100" t="s">
        <v>26</v>
      </c>
      <c r="B16" s="67"/>
      <c r="C16" s="142">
        <v>5</v>
      </c>
      <c r="D16" s="690"/>
      <c r="E16" s="24"/>
      <c r="F16" s="24"/>
      <c r="G16" s="130"/>
    </row>
    <row r="17" spans="1:8" ht="15" customHeight="1" x14ac:dyDescent="0.2">
      <c r="A17" s="100" t="s">
        <v>27</v>
      </c>
      <c r="B17" s="67"/>
      <c r="C17" s="142">
        <v>6</v>
      </c>
      <c r="D17" s="690"/>
      <c r="E17" s="24"/>
      <c r="F17" s="24"/>
      <c r="G17" s="130"/>
      <c r="H17" s="143"/>
    </row>
    <row r="18" spans="1:8" ht="15" customHeight="1" x14ac:dyDescent="0.2">
      <c r="A18" s="246" t="str">
        <f>IF(inputPrYr!D24="","","Computation to Determine State Library Grant")</f>
        <v>Computation to Determine State Library Grant</v>
      </c>
      <c r="B18" s="61"/>
      <c r="C18" s="142">
        <f>IF(inputPrYr!D24="","",'Library Grant'!F40)</f>
        <v>7</v>
      </c>
      <c r="D18" s="690"/>
      <c r="E18" s="24"/>
      <c r="F18" s="24"/>
      <c r="G18" s="130"/>
      <c r="H18" s="143"/>
    </row>
    <row r="19" spans="1:8" ht="15" customHeight="1" x14ac:dyDescent="0.2">
      <c r="A19" s="144" t="s">
        <v>28</v>
      </c>
      <c r="B19" s="145" t="s">
        <v>29</v>
      </c>
      <c r="C19" s="146"/>
      <c r="D19" s="559"/>
      <c r="E19" s="24"/>
      <c r="F19" s="24"/>
      <c r="G19" s="130"/>
    </row>
    <row r="20" spans="1:8" ht="15" customHeight="1" x14ac:dyDescent="0.2">
      <c r="A20" s="38" t="s">
        <v>14</v>
      </c>
      <c r="B20" s="147" t="str">
        <f>inputPrYr!C22</f>
        <v>12-101a</v>
      </c>
      <c r="C20" s="140">
        <f>general!C50</f>
        <v>8</v>
      </c>
      <c r="D20" s="140"/>
      <c r="E20" s="249">
        <f>IF((general!$E$81)&lt;&gt;0,general!$E$81,"  ")</f>
        <v>8311549</v>
      </c>
      <c r="F20" s="546">
        <f>IF((general!$E$88)&lt;&gt;0,(general!$E$88),0)</f>
        <v>1656635.9500000002</v>
      </c>
      <c r="G20" s="547" t="str">
        <f>IF($B$62=0,"",ROUND(F20/$B$62*1000,3))</f>
        <v/>
      </c>
    </row>
    <row r="21" spans="1:8" ht="15" customHeight="1" x14ac:dyDescent="0.2">
      <c r="A21" s="38" t="s">
        <v>280</v>
      </c>
      <c r="B21" s="147" t="s">
        <v>153</v>
      </c>
      <c r="C21" s="140">
        <f>IF('DebtSvs-Library'!C72&gt;0,'DebtSvs-Library'!C72," ")</f>
        <v>9</v>
      </c>
      <c r="D21" s="140"/>
      <c r="E21" s="249">
        <f>IF(('DebtSvs-Library'!$E$35)&lt;&gt;0,'DebtSvs-Library'!$E$35,"  ")</f>
        <v>2247318</v>
      </c>
      <c r="F21" s="546">
        <f>IF(('DebtSvs-Library'!$E$42)&lt;&gt;0,('DebtSvs-Library'!$E$42),0)</f>
        <v>309029</v>
      </c>
      <c r="G21" s="547" t="str">
        <f>IF($B$62=0,"",ROUND(F21/$B$62*1000,3))</f>
        <v/>
      </c>
    </row>
    <row r="22" spans="1:8" ht="15" customHeight="1" x14ac:dyDescent="0.2">
      <c r="A22" s="59" t="str">
        <f>IF((inputPrYr!$B24&gt;"  "),(inputPrYr!$B24),"  ")</f>
        <v>Library</v>
      </c>
      <c r="B22" s="147" t="str">
        <f>IF((inputPrYr!$C24&gt;"  "),(inputPrYr!$C24),"  ")</f>
        <v>12-1220</v>
      </c>
      <c r="C22" s="140">
        <f>IF('DebtSvs-Library'!C72&gt;0,'DebtSvs-Library'!C72," ")</f>
        <v>9</v>
      </c>
      <c r="D22" s="140"/>
      <c r="E22" s="249">
        <f>IF(('DebtSvs-Library'!$E$64)&lt;&gt;0,('DebtSvs-Library'!$E$64),"  ")</f>
        <v>388200</v>
      </c>
      <c r="F22" s="546">
        <f>IF(('DebtSvs-Library'!$E$71)&lt;&gt;0,('DebtSvs-Library'!$E$71),0)</f>
        <v>355317</v>
      </c>
      <c r="G22" s="547" t="str">
        <f>IF($B$62=0,"",ROUND(F22/$B$62*1000,3))</f>
        <v/>
      </c>
    </row>
    <row r="23" spans="1:8" ht="15" customHeight="1" x14ac:dyDescent="0.2">
      <c r="A23" s="149" t="str">
        <f>IF((inputPrYr!$B30&gt;"  "),(inputPrYr!$B30),"  ")</f>
        <v>Spec. Rev. Aquatic Park Facility Sales Tax</v>
      </c>
      <c r="B23" s="98"/>
      <c r="C23" s="142">
        <v>10</v>
      </c>
      <c r="D23" s="142"/>
      <c r="E23" s="249">
        <f>'Aquatic Park CIP Sales'!E24</f>
        <v>0</v>
      </c>
      <c r="F23" s="548"/>
      <c r="G23" s="548"/>
    </row>
    <row r="24" spans="1:8" ht="15" customHeight="1" x14ac:dyDescent="0.2">
      <c r="A24" s="149" t="str">
        <f>IF((inputPrYr!$B31&gt;"  "),(inputPrYr!$B31),"  ")</f>
        <v>Spec. Rev. CIP Sales Tax</v>
      </c>
      <c r="B24" s="67"/>
      <c r="C24" s="142">
        <v>10</v>
      </c>
      <c r="D24" s="703">
        <f>'Aquatic Park CIP Sales'!D49</f>
        <v>350100</v>
      </c>
      <c r="E24" s="249">
        <f>'Aquatic Park CIP Sales'!E49</f>
        <v>450600</v>
      </c>
      <c r="F24" s="548"/>
      <c r="G24" s="548"/>
    </row>
    <row r="25" spans="1:8" ht="15" customHeight="1" x14ac:dyDescent="0.2">
      <c r="A25" s="149" t="str">
        <f>IF((inputPrYr!$B32&gt;"  "),(inputPrYr!$B32),"  ")</f>
        <v>Spec. Rev. County Infrastructure</v>
      </c>
      <c r="B25" s="67"/>
      <c r="C25" s="142">
        <v>11</v>
      </c>
      <c r="D25" s="142"/>
      <c r="E25" s="249">
        <f>'Co Infrastructure Tourism'!E20</f>
        <v>0</v>
      </c>
      <c r="F25" s="548"/>
      <c r="G25" s="548"/>
    </row>
    <row r="26" spans="1:8" ht="15" customHeight="1" x14ac:dyDescent="0.2">
      <c r="A26" s="149" t="str">
        <f>IF((inputPrYr!$B33&gt;"  "),(inputPrYr!$B33),"  ")</f>
        <v>Spec. Rev. Tourism</v>
      </c>
      <c r="B26" s="130"/>
      <c r="C26" s="142">
        <v>11</v>
      </c>
      <c r="D26" s="142"/>
      <c r="E26" s="249">
        <f>'Co Infrastructure Tourism'!E47</f>
        <v>111965</v>
      </c>
      <c r="F26" s="548"/>
      <c r="G26" s="548"/>
    </row>
    <row r="27" spans="1:8" ht="15" customHeight="1" x14ac:dyDescent="0.2">
      <c r="A27" s="149" t="str">
        <f>IF((inputPrYr!$B34&gt;"  "),(inputPrYr!$B34),"  ")</f>
        <v>Spec. Rev. Drug &amp; Alcohol</v>
      </c>
      <c r="B27" s="67"/>
      <c r="C27" s="142">
        <v>12</v>
      </c>
      <c r="D27" s="142"/>
      <c r="E27" s="249">
        <f>'Drug Econ Dev'!E23</f>
        <v>85400</v>
      </c>
      <c r="F27" s="548"/>
      <c r="G27" s="548"/>
    </row>
    <row r="28" spans="1:8" ht="15" customHeight="1" x14ac:dyDescent="0.2">
      <c r="A28" s="149" t="str">
        <f>IF((inputPrYr!$B35&gt;"  "),(inputPrYr!$B35),"  ")</f>
        <v>Spec. Rev. Economic Development</v>
      </c>
      <c r="B28" s="61"/>
      <c r="C28" s="142">
        <v>12</v>
      </c>
      <c r="D28" s="142"/>
      <c r="E28" s="249">
        <f>'Drug Econ Dev'!E48</f>
        <v>12252</v>
      </c>
      <c r="F28" s="548"/>
      <c r="G28" s="548"/>
    </row>
    <row r="29" spans="1:8" ht="15" customHeight="1" x14ac:dyDescent="0.2">
      <c r="A29" s="149" t="str">
        <f>IF((inputPrYr!$B36&gt;"  "),(inputPrYr!$B36),"  ")</f>
        <v>Spec. Rev. Emergency Services Capital</v>
      </c>
      <c r="B29" s="61"/>
      <c r="C29" s="142">
        <v>13</v>
      </c>
      <c r="D29" s="142"/>
      <c r="E29" s="249">
        <f>'Emer Cap &amp; EMS '!E22</f>
        <v>712176</v>
      </c>
      <c r="F29" s="548"/>
      <c r="G29" s="548"/>
    </row>
    <row r="30" spans="1:8" ht="15" customHeight="1" x14ac:dyDescent="0.2">
      <c r="A30" s="149" t="str">
        <f>IF((inputPrYr!$B37&gt;"  "),(inputPrYr!$B37),"  ")</f>
        <v>Spec. Rev. Emergency Medical Services</v>
      </c>
      <c r="B30" s="61"/>
      <c r="C30" s="142">
        <v>13</v>
      </c>
      <c r="D30" s="691"/>
      <c r="E30" s="676">
        <f>'Emer Cap &amp; EMS '!E48</f>
        <v>687130</v>
      </c>
      <c r="F30" s="677"/>
      <c r="G30" s="677"/>
    </row>
    <row r="31" spans="1:8" ht="15" customHeight="1" x14ac:dyDescent="0.2">
      <c r="A31" s="149" t="str">
        <f>IF((inputPrYr!$B38&gt;"  "),(inputPrYr!$B38),"  ")</f>
        <v>Spec. Rev. Library Sales Tax</v>
      </c>
      <c r="B31" s="61"/>
      <c r="C31" s="142">
        <v>14</v>
      </c>
      <c r="D31" s="701">
        <f>'Lib Sales &amp; Park Ded'!D22</f>
        <v>837280</v>
      </c>
      <c r="E31" s="676">
        <f>'Lib Sales &amp; Park Ded'!E22</f>
        <v>423825</v>
      </c>
      <c r="F31" s="677"/>
      <c r="G31" s="677"/>
    </row>
    <row r="32" spans="1:8" ht="15" customHeight="1" x14ac:dyDescent="0.2">
      <c r="A32" s="149" t="str">
        <f>IF((inputPrYr!$B39&gt;"  "),(inputPrYr!$B39),"  ")</f>
        <v>Spec. Rev. Park Dedication</v>
      </c>
      <c r="B32" s="61"/>
      <c r="C32" s="142">
        <v>14</v>
      </c>
      <c r="D32" s="691"/>
      <c r="E32" s="676">
        <f>'Lib Sales &amp; Park Ded'!E46</f>
        <v>0</v>
      </c>
      <c r="F32" s="677"/>
      <c r="G32" s="677"/>
    </row>
    <row r="33" spans="1:7" ht="15" customHeight="1" x14ac:dyDescent="0.2">
      <c r="A33" s="149" t="str">
        <f>IF((inputPrYr!$B40&gt;"  "),(inputPrYr!$B40),"  ")</f>
        <v>Spec. Rev. Recreation Programs</v>
      </c>
      <c r="B33" s="61"/>
      <c r="C33" s="142">
        <v>15</v>
      </c>
      <c r="D33" s="691"/>
      <c r="E33" s="676">
        <f>'Rec Prog Risk Mgmt'!E24</f>
        <v>134615</v>
      </c>
      <c r="F33" s="677"/>
      <c r="G33" s="677"/>
    </row>
    <row r="34" spans="1:7" ht="15" customHeight="1" x14ac:dyDescent="0.2">
      <c r="A34" s="149" t="str">
        <f>IF((inputPrYr!$B41&gt;"  "),(inputPrYr!$B41),"  ")</f>
        <v>Spec. Rev. Risk Management</v>
      </c>
      <c r="B34" s="61"/>
      <c r="C34" s="142">
        <v>15</v>
      </c>
      <c r="D34" s="691"/>
      <c r="E34" s="676">
        <f>'Rec Prog Risk Mgmt'!E48</f>
        <v>141164</v>
      </c>
      <c r="F34" s="677"/>
      <c r="G34" s="677"/>
    </row>
    <row r="35" spans="1:7" ht="15" customHeight="1" x14ac:dyDescent="0.2">
      <c r="A35" s="149" t="str">
        <f>IF((inputPrYr!$B42&gt;"  "),(inputPrYr!$B42),"  ")</f>
        <v>Spec. Rev. Senior Center</v>
      </c>
      <c r="B35" s="61"/>
      <c r="C35" s="142">
        <v>16</v>
      </c>
      <c r="D35" s="691"/>
      <c r="E35" s="676">
        <f>'Sen Ctr Sidewalk'!E25</f>
        <v>48823</v>
      </c>
      <c r="F35" s="677"/>
      <c r="G35" s="677"/>
    </row>
    <row r="36" spans="1:7" ht="15" customHeight="1" x14ac:dyDescent="0.2">
      <c r="A36" s="149" t="str">
        <f>IF((inputPrYr!$B43&gt;"  "),(inputPrYr!$B43),"  ")</f>
        <v>Spec. Rev. Sidewalk Escrow</v>
      </c>
      <c r="B36" s="61"/>
      <c r="C36" s="142">
        <v>16</v>
      </c>
      <c r="D36" s="691"/>
      <c r="E36" s="676">
        <f>'Sen Ctr Sidewalk'!E47</f>
        <v>34452</v>
      </c>
      <c r="F36" s="677"/>
      <c r="G36" s="677"/>
    </row>
    <row r="37" spans="1:7" ht="15" customHeight="1" x14ac:dyDescent="0.2">
      <c r="A37" s="149" t="str">
        <f>IF((inputPrYr!$B44&gt;"  "),(inputPrYr!$B44),"  ")</f>
        <v>Spec. Rev. Soccer</v>
      </c>
      <c r="B37" s="61"/>
      <c r="C37" s="142">
        <v>17</v>
      </c>
      <c r="D37" s="701">
        <f>'Soccer Spec Parks'!D22</f>
        <v>15755</v>
      </c>
      <c r="E37" s="676">
        <f>'Soccer Spec Parks'!E22</f>
        <v>17505</v>
      </c>
      <c r="F37" s="677"/>
      <c r="G37" s="677"/>
    </row>
    <row r="38" spans="1:7" ht="15" customHeight="1" x14ac:dyDescent="0.2">
      <c r="A38" s="149" t="str">
        <f>IF((inputPrYr!$B45&gt;"  "),(inputPrYr!$B45),"  ")</f>
        <v>Spec. Rev. Special Parks &amp; Recreation</v>
      </c>
      <c r="B38" s="61"/>
      <c r="C38" s="142">
        <v>17</v>
      </c>
      <c r="D38" s="691"/>
      <c r="E38" s="676">
        <f>'Soccer Spec Parks'!E47</f>
        <v>88500</v>
      </c>
      <c r="F38" s="677"/>
      <c r="G38" s="677"/>
    </row>
    <row r="39" spans="1:7" ht="15" customHeight="1" x14ac:dyDescent="0.2">
      <c r="A39" s="149" t="str">
        <f>IF((inputPrYr!$B46&gt;"  "),(inputPrYr!$B46),"  ")</f>
        <v>Spec. Rev. Street Projects</v>
      </c>
      <c r="B39" s="61"/>
      <c r="C39" s="142">
        <v>18</v>
      </c>
      <c r="D39" s="701">
        <f>'Streets Summer Ball'!D25</f>
        <v>902226</v>
      </c>
      <c r="E39" s="676">
        <f>'Streets Summer Ball'!E25</f>
        <v>914100</v>
      </c>
      <c r="F39" s="677"/>
      <c r="G39" s="677"/>
    </row>
    <row r="40" spans="1:7" ht="15" customHeight="1" x14ac:dyDescent="0.2">
      <c r="A40" s="149" t="str">
        <f>IF((inputPrYr!$B47&gt;"  "),(inputPrYr!$B47),"  ")</f>
        <v>Spec. Rev. Summer Ball</v>
      </c>
      <c r="B40" s="61"/>
      <c r="C40" s="142">
        <v>18</v>
      </c>
      <c r="D40" s="691"/>
      <c r="E40" s="676">
        <f>'Streets Summer Ball'!E49</f>
        <v>29515</v>
      </c>
      <c r="F40" s="677"/>
      <c r="G40" s="677"/>
    </row>
    <row r="41" spans="1:7" ht="15" customHeight="1" x14ac:dyDescent="0.2">
      <c r="A41" s="149" t="str">
        <f>IF((inputPrYr!$B48&gt;"  "),(inputPrYr!$B48),"  ")</f>
        <v>Spec. Rev. Swimming Pool</v>
      </c>
      <c r="B41" s="61"/>
      <c r="C41" s="142">
        <v>19</v>
      </c>
      <c r="D41" s="691"/>
      <c r="E41" s="676">
        <f>'Swim Pool &amp; Tiblow'!E35</f>
        <v>248881</v>
      </c>
      <c r="F41" s="677"/>
      <c r="G41" s="677"/>
    </row>
    <row r="42" spans="1:7" ht="15" customHeight="1" x14ac:dyDescent="0.2">
      <c r="A42" s="149" t="str">
        <f>IF((inputPrYr!$B49&gt;"  "),(inputPrYr!$B49),"  ")</f>
        <v>Spec. Rev. Tiblow Transit</v>
      </c>
      <c r="B42" s="61"/>
      <c r="C42" s="142">
        <v>19</v>
      </c>
      <c r="D42" s="701">
        <f>'Swim Pool &amp; Tiblow'!D60</f>
        <v>93533</v>
      </c>
      <c r="E42" s="676">
        <f>'Swim Pool &amp; Tiblow'!E60</f>
        <v>86228</v>
      </c>
      <c r="F42" s="677"/>
      <c r="G42" s="677"/>
    </row>
    <row r="43" spans="1:7" ht="15" customHeight="1" x14ac:dyDescent="0.2">
      <c r="A43" s="149" t="str">
        <f>IF((inputPrYr!$B50&gt;"  "),(inputPrYr!$B50),"  ")</f>
        <v>Spec. Rev. TIF Develop Funds</v>
      </c>
      <c r="B43" s="61"/>
      <c r="C43" s="142">
        <v>20</v>
      </c>
      <c r="D43" s="691"/>
      <c r="E43" s="676">
        <f>'TIF Dev &amp; TIF Increment'!E22</f>
        <v>0</v>
      </c>
      <c r="F43" s="677"/>
      <c r="G43" s="677"/>
    </row>
    <row r="44" spans="1:7" ht="15" customHeight="1" x14ac:dyDescent="0.2">
      <c r="A44" s="149" t="str">
        <f>IF((inputPrYr!$B51&gt;"  "),(inputPrYr!$B51),"  ")</f>
        <v>Bonner Pointe TIF Increment</v>
      </c>
      <c r="B44" s="61"/>
      <c r="C44" s="142">
        <v>20</v>
      </c>
      <c r="D44" s="691"/>
      <c r="E44" s="676">
        <f>'TIF Dev &amp; TIF Increment'!E43</f>
        <v>225000</v>
      </c>
      <c r="F44" s="677"/>
      <c r="G44" s="677"/>
    </row>
    <row r="45" spans="1:7" ht="15" customHeight="1" x14ac:dyDescent="0.2">
      <c r="A45" s="149" t="str">
        <f>IF((inputPrYr!$B52&gt;"  "),(inputPrYr!$B52),"  ")</f>
        <v>CID Development Fees</v>
      </c>
      <c r="B45" s="61"/>
      <c r="C45" s="142">
        <v>21</v>
      </c>
      <c r="D45" s="701">
        <f>'CID Dev Fees &amp; CID'!D20</f>
        <v>11190</v>
      </c>
      <c r="E45" s="676">
        <f>'CID Dev Fees &amp; CID'!E20</f>
        <v>0</v>
      </c>
      <c r="F45" s="677"/>
      <c r="G45" s="677"/>
    </row>
    <row r="46" spans="1:7" ht="15" customHeight="1" x14ac:dyDescent="0.2">
      <c r="A46" s="149" t="str">
        <f>IF((inputPrYr!$B53&gt;"  "),(inputPrYr!$B53),"  ")</f>
        <v>Bonner Springs Center CID</v>
      </c>
      <c r="B46" s="61"/>
      <c r="C46" s="142">
        <v>21</v>
      </c>
      <c r="D46" s="691"/>
      <c r="E46" s="676">
        <f>'CID Dev Fees &amp; CID'!E41</f>
        <v>100000</v>
      </c>
      <c r="F46" s="677"/>
      <c r="G46" s="677"/>
    </row>
    <row r="47" spans="1:7" ht="15" customHeight="1" x14ac:dyDescent="0.2">
      <c r="A47" s="149" t="str">
        <f>IF((inputPrYr!$B54&gt;"  "),(inputPrYr!$B54),"  ")</f>
        <v>Bonner Springs Ctr City Contribution</v>
      </c>
      <c r="B47" s="61"/>
      <c r="C47" s="142">
        <v>22</v>
      </c>
      <c r="D47" s="691"/>
      <c r="E47" s="676">
        <f>'Ctr City Contribution'!E29</f>
        <v>33000</v>
      </c>
      <c r="F47" s="677"/>
      <c r="G47" s="677"/>
    </row>
    <row r="48" spans="1:7" ht="15" customHeight="1" x14ac:dyDescent="0.2">
      <c r="A48" s="149" t="str">
        <f>IF((inputPrYr!$B55&gt;"  "),(inputPrYr!$B55),"  ")</f>
        <v>Enterprise Fund - Solid Waste</v>
      </c>
      <c r="B48" s="61"/>
      <c r="C48" s="142">
        <v>23</v>
      </c>
      <c r="D48" s="691"/>
      <c r="E48" s="676">
        <f>'Solid Waste &amp; Storm '!E23</f>
        <v>457180</v>
      </c>
      <c r="F48" s="677"/>
      <c r="G48" s="677"/>
    </row>
    <row r="49" spans="1:7" ht="15" customHeight="1" x14ac:dyDescent="0.2">
      <c r="A49" s="149" t="str">
        <f>IF((inputPrYr!$B56&gt;"  "),(inputPrYr!$B56),"  ")</f>
        <v>Enterprise Fund - Storm Water</v>
      </c>
      <c r="B49" s="61"/>
      <c r="C49" s="142">
        <v>23</v>
      </c>
      <c r="D49" s="691"/>
      <c r="E49" s="676">
        <f>'Solid Waste &amp; Storm '!E48</f>
        <v>185651</v>
      </c>
      <c r="F49" s="677"/>
      <c r="G49" s="677"/>
    </row>
    <row r="50" spans="1:7" ht="15" customHeight="1" x14ac:dyDescent="0.2">
      <c r="A50" s="149" t="str">
        <f>IF((inputPrYr!$B57&gt;"  "),(inputPrYr!$B57),"  ")</f>
        <v>Enterprise Fund - Waste Water</v>
      </c>
      <c r="B50" s="61"/>
      <c r="C50" s="142">
        <v>24</v>
      </c>
      <c r="D50" s="701">
        <f>'Waste Water'!D33</f>
        <v>1718907</v>
      </c>
      <c r="E50" s="676">
        <f>'Waste Water'!E33</f>
        <v>1619454</v>
      </c>
      <c r="F50" s="677"/>
      <c r="G50" s="677"/>
    </row>
    <row r="51" spans="1:7" ht="15" customHeight="1" x14ac:dyDescent="0.2">
      <c r="A51" s="149" t="str">
        <f>IF((inputPrYr!$B58&gt;"  "),(inputPrYr!$B58),"  ")</f>
        <v>Enterprise Fund - Water</v>
      </c>
      <c r="B51" s="61"/>
      <c r="C51" s="142">
        <v>25</v>
      </c>
      <c r="D51" s="691"/>
      <c r="E51" s="676">
        <f>Water!E35</f>
        <v>1996893</v>
      </c>
      <c r="F51" s="677"/>
      <c r="G51" s="677"/>
    </row>
    <row r="52" spans="1:7" ht="15" customHeight="1" thickBot="1" x14ac:dyDescent="0.25">
      <c r="A52" s="149" t="str">
        <f>IF((inputPrYr!$B59&gt;"  "),(inputPrYr!$B59),"  ")</f>
        <v>Non Budgeted Funds</v>
      </c>
      <c r="B52" s="61"/>
      <c r="C52" s="142">
        <v>26</v>
      </c>
      <c r="D52" s="691"/>
      <c r="E52" s="676">
        <v>0</v>
      </c>
      <c r="F52" s="677"/>
      <c r="G52" s="677"/>
    </row>
    <row r="53" spans="1:7" ht="15" customHeight="1" thickBot="1" x14ac:dyDescent="0.25">
      <c r="A53" s="152" t="s">
        <v>701</v>
      </c>
      <c r="B53" s="67"/>
      <c r="C53" s="153" t="s">
        <v>30</v>
      </c>
      <c r="D53" s="692"/>
      <c r="E53" s="549">
        <f>SUM(E20:E52)</f>
        <v>19791376</v>
      </c>
      <c r="F53" s="549">
        <f>SUM(F20:F29)</f>
        <v>2320981.9500000002</v>
      </c>
      <c r="G53" s="550" t="str">
        <f>IF(SUM(G20:G29)=0,"",SUM(G20:G29))</f>
        <v/>
      </c>
    </row>
    <row r="54" spans="1:7" ht="15" customHeight="1" thickTop="1" x14ac:dyDescent="0.2">
      <c r="A54" s="649" t="s">
        <v>937</v>
      </c>
      <c r="B54" s="155"/>
      <c r="C54" s="375"/>
      <c r="D54" s="693"/>
      <c r="E54" s="482"/>
      <c r="F54" s="483" t="str">
        <f>IF(F53&gt;1000,IF(F53&gt;computation!J45,"Yes","No"),"No")</f>
        <v>Yes</v>
      </c>
      <c r="G54" s="20"/>
    </row>
    <row r="55" spans="1:7" ht="15" customHeight="1" x14ac:dyDescent="0.2">
      <c r="A55" s="100" t="s">
        <v>192</v>
      </c>
      <c r="B55" s="61"/>
      <c r="C55" s="140">
        <f>IF(summ!D68&gt;0,summ!D68,"")</f>
        <v>27</v>
      </c>
      <c r="D55" s="694"/>
      <c r="E55" s="154"/>
      <c r="F55" s="20"/>
      <c r="G55" s="20"/>
    </row>
    <row r="56" spans="1:7" ht="15" customHeight="1" x14ac:dyDescent="0.2">
      <c r="A56" s="100" t="s">
        <v>8</v>
      </c>
      <c r="B56" s="67"/>
      <c r="C56" s="140">
        <f>IF(nhood!C35&gt;0,nhood!C35,"")</f>
        <v>28</v>
      </c>
      <c r="D56" s="694"/>
      <c r="E56" s="154"/>
      <c r="F56" s="20"/>
      <c r="G56" s="20"/>
    </row>
    <row r="57" spans="1:7" ht="15" customHeight="1" x14ac:dyDescent="0.2">
      <c r="A57" s="156" t="s">
        <v>228</v>
      </c>
      <c r="B57" s="767" t="s">
        <v>143</v>
      </c>
      <c r="C57" s="768"/>
      <c r="D57" s="695"/>
      <c r="E57" s="20"/>
      <c r="F57" s="20"/>
      <c r="G57" s="20"/>
    </row>
    <row r="58" spans="1:7" ht="15" customHeight="1" x14ac:dyDescent="0.2">
      <c r="A58" s="157" t="str">
        <f>inputPrYr!D4</f>
        <v>Wyandotte County</v>
      </c>
      <c r="B58" s="769"/>
      <c r="C58" s="770"/>
      <c r="D58" s="696"/>
      <c r="E58" s="20"/>
      <c r="F58" s="20"/>
      <c r="G58" s="20"/>
    </row>
    <row r="59" spans="1:7" ht="15" customHeight="1" x14ac:dyDescent="0.2">
      <c r="A59" s="38" t="str">
        <f>inputPrYr!D6</f>
        <v>Johnson County</v>
      </c>
      <c r="B59" s="769"/>
      <c r="C59" s="770"/>
      <c r="D59" s="696"/>
      <c r="E59" s="20"/>
      <c r="F59" s="20"/>
      <c r="G59" s="20"/>
    </row>
    <row r="60" spans="1:7" ht="15" customHeight="1" x14ac:dyDescent="0.2">
      <c r="A60" s="38" t="str">
        <f>inputPrYr!D7</f>
        <v>Leavenworth County</v>
      </c>
      <c r="B60" s="769"/>
      <c r="C60" s="770"/>
      <c r="D60" s="696"/>
      <c r="E60" s="20"/>
      <c r="F60" s="20"/>
      <c r="G60" s="20"/>
    </row>
    <row r="61" spans="1:7" ht="15" customHeight="1" x14ac:dyDescent="0.2">
      <c r="A61" s="38">
        <f>inputPrYr!D8</f>
        <v>0</v>
      </c>
      <c r="B61" s="769"/>
      <c r="C61" s="770"/>
      <c r="D61" s="696"/>
      <c r="E61" s="20"/>
      <c r="F61" s="20"/>
      <c r="G61" s="20"/>
    </row>
    <row r="62" spans="1:7" ht="15" customHeight="1" x14ac:dyDescent="0.2">
      <c r="A62" s="157" t="s">
        <v>221</v>
      </c>
      <c r="B62" s="771"/>
      <c r="C62" s="772"/>
      <c r="D62" s="697"/>
      <c r="E62" s="20"/>
      <c r="F62" s="20"/>
      <c r="G62" s="20"/>
    </row>
    <row r="63" spans="1:7" ht="15" customHeight="1" x14ac:dyDescent="0.2">
      <c r="A63" s="24" t="s">
        <v>31</v>
      </c>
      <c r="B63" s="759" t="str">
        <f>CONCATENATE("Nov 1, ",G1-1," Total Accessed Valuation")</f>
        <v>Nov 1, 2014 Total Accessed Valuation</v>
      </c>
      <c r="C63" s="760"/>
      <c r="D63" s="698"/>
      <c r="E63" s="24"/>
      <c r="F63" s="158"/>
      <c r="G63" s="158"/>
    </row>
    <row r="64" spans="1:7" ht="15" customHeight="1" x14ac:dyDescent="0.2">
      <c r="A64" s="337"/>
      <c r="B64" s="761"/>
      <c r="C64" s="762"/>
      <c r="D64" s="699"/>
      <c r="E64" s="24"/>
      <c r="F64" s="449"/>
      <c r="G64" s="24"/>
    </row>
    <row r="65" spans="1:7" ht="15" customHeight="1" x14ac:dyDescent="0.2">
      <c r="A65" s="338"/>
      <c r="B65" s="24"/>
      <c r="C65" s="20"/>
      <c r="D65" s="20"/>
      <c r="E65" s="24" t="s">
        <v>18</v>
      </c>
      <c r="F65" s="449"/>
      <c r="G65" s="24"/>
    </row>
    <row r="66" spans="1:7" ht="15" customHeight="1" x14ac:dyDescent="0.2">
      <c r="A66" s="20" t="s">
        <v>151</v>
      </c>
      <c r="B66" s="24"/>
      <c r="C66" s="22"/>
      <c r="D66" s="22"/>
      <c r="E66" s="24"/>
      <c r="F66" s="24"/>
      <c r="G66" s="24"/>
    </row>
    <row r="67" spans="1:7" ht="15" customHeight="1" x14ac:dyDescent="0.2">
      <c r="A67" s="337"/>
      <c r="B67" s="22"/>
      <c r="C67" s="24"/>
      <c r="D67" s="24" t="s">
        <v>18</v>
      </c>
      <c r="E67" s="24" t="s">
        <v>1237</v>
      </c>
      <c r="F67" s="24" t="s">
        <v>1237</v>
      </c>
      <c r="G67" s="187" t="s">
        <v>18</v>
      </c>
    </row>
    <row r="68" spans="1:7" ht="15" customHeight="1" x14ac:dyDescent="0.2">
      <c r="A68" s="338"/>
      <c r="B68" s="22"/>
      <c r="C68" s="24"/>
      <c r="D68" s="24" t="s">
        <v>18</v>
      </c>
      <c r="E68" s="24" t="s">
        <v>1238</v>
      </c>
      <c r="F68" s="20"/>
      <c r="G68" s="17"/>
    </row>
    <row r="69" spans="1:7" ht="15" customHeight="1" x14ac:dyDescent="0.2">
      <c r="A69" s="24" t="s">
        <v>789</v>
      </c>
      <c r="B69" s="280"/>
      <c r="C69" s="24"/>
      <c r="D69" s="24"/>
      <c r="E69" s="24"/>
      <c r="F69" s="24" t="s">
        <v>18</v>
      </c>
      <c r="G69" s="187"/>
    </row>
    <row r="70" spans="1:7" ht="15" customHeight="1" x14ac:dyDescent="0.2">
      <c r="A70" s="337"/>
      <c r="B70" s="20"/>
      <c r="C70" s="24"/>
      <c r="D70" s="24" t="s">
        <v>18</v>
      </c>
      <c r="E70" s="24" t="s">
        <v>1239</v>
      </c>
      <c r="F70" s="20"/>
      <c r="G70" s="17"/>
    </row>
    <row r="71" spans="1:7" ht="15" customHeight="1" x14ac:dyDescent="0.2">
      <c r="A71" s="21" t="s">
        <v>191</v>
      </c>
      <c r="B71" s="159">
        <f>inputPrYr!$C$10-1</f>
        <v>2014</v>
      </c>
      <c r="C71" s="24"/>
      <c r="D71" s="24" t="s">
        <v>18</v>
      </c>
      <c r="E71" s="24" t="s">
        <v>1240</v>
      </c>
      <c r="F71" s="187"/>
      <c r="G71" s="187" t="s">
        <v>1241</v>
      </c>
    </row>
    <row r="72" spans="1:7" ht="15" customHeight="1" x14ac:dyDescent="0.2">
      <c r="A72" s="20"/>
      <c r="B72" s="20"/>
      <c r="C72" s="187"/>
      <c r="D72" s="187"/>
      <c r="E72" s="187"/>
      <c r="F72" s="17"/>
      <c r="G72" s="160"/>
    </row>
    <row r="73" spans="1:7" ht="15" customHeight="1" x14ac:dyDescent="0.2">
      <c r="A73" s="480"/>
      <c r="B73" s="20"/>
      <c r="C73" s="24"/>
      <c r="D73" s="24"/>
      <c r="E73" s="24" t="s">
        <v>18</v>
      </c>
      <c r="F73" s="187"/>
      <c r="G73" s="187"/>
    </row>
    <row r="74" spans="1:7" ht="15" customHeight="1" x14ac:dyDescent="0.2">
      <c r="A74" s="36" t="s">
        <v>32</v>
      </c>
      <c r="B74" s="20"/>
      <c r="C74" s="161"/>
      <c r="D74" s="161"/>
      <c r="E74" s="763" t="s">
        <v>18</v>
      </c>
      <c r="F74" s="763"/>
      <c r="G74" s="763"/>
    </row>
    <row r="75" spans="1:7" ht="15" customHeight="1" x14ac:dyDescent="0.2">
      <c r="A75" s="3"/>
      <c r="B75" s="162"/>
    </row>
    <row r="77" spans="1:7" ht="15" customHeight="1" x14ac:dyDescent="0.2">
      <c r="E77" s="163"/>
    </row>
    <row r="78" spans="1:7" ht="15" customHeight="1" x14ac:dyDescent="0.2">
      <c r="A78" s="3"/>
      <c r="B78" s="3"/>
      <c r="C78" s="3"/>
      <c r="D78" s="3"/>
      <c r="E78" s="3"/>
      <c r="F78" s="3"/>
      <c r="G78" s="3"/>
    </row>
    <row r="79" spans="1:7" ht="15" customHeight="1" x14ac:dyDescent="0.2">
      <c r="A79" s="3"/>
      <c r="B79" s="3"/>
      <c r="C79" s="3"/>
      <c r="D79" s="3"/>
      <c r="E79" s="3"/>
      <c r="F79" s="3"/>
      <c r="G79" s="3"/>
    </row>
    <row r="80" spans="1:7" ht="15" customHeight="1" x14ac:dyDescent="0.2">
      <c r="A80" s="3"/>
    </row>
    <row r="81" spans="1:1" ht="15" customHeight="1" x14ac:dyDescent="0.2">
      <c r="A81" s="3"/>
    </row>
  </sheetData>
  <sheetProtection sheet="1" objects="1" scenarios="1"/>
  <mergeCells count="10">
    <mergeCell ref="B63:C64"/>
    <mergeCell ref="E74:G74"/>
    <mergeCell ref="A2:G2"/>
    <mergeCell ref="F10:F12"/>
    <mergeCell ref="B57:C57"/>
    <mergeCell ref="B58:C58"/>
    <mergeCell ref="B59:C59"/>
    <mergeCell ref="B60:C60"/>
    <mergeCell ref="B61:C61"/>
    <mergeCell ref="B62:C62"/>
  </mergeCells>
  <phoneticPr fontId="0" type="noConversion"/>
  <printOptions horizontalCentered="1" verticalCentered="1"/>
  <pageMargins left="0.25" right="0.25" top="0.25" bottom="0.25" header="0" footer="0.25"/>
  <pageSetup scale="60" orientation="portrait" blackAndWhite="1" horizontalDpi="120" verticalDpi="144" r:id="rId1"/>
  <headerFooter alignWithMargins="0">
    <oddHeader xml:space="preserve">&amp;RState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opLeftCell="A29" zoomScale="85" workbookViewId="0">
      <selection activeCell="L38" sqref="L38"/>
    </sheetView>
  </sheetViews>
  <sheetFormatPr defaultColWidth="8.88671875" defaultRowHeight="15.95" customHeight="1" x14ac:dyDescent="0.2"/>
  <cols>
    <col min="1" max="2" width="3.33203125" style="3" customWidth="1"/>
    <col min="3" max="3" width="31.33203125" style="3" customWidth="1"/>
    <col min="4" max="4" width="2.33203125" style="3" customWidth="1"/>
    <col min="5" max="5" width="15.77734375" style="3" customWidth="1"/>
    <col min="6" max="6" width="2" style="3" customWidth="1"/>
    <col min="7" max="7" width="15.77734375" style="3" customWidth="1"/>
    <col min="8" max="8" width="1.88671875" style="3" customWidth="1"/>
    <col min="9" max="9" width="1.77734375" style="3" customWidth="1"/>
    <col min="10" max="10" width="15.77734375" style="3" customWidth="1"/>
    <col min="11" max="16384" width="8.88671875" style="3"/>
  </cols>
  <sheetData>
    <row r="1" spans="1:10" ht="15.95" customHeight="1" x14ac:dyDescent="0.2">
      <c r="A1" s="20"/>
      <c r="B1" s="20"/>
      <c r="C1" s="164" t="str">
        <f>inputPrYr!D3</f>
        <v>City of Bonner Springs</v>
      </c>
      <c r="D1" s="20"/>
      <c r="E1" s="20"/>
      <c r="F1" s="20"/>
      <c r="G1" s="20"/>
      <c r="H1" s="20"/>
      <c r="I1" s="20"/>
      <c r="J1" s="125">
        <f>inputPrYr!$C$10</f>
        <v>2015</v>
      </c>
    </row>
    <row r="2" spans="1:10" ht="15.95" customHeight="1" x14ac:dyDescent="0.2">
      <c r="A2" s="20"/>
      <c r="B2" s="20"/>
      <c r="C2" s="20"/>
      <c r="D2" s="20"/>
      <c r="E2" s="20"/>
      <c r="F2" s="20"/>
      <c r="G2" s="20"/>
      <c r="H2" s="20"/>
      <c r="I2" s="20"/>
      <c r="J2" s="20"/>
    </row>
    <row r="3" spans="1:10" ht="15.75" x14ac:dyDescent="0.2">
      <c r="A3" s="774" t="str">
        <f>CONCATENATE("Computation to Determine Limit for ",J1)</f>
        <v>Computation to Determine Limit for 2015</v>
      </c>
      <c r="B3" s="775"/>
      <c r="C3" s="775"/>
      <c r="D3" s="775"/>
      <c r="E3" s="775"/>
      <c r="F3" s="775"/>
      <c r="G3" s="775"/>
      <c r="H3" s="775"/>
      <c r="I3" s="775"/>
      <c r="J3" s="775"/>
    </row>
    <row r="4" spans="1:10" ht="15.75" x14ac:dyDescent="0.2">
      <c r="A4" s="166" t="s">
        <v>103</v>
      </c>
      <c r="B4" s="20" t="str">
        <f>CONCATENATE("Total tax levy amount in ",J1-1," budget")</f>
        <v>Total tax levy amount in 2014 budget</v>
      </c>
      <c r="C4" s="20"/>
      <c r="D4" s="20"/>
      <c r="E4" s="41"/>
      <c r="F4" s="41"/>
      <c r="G4" s="41"/>
      <c r="H4" s="167" t="s">
        <v>104</v>
      </c>
      <c r="I4" s="41" t="s">
        <v>105</v>
      </c>
      <c r="J4" s="168">
        <f>inputPrYr!E27</f>
        <v>2203824</v>
      </c>
    </row>
    <row r="5" spans="1:10" ht="15.75" x14ac:dyDescent="0.2">
      <c r="A5" s="166" t="s">
        <v>106</v>
      </c>
      <c r="B5" s="20" t="str">
        <f>CONCATENATE("Debt service levy in ",J1-1, " budget")</f>
        <v>Debt service levy in 2014 budget</v>
      </c>
      <c r="C5" s="20"/>
      <c r="D5" s="20"/>
      <c r="E5" s="41"/>
      <c r="F5" s="41"/>
      <c r="G5" s="41"/>
      <c r="H5" s="167" t="s">
        <v>107</v>
      </c>
      <c r="I5" s="41" t="s">
        <v>105</v>
      </c>
      <c r="J5" s="169">
        <f>inputPrYr!$E$23</f>
        <v>372538</v>
      </c>
    </row>
    <row r="6" spans="1:10" ht="15.75" x14ac:dyDescent="0.2">
      <c r="A6" s="166" t="s">
        <v>128</v>
      </c>
      <c r="B6" s="20" t="s">
        <v>927</v>
      </c>
      <c r="C6" s="20"/>
      <c r="D6" s="20"/>
      <c r="E6" s="41"/>
      <c r="F6" s="41"/>
      <c r="G6" s="41"/>
      <c r="H6" s="41"/>
      <c r="I6" s="41" t="s">
        <v>105</v>
      </c>
      <c r="J6" s="46">
        <f>J4-J5</f>
        <v>1831286</v>
      </c>
    </row>
    <row r="7" spans="1:10" ht="15.75" x14ac:dyDescent="0.2">
      <c r="A7" s="20"/>
      <c r="B7" s="20"/>
      <c r="C7" s="20"/>
      <c r="D7" s="20"/>
      <c r="E7" s="41"/>
      <c r="F7" s="41"/>
      <c r="G7" s="41"/>
      <c r="H7" s="41"/>
      <c r="I7" s="41"/>
      <c r="J7" s="41"/>
    </row>
    <row r="8" spans="1:10" ht="15.75" x14ac:dyDescent="0.2">
      <c r="A8" s="775" t="str">
        <f>CONCATENATE(J1-1," Valuation Information for Valuation Adjustments")</f>
        <v>2014 Valuation Information for Valuation Adjustments</v>
      </c>
      <c r="B8" s="723"/>
      <c r="C8" s="723"/>
      <c r="D8" s="723"/>
      <c r="E8" s="723"/>
      <c r="F8" s="723"/>
      <c r="G8" s="723"/>
      <c r="H8" s="723"/>
      <c r="I8" s="723"/>
      <c r="J8" s="723"/>
    </row>
    <row r="9" spans="1:10" ht="15.75" x14ac:dyDescent="0.2">
      <c r="A9" s="166" t="s">
        <v>108</v>
      </c>
      <c r="B9" s="20" t="str">
        <f>CONCATENATE("New improvements for ",J1-1," :")</f>
        <v>New improvements for 2014 :</v>
      </c>
      <c r="C9" s="20"/>
      <c r="D9" s="20"/>
      <c r="E9" s="167"/>
      <c r="F9" s="167" t="s">
        <v>104</v>
      </c>
      <c r="G9" s="168">
        <f>inputOth!C14</f>
        <v>1607334</v>
      </c>
      <c r="H9" s="170"/>
      <c r="I9" s="41"/>
      <c r="J9" s="41"/>
    </row>
    <row r="10" spans="1:10" ht="15.75" x14ac:dyDescent="0.2">
      <c r="A10" s="166"/>
      <c r="B10" s="171"/>
      <c r="C10" s="20"/>
      <c r="D10" s="20"/>
      <c r="E10" s="167"/>
      <c r="F10" s="167"/>
      <c r="G10" s="170"/>
      <c r="H10" s="170"/>
      <c r="I10" s="41"/>
      <c r="J10" s="41"/>
    </row>
    <row r="11" spans="1:10" ht="15.75" x14ac:dyDescent="0.2">
      <c r="A11" s="166" t="s">
        <v>109</v>
      </c>
      <c r="B11" s="20" t="str">
        <f>CONCATENATE("Increase in personal property for ",J1-1," :")</f>
        <v>Increase in personal property for 2014 :</v>
      </c>
      <c r="C11" s="20"/>
      <c r="D11" s="20"/>
      <c r="E11" s="167"/>
      <c r="F11" s="167"/>
      <c r="G11" s="170"/>
      <c r="H11" s="170"/>
      <c r="I11" s="41"/>
      <c r="J11" s="41"/>
    </row>
    <row r="12" spans="1:10" ht="15.75" x14ac:dyDescent="0.2">
      <c r="A12" s="172"/>
      <c r="B12" s="20" t="s">
        <v>110</v>
      </c>
      <c r="C12" s="20" t="str">
        <f>CONCATENATE("Personal property ",J1-1)</f>
        <v>Personal property 2014</v>
      </c>
      <c r="D12" s="171" t="s">
        <v>104</v>
      </c>
      <c r="E12" s="168">
        <f>inputOth!D14</f>
        <v>2184223</v>
      </c>
      <c r="F12" s="167"/>
      <c r="G12" s="41"/>
      <c r="H12" s="41"/>
      <c r="I12" s="170"/>
      <c r="J12" s="41"/>
    </row>
    <row r="13" spans="1:10" ht="15.75" x14ac:dyDescent="0.2">
      <c r="A13" s="171"/>
      <c r="B13" s="20" t="s">
        <v>111</v>
      </c>
      <c r="C13" s="20" t="str">
        <f>CONCATENATE("Personal property ",J1-2)</f>
        <v>Personal property 2013</v>
      </c>
      <c r="D13" s="171" t="s">
        <v>107</v>
      </c>
      <c r="E13" s="46">
        <f>inputOth!F14</f>
        <v>2304020</v>
      </c>
      <c r="F13" s="167"/>
      <c r="G13" s="170"/>
      <c r="H13" s="170"/>
      <c r="I13" s="41"/>
      <c r="J13" s="41"/>
    </row>
    <row r="14" spans="1:10" ht="15.75" x14ac:dyDescent="0.2">
      <c r="A14" s="171"/>
      <c r="B14" s="20" t="s">
        <v>112</v>
      </c>
      <c r="C14" s="20" t="s">
        <v>928</v>
      </c>
      <c r="D14" s="20"/>
      <c r="E14" s="41"/>
      <c r="F14" s="41" t="s">
        <v>104</v>
      </c>
      <c r="G14" s="168">
        <f>IF(E12&gt;E13,E12-E13,0)</f>
        <v>0</v>
      </c>
      <c r="H14" s="170"/>
      <c r="I14" s="41"/>
      <c r="J14" s="41"/>
    </row>
    <row r="15" spans="1:10" ht="15.75" x14ac:dyDescent="0.2">
      <c r="A15" s="171"/>
      <c r="B15" s="171"/>
      <c r="C15" s="20"/>
      <c r="D15" s="20"/>
      <c r="E15" s="41"/>
      <c r="F15" s="41"/>
      <c r="G15" s="170" t="s">
        <v>125</v>
      </c>
      <c r="H15" s="170"/>
      <c r="I15" s="41"/>
      <c r="J15" s="41"/>
    </row>
    <row r="16" spans="1:10" ht="15.75" x14ac:dyDescent="0.2">
      <c r="A16" s="171" t="s">
        <v>113</v>
      </c>
      <c r="B16" s="20" t="str">
        <f>CONCATENATE("Valuation of annexed territory for ",J1-1," :")</f>
        <v>Valuation of annexed territory for 2014 :</v>
      </c>
      <c r="C16" s="20"/>
      <c r="D16" s="20"/>
      <c r="E16" s="170"/>
      <c r="F16" s="41"/>
      <c r="G16" s="41"/>
      <c r="H16" s="41"/>
      <c r="I16" s="41"/>
      <c r="J16" s="41"/>
    </row>
    <row r="17" spans="1:10" ht="15.75" x14ac:dyDescent="0.2">
      <c r="A17" s="171"/>
      <c r="B17" s="20" t="s">
        <v>114</v>
      </c>
      <c r="C17" s="20" t="s">
        <v>929</v>
      </c>
      <c r="D17" s="171" t="s">
        <v>104</v>
      </c>
      <c r="E17" s="168">
        <f>inputOth!B22</f>
        <v>0</v>
      </c>
      <c r="F17" s="41"/>
      <c r="G17" s="41"/>
      <c r="H17" s="41"/>
      <c r="I17" s="41"/>
      <c r="J17" s="41"/>
    </row>
    <row r="18" spans="1:10" ht="15.75" x14ac:dyDescent="0.2">
      <c r="A18" s="171"/>
      <c r="B18" s="20" t="s">
        <v>115</v>
      </c>
      <c r="C18" s="20" t="s">
        <v>930</v>
      </c>
      <c r="D18" s="171" t="s">
        <v>104</v>
      </c>
      <c r="E18" s="46">
        <f>inputOth!C22</f>
        <v>0</v>
      </c>
      <c r="F18" s="41"/>
      <c r="G18" s="170"/>
      <c r="H18" s="170"/>
      <c r="I18" s="41"/>
      <c r="J18" s="41"/>
    </row>
    <row r="19" spans="1:10" ht="15.75" x14ac:dyDescent="0.2">
      <c r="A19" s="171"/>
      <c r="B19" s="20" t="s">
        <v>116</v>
      </c>
      <c r="C19" s="20" t="s">
        <v>931</v>
      </c>
      <c r="D19" s="171" t="s">
        <v>107</v>
      </c>
      <c r="E19" s="46">
        <f>inputOth!D22</f>
        <v>0</v>
      </c>
      <c r="F19" s="41"/>
      <c r="G19" s="170"/>
      <c r="H19" s="170"/>
      <c r="I19" s="41"/>
      <c r="J19" s="41"/>
    </row>
    <row r="20" spans="1:10" ht="15.75" x14ac:dyDescent="0.2">
      <c r="A20" s="171"/>
      <c r="B20" s="20" t="s">
        <v>117</v>
      </c>
      <c r="C20" s="20" t="s">
        <v>932</v>
      </c>
      <c r="D20" s="171"/>
      <c r="E20" s="170"/>
      <c r="F20" s="41" t="s">
        <v>104</v>
      </c>
      <c r="G20" s="168">
        <f>E17+E18-E19</f>
        <v>0</v>
      </c>
      <c r="H20" s="170"/>
      <c r="I20" s="41"/>
      <c r="J20" s="41"/>
    </row>
    <row r="21" spans="1:10" ht="15.75" x14ac:dyDescent="0.2">
      <c r="A21" s="171"/>
      <c r="B21" s="171"/>
      <c r="C21" s="20"/>
      <c r="D21" s="171"/>
      <c r="E21" s="170"/>
      <c r="F21" s="41"/>
      <c r="G21" s="170"/>
      <c r="H21" s="170"/>
      <c r="I21" s="41"/>
      <c r="J21" s="41"/>
    </row>
    <row r="22" spans="1:10" ht="15.75" x14ac:dyDescent="0.2">
      <c r="A22" s="171" t="s">
        <v>118</v>
      </c>
      <c r="B22" s="20" t="str">
        <f>CONCATENATE("Valuation of property that has changed in use during ",J1-1," :")</f>
        <v>Valuation of property that has changed in use during 2014 :</v>
      </c>
      <c r="C22" s="20"/>
      <c r="D22" s="20"/>
      <c r="E22" s="41"/>
      <c r="F22" s="167" t="s">
        <v>104</v>
      </c>
      <c r="G22" s="168">
        <f>inputOth!E14</f>
        <v>288880</v>
      </c>
      <c r="H22" s="41"/>
      <c r="I22" s="41"/>
      <c r="J22" s="41"/>
    </row>
    <row r="23" spans="1:10" ht="15.75" x14ac:dyDescent="0.2">
      <c r="A23" s="20" t="s">
        <v>18</v>
      </c>
      <c r="B23" s="20"/>
      <c r="C23" s="20"/>
      <c r="D23" s="171"/>
      <c r="E23" s="170"/>
      <c r="F23" s="41"/>
      <c r="G23" s="41"/>
      <c r="H23" s="41"/>
      <c r="I23" s="41"/>
      <c r="J23" s="41"/>
    </row>
    <row r="24" spans="1:10" ht="15.75" x14ac:dyDescent="0.2">
      <c r="A24" s="171" t="s">
        <v>119</v>
      </c>
      <c r="B24" s="20" t="s">
        <v>933</v>
      </c>
      <c r="C24" s="20"/>
      <c r="D24" s="20"/>
      <c r="E24" s="41"/>
      <c r="F24" s="41"/>
      <c r="G24" s="168">
        <f>G9+G14+G20+G22</f>
        <v>1896214</v>
      </c>
      <c r="H24" s="170"/>
      <c r="I24" s="41"/>
      <c r="J24" s="41"/>
    </row>
    <row r="25" spans="1:10" ht="15.75" x14ac:dyDescent="0.2">
      <c r="A25" s="171"/>
      <c r="B25" s="171"/>
      <c r="C25" s="20"/>
      <c r="D25" s="20"/>
      <c r="E25" s="41"/>
      <c r="F25" s="41"/>
      <c r="G25" s="170"/>
      <c r="H25" s="170"/>
      <c r="I25" s="41"/>
      <c r="J25" s="41"/>
    </row>
    <row r="26" spans="1:10" ht="15.75" x14ac:dyDescent="0.2">
      <c r="A26" s="171" t="s">
        <v>120</v>
      </c>
      <c r="B26" s="20" t="str">
        <f>CONCATENATE("Total estimated valuation July 1, ",J1-1)</f>
        <v>Total estimated valuation July 1, 2014</v>
      </c>
      <c r="C26" s="20"/>
      <c r="D26" s="20"/>
      <c r="E26" s="168">
        <f>inputOth!B14</f>
        <v>69004957</v>
      </c>
      <c r="F26" s="41"/>
      <c r="G26" s="41"/>
      <c r="H26" s="41"/>
      <c r="I26" s="167"/>
      <c r="J26" s="41"/>
    </row>
    <row r="27" spans="1:10" ht="15.75" x14ac:dyDescent="0.2">
      <c r="A27" s="171"/>
      <c r="B27" s="171"/>
      <c r="C27" s="20"/>
      <c r="D27" s="20"/>
      <c r="E27" s="170"/>
      <c r="F27" s="41"/>
      <c r="G27" s="41"/>
      <c r="H27" s="41"/>
      <c r="I27" s="167"/>
      <c r="J27" s="41"/>
    </row>
    <row r="28" spans="1:10" ht="15.75" x14ac:dyDescent="0.2">
      <c r="A28" s="171" t="s">
        <v>121</v>
      </c>
      <c r="B28" s="20" t="s">
        <v>934</v>
      </c>
      <c r="C28" s="20"/>
      <c r="D28" s="20"/>
      <c r="E28" s="41"/>
      <c r="F28" s="41"/>
      <c r="G28" s="168">
        <f>E26-G24</f>
        <v>67108743</v>
      </c>
      <c r="H28" s="170"/>
      <c r="I28" s="167"/>
      <c r="J28" s="41"/>
    </row>
    <row r="29" spans="1:10" ht="15.75" x14ac:dyDescent="0.2">
      <c r="A29" s="171"/>
      <c r="B29" s="171"/>
      <c r="C29" s="20"/>
      <c r="D29" s="20"/>
      <c r="E29" s="41"/>
      <c r="F29" s="41"/>
      <c r="G29" s="173"/>
      <c r="H29" s="170"/>
      <c r="I29" s="167"/>
      <c r="J29" s="41"/>
    </row>
    <row r="30" spans="1:10" ht="15.75" x14ac:dyDescent="0.2">
      <c r="A30" s="171" t="s">
        <v>122</v>
      </c>
      <c r="B30" s="20" t="s">
        <v>935</v>
      </c>
      <c r="C30" s="20"/>
      <c r="D30" s="20"/>
      <c r="E30" s="20"/>
      <c r="F30" s="20"/>
      <c r="G30" s="174">
        <f>IF(G24&gt;0,G24/G28,0)</f>
        <v>2.8255841418457203E-2</v>
      </c>
      <c r="H30" s="449"/>
      <c r="I30" s="20"/>
      <c r="J30" s="20"/>
    </row>
    <row r="31" spans="1:10" ht="15.75" x14ac:dyDescent="0.2">
      <c r="A31" s="171"/>
      <c r="B31" s="171"/>
      <c r="C31" s="20"/>
      <c r="D31" s="20"/>
      <c r="E31" s="20"/>
      <c r="F31" s="20"/>
      <c r="G31" s="449"/>
      <c r="H31" s="449"/>
      <c r="I31" s="20"/>
      <c r="J31" s="20"/>
    </row>
    <row r="32" spans="1:10" ht="15.75" x14ac:dyDescent="0.2">
      <c r="A32" s="171" t="s">
        <v>123</v>
      </c>
      <c r="B32" s="20" t="s">
        <v>936</v>
      </c>
      <c r="C32" s="20"/>
      <c r="D32" s="20"/>
      <c r="E32" s="20"/>
      <c r="F32" s="20"/>
      <c r="G32" s="449"/>
      <c r="H32" s="175" t="s">
        <v>104</v>
      </c>
      <c r="I32" s="20" t="s">
        <v>105</v>
      </c>
      <c r="J32" s="168">
        <f>ROUND(G30*J6,0)</f>
        <v>51745</v>
      </c>
    </row>
    <row r="33" spans="1:10" ht="15.75" x14ac:dyDescent="0.2">
      <c r="A33" s="171"/>
      <c r="B33" s="171"/>
      <c r="C33" s="20"/>
      <c r="D33" s="20"/>
      <c r="E33" s="20"/>
      <c r="F33" s="20"/>
      <c r="G33" s="449"/>
      <c r="H33" s="175"/>
      <c r="I33" s="20"/>
      <c r="J33" s="170"/>
    </row>
    <row r="34" spans="1:10" ht="16.5" thickBot="1" x14ac:dyDescent="0.25">
      <c r="A34" s="171" t="s">
        <v>124</v>
      </c>
      <c r="B34" s="20" t="str">
        <f>CONCATENATE(J1," budget tax levy, excluding debt service, prior to CPI adjustment (3 plus 12)")</f>
        <v>2015 budget tax levy, excluding debt service, prior to CPI adjustment (3 plus 12)</v>
      </c>
      <c r="C34" s="20"/>
      <c r="D34" s="20"/>
      <c r="E34" s="20"/>
      <c r="F34" s="20"/>
      <c r="G34" s="20"/>
      <c r="H34" s="20"/>
      <c r="I34" s="20" t="s">
        <v>105</v>
      </c>
      <c r="J34" s="176">
        <f>J6+J32</f>
        <v>1883031</v>
      </c>
    </row>
    <row r="35" spans="1:10" ht="16.5" thickTop="1" x14ac:dyDescent="0.2">
      <c r="A35" s="20"/>
      <c r="B35" s="20"/>
      <c r="C35" s="20"/>
      <c r="D35" s="20"/>
      <c r="E35" s="20"/>
      <c r="F35" s="20"/>
      <c r="G35" s="20"/>
      <c r="H35" s="20"/>
      <c r="I35" s="20"/>
      <c r="J35" s="170"/>
    </row>
    <row r="36" spans="1:10" ht="15.75" x14ac:dyDescent="0.2">
      <c r="A36" s="171" t="s">
        <v>132</v>
      </c>
      <c r="B36" s="20" t="str">
        <f>CONCATENATE("Debt service levy in this ",J1," budget")</f>
        <v>Debt service levy in this 2015 budget</v>
      </c>
      <c r="C36" s="20"/>
      <c r="D36" s="20"/>
      <c r="E36" s="20"/>
      <c r="F36" s="20"/>
      <c r="G36" s="20"/>
      <c r="H36" s="20"/>
      <c r="I36" s="20"/>
      <c r="J36" s="177">
        <f>'DebtSvs-Library'!$E$42</f>
        <v>309029</v>
      </c>
    </row>
    <row r="37" spans="1:10" ht="15.75" x14ac:dyDescent="0.2">
      <c r="A37" s="171"/>
      <c r="B37" s="20"/>
      <c r="C37" s="20"/>
      <c r="D37" s="20"/>
      <c r="E37" s="20"/>
      <c r="F37" s="20"/>
      <c r="G37" s="20"/>
      <c r="H37" s="20"/>
      <c r="I37" s="20"/>
      <c r="J37" s="170"/>
    </row>
    <row r="38" spans="1:10" ht="16.5" thickBot="1" x14ac:dyDescent="0.25">
      <c r="A38" s="171" t="s">
        <v>133</v>
      </c>
      <c r="B38" s="20" t="str">
        <f>CONCATENATE(J1," budget tax levy, including debt service, prior to CPI adjustment (13 plus 14)")</f>
        <v>2015 budget tax levy, including debt service, prior to CPI adjustment (13 plus 14)</v>
      </c>
      <c r="C38" s="20"/>
      <c r="D38" s="20"/>
      <c r="E38" s="20"/>
      <c r="F38" s="20"/>
      <c r="G38" s="20"/>
      <c r="H38" s="20"/>
      <c r="I38" s="20"/>
      <c r="J38" s="176">
        <f>J34+J36</f>
        <v>2192060</v>
      </c>
    </row>
    <row r="39" spans="1:10" ht="16.5" thickTop="1" x14ac:dyDescent="0.2">
      <c r="A39" s="643"/>
      <c r="B39" s="642"/>
      <c r="C39" s="642"/>
      <c r="D39" s="642"/>
      <c r="E39" s="642"/>
      <c r="F39" s="642"/>
      <c r="G39" s="642"/>
      <c r="H39" s="642"/>
      <c r="I39" s="642"/>
      <c r="J39" s="640"/>
    </row>
    <row r="40" spans="1:10" ht="15.75" x14ac:dyDescent="0.2">
      <c r="A40" s="645" t="s">
        <v>920</v>
      </c>
      <c r="B40" s="642" t="s">
        <v>921</v>
      </c>
      <c r="C40" s="642"/>
      <c r="D40" s="642"/>
      <c r="E40" s="642"/>
      <c r="F40" s="642"/>
      <c r="G40" s="642"/>
      <c r="H40" s="642"/>
      <c r="I40" s="642"/>
      <c r="J40" s="646">
        <v>1.4999999999999999E-2</v>
      </c>
    </row>
    <row r="41" spans="1:10" ht="15.75" x14ac:dyDescent="0.2">
      <c r="A41" s="645"/>
      <c r="B41" s="642"/>
      <c r="C41" s="642"/>
      <c r="D41" s="642"/>
      <c r="E41" s="642"/>
      <c r="F41" s="642"/>
      <c r="G41" s="642"/>
      <c r="H41" s="642"/>
      <c r="I41" s="642"/>
      <c r="J41" s="647"/>
    </row>
    <row r="42" spans="1:10" ht="15.75" x14ac:dyDescent="0.2">
      <c r="A42" s="645" t="s">
        <v>922</v>
      </c>
      <c r="B42" s="642" t="s">
        <v>923</v>
      </c>
      <c r="C42" s="642"/>
      <c r="D42" s="642"/>
      <c r="E42" s="642"/>
      <c r="F42" s="642"/>
      <c r="G42" s="642"/>
      <c r="H42" s="642"/>
      <c r="I42" s="641" t="s">
        <v>105</v>
      </c>
      <c r="J42" s="639">
        <f>J6*J40</f>
        <v>27469.289999999997</v>
      </c>
    </row>
    <row r="43" spans="1:10" ht="15.75" x14ac:dyDescent="0.2">
      <c r="A43" s="643"/>
      <c r="B43" s="642"/>
      <c r="C43" s="642"/>
      <c r="D43" s="642"/>
      <c r="E43" s="642"/>
      <c r="F43" s="642"/>
      <c r="G43" s="642"/>
      <c r="H43" s="642"/>
      <c r="I43" s="642"/>
      <c r="J43" s="640"/>
    </row>
    <row r="44" spans="1:10" ht="15.75" x14ac:dyDescent="0.2">
      <c r="A44" s="643" t="s">
        <v>924</v>
      </c>
      <c r="B44" s="642" t="s">
        <v>925</v>
      </c>
      <c r="C44" s="642"/>
      <c r="D44" s="642"/>
      <c r="E44" s="642"/>
      <c r="F44" s="642"/>
      <c r="G44" s="642"/>
      <c r="H44" s="642"/>
      <c r="I44" s="642"/>
      <c r="J44" s="638"/>
    </row>
    <row r="45" spans="1:10" ht="19.5" thickBot="1" x14ac:dyDescent="0.25">
      <c r="A45" s="637"/>
      <c r="B45" s="641" t="s">
        <v>926</v>
      </c>
      <c r="C45" s="637"/>
      <c r="D45" s="637"/>
      <c r="E45" s="637"/>
      <c r="F45" s="637"/>
      <c r="G45" s="637"/>
      <c r="H45" s="637"/>
      <c r="I45" s="641" t="s">
        <v>105</v>
      </c>
      <c r="J45" s="644">
        <f>J38+J42</f>
        <v>2219529.29</v>
      </c>
    </row>
    <row r="46" spans="1:10" ht="19.5" thickTop="1" x14ac:dyDescent="0.2">
      <c r="A46" s="637"/>
      <c r="B46" s="648"/>
      <c r="C46" s="637"/>
      <c r="D46" s="637"/>
      <c r="E46" s="637"/>
      <c r="F46" s="637"/>
      <c r="G46" s="637"/>
      <c r="H46" s="637"/>
      <c r="I46" s="641"/>
      <c r="J46" s="640"/>
    </row>
    <row r="47" spans="1:10" ht="18.75" x14ac:dyDescent="0.2">
      <c r="A47" s="776" t="str">
        <f>CONCATENATE("If the ",J1," adopted budget includes a total property tax levy exceeding the dollar amount in line 18")</f>
        <v>If the 2015 adopted budget includes a total property tax levy exceeding the dollar amount in line 18</v>
      </c>
      <c r="B47" s="776"/>
      <c r="C47" s="776"/>
      <c r="D47" s="776"/>
      <c r="E47" s="776"/>
      <c r="F47" s="776"/>
      <c r="G47" s="776"/>
      <c r="H47" s="776"/>
      <c r="I47" s="776"/>
      <c r="J47" s="776"/>
    </row>
    <row r="48" spans="1:10" ht="18.75" x14ac:dyDescent="0.2">
      <c r="A48" s="776" t="s">
        <v>918</v>
      </c>
      <c r="B48" s="776"/>
      <c r="C48" s="776"/>
      <c r="D48" s="776"/>
      <c r="E48" s="776"/>
      <c r="F48" s="776"/>
      <c r="G48" s="776"/>
      <c r="H48" s="776"/>
      <c r="I48" s="776"/>
      <c r="J48" s="776"/>
    </row>
    <row r="49" spans="1:10" ht="15.75" x14ac:dyDescent="0.2">
      <c r="A49" s="773" t="s">
        <v>919</v>
      </c>
      <c r="B49" s="773"/>
      <c r="C49" s="773"/>
      <c r="D49" s="773"/>
      <c r="E49" s="773"/>
      <c r="F49" s="773"/>
      <c r="G49" s="773"/>
      <c r="H49" s="773"/>
      <c r="I49" s="773"/>
      <c r="J49" s="773"/>
    </row>
    <row r="50" spans="1:10" ht="15.95" customHeight="1" x14ac:dyDescent="0.2">
      <c r="A50" s="773" t="s">
        <v>961</v>
      </c>
      <c r="B50" s="773"/>
      <c r="C50" s="773"/>
      <c r="D50" s="773"/>
      <c r="E50" s="773"/>
      <c r="F50" s="773"/>
      <c r="G50" s="773"/>
      <c r="H50" s="773"/>
      <c r="I50" s="773"/>
      <c r="J50" s="773"/>
    </row>
  </sheetData>
  <sheetProtection sheet="1" objects="1" scenarios="1"/>
  <mergeCells count="6">
    <mergeCell ref="A50:J50"/>
    <mergeCell ref="A49:J49"/>
    <mergeCell ref="A3:J3"/>
    <mergeCell ref="A48:J48"/>
    <mergeCell ref="A47:J47"/>
    <mergeCell ref="A8:J8"/>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5" workbookViewId="0">
      <selection activeCell="F7" sqref="F7"/>
    </sheetView>
  </sheetViews>
  <sheetFormatPr defaultColWidth="8.88671875" defaultRowHeight="15" customHeight="1" x14ac:dyDescent="0.2"/>
  <cols>
    <col min="1" max="1" width="8.88671875" style="16"/>
    <col min="2" max="3" width="17.44140625" style="16" customWidth="1"/>
    <col min="4" max="6" width="12.77734375" style="16" customWidth="1"/>
    <col min="7" max="7" width="12.77734375" style="128" customWidth="1"/>
    <col min="8" max="16384" width="8.88671875" style="16"/>
  </cols>
  <sheetData>
    <row r="1" spans="1:8" ht="15" customHeight="1" x14ac:dyDescent="0.2">
      <c r="A1" s="24"/>
      <c r="B1" s="164" t="str">
        <f>inputPrYr!D3</f>
        <v>City of Bonner Springs</v>
      </c>
      <c r="C1" s="20"/>
      <c r="D1" s="20"/>
      <c r="E1" s="20"/>
      <c r="F1" s="178"/>
      <c r="G1" s="125">
        <f>inputPrYr!$C$10</f>
        <v>2015</v>
      </c>
    </row>
    <row r="2" spans="1:8" ht="15" customHeight="1" x14ac:dyDescent="0.2">
      <c r="A2" s="24"/>
      <c r="B2" s="20"/>
      <c r="C2" s="20"/>
      <c r="D2" s="20"/>
      <c r="E2" s="20"/>
      <c r="F2" s="20"/>
      <c r="G2" s="24"/>
    </row>
    <row r="3" spans="1:8" ht="20.25" customHeight="1" x14ac:dyDescent="0.2">
      <c r="A3" s="24"/>
      <c r="B3" s="774" t="s">
        <v>900</v>
      </c>
      <c r="C3" s="774"/>
      <c r="D3" s="774"/>
      <c r="E3" s="774"/>
      <c r="F3" s="774"/>
      <c r="G3" s="24"/>
    </row>
    <row r="4" spans="1:8" ht="15" customHeight="1" x14ac:dyDescent="0.2">
      <c r="A4" s="24"/>
      <c r="B4" s="27"/>
      <c r="C4" s="26"/>
      <c r="D4" s="26"/>
      <c r="E4" s="26"/>
      <c r="F4" s="20"/>
      <c r="G4" s="24"/>
    </row>
    <row r="5" spans="1:8" ht="15" customHeight="1" x14ac:dyDescent="0.2">
      <c r="A5" s="24"/>
      <c r="B5" s="20"/>
      <c r="C5" s="20"/>
      <c r="D5" s="20"/>
      <c r="E5" s="20"/>
      <c r="F5" s="20"/>
      <c r="G5" s="24"/>
    </row>
    <row r="6" spans="1:8" ht="15.95" customHeight="1" x14ac:dyDescent="0.2">
      <c r="A6" s="24"/>
      <c r="B6" s="179" t="s">
        <v>859</v>
      </c>
      <c r="C6" s="135" t="s">
        <v>310</v>
      </c>
      <c r="D6" s="777" t="str">
        <f>CONCATENATE("Allocation for Year ",G1,"")</f>
        <v>Allocation for Year 2015</v>
      </c>
      <c r="E6" s="778"/>
      <c r="F6" s="779"/>
      <c r="G6" s="24"/>
    </row>
    <row r="7" spans="1:8" ht="23.25" customHeight="1" x14ac:dyDescent="0.2">
      <c r="A7" s="24"/>
      <c r="B7" s="180" t="str">
        <f>CONCATENATE("for ",G1-1,"")</f>
        <v>for 2014</v>
      </c>
      <c r="C7" s="181" t="str">
        <f>CONCATENATE("Amount for ",G1-2,"")</f>
        <v>Amount for 2013</v>
      </c>
      <c r="D7" s="140" t="s">
        <v>102</v>
      </c>
      <c r="E7" s="518" t="s">
        <v>101</v>
      </c>
      <c r="F7" s="140" t="s">
        <v>100</v>
      </c>
      <c r="G7" s="559"/>
    </row>
    <row r="8" spans="1:8" ht="15" customHeight="1" x14ac:dyDescent="0.2">
      <c r="A8" s="24"/>
      <c r="B8" s="38" t="s">
        <v>14</v>
      </c>
      <c r="C8" s="182">
        <f>IF((inputPrYr!E22)&gt;0,(inputPrYr!E22),"  ")</f>
        <v>1493170</v>
      </c>
      <c r="D8" s="182">
        <f>IF(inputPrYr!E22&gt;0,D17-SUM(D9:D14),0)</f>
        <v>182429.14</v>
      </c>
      <c r="E8" s="558">
        <f>IF(inputPrYr!E22=0,0,E19-SUM(E9:E14))</f>
        <v>884</v>
      </c>
      <c r="F8" s="182">
        <f>IF(inputPrYr!E22=0,0,F21-SUM(F9:F14))</f>
        <v>1017.9099999999999</v>
      </c>
      <c r="G8" s="486"/>
    </row>
    <row r="9" spans="1:8" ht="15" customHeight="1" x14ac:dyDescent="0.2">
      <c r="A9" s="24"/>
      <c r="B9" s="38" t="str">
        <f>inputPrYr!B23</f>
        <v>Debt Service</v>
      </c>
      <c r="C9" s="182">
        <f>IF((inputPrYr!E23)&gt;0,(inputPrYr!E23),"  ")</f>
        <v>372538</v>
      </c>
      <c r="D9" s="182">
        <f>IF(inputPrYr!$E23&gt;0,ROUND(C9*D$24,0),"  ")</f>
        <v>45515</v>
      </c>
      <c r="E9" s="558">
        <f>IF(inputPrYr!$E23&gt;0,ROUND(+C9*E$26,0),"  ")</f>
        <v>220</v>
      </c>
      <c r="F9" s="182">
        <f>IF(inputPrYr!$E23&gt;0,ROUND(C9*F$28,0),"  ")</f>
        <v>254</v>
      </c>
      <c r="G9" s="486"/>
    </row>
    <row r="10" spans="1:8" ht="15" customHeight="1" x14ac:dyDescent="0.2">
      <c r="A10" s="24"/>
      <c r="B10" s="59" t="str">
        <f>IF((inputPrYr!$B24&gt;"  "),(inputPrYr!$B24),"  ")</f>
        <v>Library</v>
      </c>
      <c r="C10" s="182">
        <f>IF((inputPrYr!E24)&gt;0,(inputPrYr!E24),"  ")</f>
        <v>338116</v>
      </c>
      <c r="D10" s="182">
        <f>IF(inputPrYr!$E24&gt;0,ROUND(C10*D$24,0),"  ")</f>
        <v>41310</v>
      </c>
      <c r="E10" s="558">
        <f>IF(inputPrYr!$E24&gt;0,ROUND(+C10*E$26,0),"  ")</f>
        <v>200</v>
      </c>
      <c r="F10" s="182">
        <f>IF(inputPrYr!E24&gt;0,ROUND(C10*F$28,0),"  ")</f>
        <v>230</v>
      </c>
      <c r="G10" s="486"/>
      <c r="H10" s="128"/>
    </row>
    <row r="11" spans="1:8" ht="15" customHeight="1" x14ac:dyDescent="0.2">
      <c r="A11" s="24"/>
      <c r="B11" s="59" t="s">
        <v>18</v>
      </c>
      <c r="C11" s="182" t="s">
        <v>18</v>
      </c>
      <c r="D11" s="182" t="s">
        <v>18</v>
      </c>
      <c r="E11" s="558" t="s">
        <v>18</v>
      </c>
      <c r="F11" s="182" t="s">
        <v>18</v>
      </c>
      <c r="G11" s="486"/>
    </row>
    <row r="12" spans="1:8" ht="15" customHeight="1" x14ac:dyDescent="0.2">
      <c r="A12" s="24"/>
      <c r="B12" s="59" t="s">
        <v>18</v>
      </c>
      <c r="C12" s="182" t="s">
        <v>18</v>
      </c>
      <c r="D12" s="182" t="s">
        <v>18</v>
      </c>
      <c r="E12" s="558" t="s">
        <v>18</v>
      </c>
      <c r="F12" s="182" t="s">
        <v>18</v>
      </c>
      <c r="G12" s="486"/>
    </row>
    <row r="13" spans="1:8" ht="15" customHeight="1" x14ac:dyDescent="0.2">
      <c r="A13" s="24"/>
      <c r="B13" s="59" t="s">
        <v>18</v>
      </c>
      <c r="C13" s="182" t="s">
        <v>18</v>
      </c>
      <c r="D13" s="182" t="s">
        <v>18</v>
      </c>
      <c r="E13" s="558" t="s">
        <v>18</v>
      </c>
      <c r="F13" s="182" t="s">
        <v>18</v>
      </c>
      <c r="G13" s="486"/>
    </row>
    <row r="14" spans="1:8" ht="15" customHeight="1" x14ac:dyDescent="0.2">
      <c r="A14" s="24"/>
      <c r="B14" s="59" t="str">
        <f>IF((inputPrYr!B26&gt;"  "),(inputPrYr!B26),"  ")</f>
        <v xml:space="preserve">  </v>
      </c>
      <c r="C14" s="182" t="str">
        <f>IF((inputPrYr!E26)&gt;0,(inputPrYr!E26),"  ")</f>
        <v xml:space="preserve">  </v>
      </c>
      <c r="D14" s="182" t="str">
        <f>IF(inputPrYr!$E26&gt;0,ROUND(C14*D$24,0),"  ")</f>
        <v xml:space="preserve">  </v>
      </c>
      <c r="E14" s="558" t="str">
        <f>IF(inputPrYr!$E26&gt;0,ROUND(+C14*E$26,0),"  ")</f>
        <v xml:space="preserve">  </v>
      </c>
      <c r="F14" s="182" t="str">
        <f>IF(inputPrYr!E26&gt;0,ROUND(C14*F$28,0),"  ")</f>
        <v xml:space="preserve">  </v>
      </c>
      <c r="G14" s="486"/>
    </row>
    <row r="15" spans="1:8" ht="18.75" customHeight="1" thickBot="1" x14ac:dyDescent="0.25">
      <c r="A15" s="24"/>
      <c r="B15" s="39" t="s">
        <v>35</v>
      </c>
      <c r="C15" s="183">
        <f>SUM(C8:C14)</f>
        <v>2203824</v>
      </c>
      <c r="D15" s="183">
        <f>SUM(D8:D14)</f>
        <v>269254.14</v>
      </c>
      <c r="E15" s="184">
        <f>SUM(E8:E14)</f>
        <v>1304</v>
      </c>
      <c r="F15" s="183">
        <f>SUM(F8:F14)</f>
        <v>1501.9099999999999</v>
      </c>
      <c r="G15" s="24"/>
    </row>
    <row r="16" spans="1:8" ht="15" customHeight="1" thickTop="1" x14ac:dyDescent="0.2">
      <c r="A16" s="24"/>
      <c r="B16" s="20"/>
      <c r="C16" s="20"/>
      <c r="D16" s="20"/>
      <c r="E16" s="20"/>
      <c r="F16" s="20"/>
      <c r="G16" s="24"/>
    </row>
    <row r="17" spans="1:7" ht="16.5" customHeight="1" x14ac:dyDescent="0.2">
      <c r="A17" s="24"/>
      <c r="B17" s="22" t="s">
        <v>36</v>
      </c>
      <c r="C17" s="185"/>
      <c r="D17" s="168">
        <f>(inputOth!C51)</f>
        <v>269254.14</v>
      </c>
      <c r="E17" s="185"/>
      <c r="F17" s="20"/>
      <c r="G17" s="24"/>
    </row>
    <row r="18" spans="1:7" ht="15" customHeight="1" x14ac:dyDescent="0.2">
      <c r="A18" s="24"/>
      <c r="B18" s="20"/>
      <c r="C18" s="20"/>
      <c r="D18" s="20"/>
      <c r="E18" s="20"/>
      <c r="F18" s="20"/>
      <c r="G18" s="24"/>
    </row>
    <row r="19" spans="1:7" ht="17.25" customHeight="1" x14ac:dyDescent="0.2">
      <c r="A19" s="24"/>
      <c r="B19" s="22" t="s">
        <v>37</v>
      </c>
      <c r="C19" s="20"/>
      <c r="D19" s="20"/>
      <c r="E19" s="168">
        <f>(inputOth!D51)</f>
        <v>1304</v>
      </c>
      <c r="F19" s="20"/>
      <c r="G19" s="24"/>
    </row>
    <row r="20" spans="1:7" ht="15" customHeight="1" x14ac:dyDescent="0.2">
      <c r="A20" s="24"/>
      <c r="B20" s="20"/>
      <c r="C20" s="20"/>
      <c r="D20" s="20"/>
      <c r="E20" s="20"/>
      <c r="F20" s="20"/>
      <c r="G20" s="24"/>
    </row>
    <row r="21" spans="1:7" ht="16.5" customHeight="1" x14ac:dyDescent="0.2">
      <c r="A21" s="24"/>
      <c r="B21" s="22" t="s">
        <v>99</v>
      </c>
      <c r="C21" s="20"/>
      <c r="D21" s="20"/>
      <c r="E21" s="20"/>
      <c r="F21" s="168">
        <f>inputOth!E51</f>
        <v>1501.9099999999999</v>
      </c>
      <c r="G21" s="24"/>
    </row>
    <row r="22" spans="1:7" ht="15" customHeight="1" x14ac:dyDescent="0.2">
      <c r="A22" s="24"/>
      <c r="B22" s="20"/>
      <c r="C22" s="20"/>
      <c r="D22" s="20"/>
      <c r="E22" s="20"/>
      <c r="F22" s="20"/>
      <c r="G22" s="24"/>
    </row>
    <row r="23" spans="1:7" ht="15" customHeight="1" x14ac:dyDescent="0.2">
      <c r="A23" s="24"/>
      <c r="B23" s="20"/>
      <c r="C23" s="20"/>
      <c r="D23" s="20"/>
      <c r="E23" s="20"/>
      <c r="F23" s="20"/>
      <c r="G23" s="24"/>
    </row>
    <row r="24" spans="1:7" ht="16.5" customHeight="1" x14ac:dyDescent="0.2">
      <c r="A24" s="24"/>
      <c r="B24" s="22" t="s">
        <v>38</v>
      </c>
      <c r="C24" s="20"/>
      <c r="D24" s="186">
        <f>IF(C15=0,0,D17/C15)</f>
        <v>0.12217588155859997</v>
      </c>
      <c r="E24" s="20"/>
      <c r="F24" s="20"/>
      <c r="G24" s="24"/>
    </row>
    <row r="25" spans="1:7" ht="15" customHeight="1" x14ac:dyDescent="0.2">
      <c r="A25" s="24"/>
      <c r="B25" s="20"/>
      <c r="C25" s="20"/>
      <c r="D25" s="20"/>
      <c r="E25" s="20"/>
      <c r="F25" s="20"/>
      <c r="G25" s="24"/>
    </row>
    <row r="26" spans="1:7" ht="18" customHeight="1" x14ac:dyDescent="0.2">
      <c r="A26" s="24"/>
      <c r="B26" s="22"/>
      <c r="C26" s="22" t="s">
        <v>39</v>
      </c>
      <c r="D26" s="20"/>
      <c r="E26" s="186">
        <f>IF(C15=0,0,E19/C15)</f>
        <v>5.9169879264405866E-4</v>
      </c>
      <c r="F26" s="20"/>
      <c r="G26" s="24"/>
    </row>
    <row r="27" spans="1:7" ht="15" customHeight="1" x14ac:dyDescent="0.2">
      <c r="A27" s="24"/>
      <c r="B27" s="20"/>
      <c r="C27" s="20"/>
      <c r="D27" s="20"/>
      <c r="E27" s="20"/>
      <c r="F27" s="20"/>
      <c r="G27" s="24"/>
    </row>
    <row r="28" spans="1:7" ht="18" customHeight="1" x14ac:dyDescent="0.2">
      <c r="A28" s="24"/>
      <c r="B28" s="20"/>
      <c r="C28" s="20"/>
      <c r="D28" s="20" t="s">
        <v>98</v>
      </c>
      <c r="E28" s="20"/>
      <c r="F28" s="186">
        <f>IF(C15=0,0,F21/C15)</f>
        <v>6.8150178961659362E-4</v>
      </c>
      <c r="G28" s="24"/>
    </row>
    <row r="29" spans="1:7" ht="15" customHeight="1" x14ac:dyDescent="0.2">
      <c r="A29" s="24"/>
      <c r="B29" s="17"/>
      <c r="C29" s="17"/>
      <c r="D29" s="17"/>
      <c r="E29" s="17"/>
      <c r="F29" s="17"/>
      <c r="G29" s="187"/>
    </row>
    <row r="30" spans="1:7" ht="15" customHeight="1" x14ac:dyDescent="0.2">
      <c r="A30" s="24"/>
      <c r="B30" s="17"/>
      <c r="C30" s="17"/>
      <c r="D30" s="17"/>
      <c r="E30" s="17"/>
      <c r="F30" s="17"/>
      <c r="G30" s="187"/>
    </row>
    <row r="31" spans="1:7" ht="15" customHeight="1" x14ac:dyDescent="0.2">
      <c r="A31" s="24"/>
      <c r="B31" s="17"/>
      <c r="C31" s="17"/>
      <c r="D31" s="17"/>
      <c r="E31" s="17"/>
      <c r="F31" s="17"/>
      <c r="G31" s="187"/>
    </row>
    <row r="32" spans="1:7" ht="16.5" customHeight="1" x14ac:dyDescent="0.2">
      <c r="B32" s="75"/>
      <c r="C32" s="75"/>
      <c r="D32" s="75"/>
      <c r="E32" s="75"/>
      <c r="F32" s="75"/>
      <c r="G32" s="75"/>
    </row>
    <row r="33" spans="2:7" ht="15.95" customHeight="1" x14ac:dyDescent="0.2">
      <c r="B33" s="75"/>
      <c r="C33" s="75"/>
      <c r="D33" s="75"/>
      <c r="E33" s="75"/>
      <c r="F33" s="75"/>
      <c r="G33" s="75"/>
    </row>
    <row r="34" spans="2:7" s="188" customFormat="1" ht="15.95" customHeight="1" x14ac:dyDescent="0.2">
      <c r="B34" s="75"/>
      <c r="C34" s="75"/>
      <c r="D34" s="75"/>
      <c r="E34" s="75"/>
      <c r="F34" s="75"/>
      <c r="G34" s="75"/>
    </row>
    <row r="35" spans="2:7" ht="18.75" customHeight="1" x14ac:dyDescent="0.2">
      <c r="B35" s="75"/>
      <c r="C35" s="75"/>
      <c r="D35" s="75"/>
      <c r="E35" s="75"/>
      <c r="F35" s="75"/>
      <c r="G35" s="75"/>
    </row>
    <row r="36" spans="2:7" ht="15" customHeight="1" x14ac:dyDescent="0.2">
      <c r="B36" s="75"/>
      <c r="C36" s="75"/>
      <c r="D36" s="75"/>
      <c r="E36" s="75"/>
      <c r="F36" s="75"/>
      <c r="G36" s="75"/>
    </row>
    <row r="37" spans="2:7" ht="15" customHeight="1" x14ac:dyDescent="0.2">
      <c r="B37" s="75"/>
      <c r="C37" s="75"/>
      <c r="D37" s="75"/>
      <c r="E37" s="75"/>
      <c r="F37" s="75"/>
      <c r="G37" s="75"/>
    </row>
    <row r="38" spans="2:7" ht="15" customHeight="1" x14ac:dyDescent="0.2">
      <c r="B38" s="75"/>
      <c r="C38" s="75"/>
      <c r="D38" s="75"/>
      <c r="E38" s="75"/>
      <c r="F38" s="75"/>
      <c r="G38" s="75"/>
    </row>
    <row r="39" spans="2:7" ht="15" customHeight="1" x14ac:dyDescent="0.2">
      <c r="B39" s="75"/>
      <c r="C39" s="75"/>
      <c r="D39" s="75"/>
      <c r="E39" s="75"/>
      <c r="F39" s="75"/>
      <c r="G39" s="75"/>
    </row>
    <row r="40" spans="2:7" ht="15" customHeight="1" x14ac:dyDescent="0.2">
      <c r="B40" s="75"/>
      <c r="C40" s="75"/>
      <c r="D40" s="75"/>
      <c r="E40" s="75"/>
      <c r="F40" s="75"/>
      <c r="G40" s="75"/>
    </row>
    <row r="41" spans="2:7" ht="15" customHeight="1" x14ac:dyDescent="0.2">
      <c r="B41" s="75"/>
      <c r="C41" s="75"/>
      <c r="D41" s="75"/>
      <c r="E41" s="75"/>
      <c r="F41" s="75"/>
      <c r="G41" s="75"/>
    </row>
    <row r="42" spans="2:7" ht="15" customHeight="1" x14ac:dyDescent="0.2">
      <c r="B42" s="75"/>
      <c r="C42" s="75"/>
      <c r="D42" s="75"/>
      <c r="E42" s="75"/>
      <c r="F42" s="75"/>
      <c r="G42" s="75"/>
    </row>
    <row r="43" spans="2:7" ht="15" customHeight="1" x14ac:dyDescent="0.2">
      <c r="B43" s="75"/>
      <c r="C43" s="75"/>
      <c r="D43" s="75"/>
      <c r="E43" s="75"/>
      <c r="F43" s="75"/>
      <c r="G43" s="75"/>
    </row>
    <row r="44" spans="2:7" ht="15" customHeight="1" x14ac:dyDescent="0.2">
      <c r="B44" s="75"/>
      <c r="C44" s="75"/>
      <c r="D44" s="75"/>
      <c r="E44" s="75"/>
      <c r="F44" s="75"/>
      <c r="G44" s="75"/>
    </row>
    <row r="45" spans="2:7" ht="15" customHeight="1" x14ac:dyDescent="0.2">
      <c r="B45" s="75"/>
      <c r="C45" s="75"/>
      <c r="D45" s="75"/>
      <c r="E45" s="75"/>
      <c r="F45" s="75"/>
      <c r="G45" s="75"/>
    </row>
    <row r="46" spans="2:7" ht="15" customHeight="1" x14ac:dyDescent="0.2">
      <c r="B46" s="75"/>
      <c r="C46" s="75"/>
      <c r="D46" s="75"/>
      <c r="E46" s="75"/>
      <c r="F46" s="75"/>
      <c r="G46" s="75"/>
    </row>
    <row r="47" spans="2:7" ht="15" customHeight="1" x14ac:dyDescent="0.2">
      <c r="B47" s="75"/>
      <c r="C47" s="75"/>
      <c r="D47" s="75"/>
      <c r="E47" s="75"/>
      <c r="F47" s="75"/>
      <c r="G47" s="75"/>
    </row>
    <row r="48" spans="2:7" ht="15" customHeight="1" x14ac:dyDescent="0.2">
      <c r="B48" s="75"/>
      <c r="C48" s="75"/>
      <c r="D48" s="75"/>
      <c r="E48" s="75"/>
      <c r="F48" s="75"/>
      <c r="G48" s="75"/>
    </row>
    <row r="49" spans="2:7" ht="15" customHeight="1" x14ac:dyDescent="0.2">
      <c r="B49" s="75"/>
      <c r="C49" s="75"/>
      <c r="D49" s="75"/>
      <c r="E49" s="75"/>
      <c r="F49" s="75"/>
      <c r="G49" s="75"/>
    </row>
  </sheetData>
  <sheetProtection sheet="1" objects="1" scenarios="1"/>
  <mergeCells count="2">
    <mergeCell ref="B3:F3"/>
    <mergeCell ref="D6:F6"/>
  </mergeCells>
  <phoneticPr fontId="0" type="noConversion"/>
  <pageMargins left="0.5" right="0.5" top="0.5" bottom="0.5" header="0" footer="0.5"/>
  <pageSetup scale="79"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4" workbookViewId="0">
      <selection activeCell="A3" sqref="A3:XFD3"/>
    </sheetView>
  </sheetViews>
  <sheetFormatPr defaultColWidth="8.88671875" defaultRowHeight="15" x14ac:dyDescent="0.2"/>
  <cols>
    <col min="1" max="1" width="22.44140625" style="75" customWidth="1"/>
    <col min="2" max="2" width="30.109375" style="75" customWidth="1"/>
    <col min="3" max="3" width="12.109375" style="75" customWidth="1"/>
    <col min="4" max="4" width="11.33203125" style="75" customWidth="1"/>
    <col min="5" max="5" width="11.109375" style="75" customWidth="1"/>
    <col min="6" max="6" width="14.44140625" style="75" customWidth="1"/>
    <col min="7" max="16384" width="8.88671875" style="75"/>
  </cols>
  <sheetData>
    <row r="1" spans="1:7" ht="15.75" x14ac:dyDescent="0.2">
      <c r="A1" s="164" t="str">
        <f>inputPrYr!D3</f>
        <v>City of Bonner Springs</v>
      </c>
      <c r="B1" s="20"/>
      <c r="C1" s="20"/>
      <c r="D1" s="20"/>
      <c r="E1" s="20"/>
      <c r="F1" s="20">
        <f>inputPrYr!C10</f>
        <v>2015</v>
      </c>
    </row>
    <row r="2" spans="1:7" ht="15.75" x14ac:dyDescent="0.2">
      <c r="A2" s="775" t="s">
        <v>138</v>
      </c>
      <c r="B2" s="775"/>
      <c r="C2" s="775"/>
      <c r="D2" s="775"/>
      <c r="E2" s="775"/>
      <c r="F2" s="775"/>
    </row>
    <row r="3" spans="1:7" ht="15.75" x14ac:dyDescent="0.2">
      <c r="A3" s="189" t="s">
        <v>599</v>
      </c>
      <c r="B3" s="189" t="s">
        <v>600</v>
      </c>
      <c r="C3" s="189" t="s">
        <v>54</v>
      </c>
      <c r="D3" s="189" t="s">
        <v>147</v>
      </c>
      <c r="E3" s="189" t="s">
        <v>148</v>
      </c>
      <c r="F3" s="189" t="s">
        <v>160</v>
      </c>
    </row>
    <row r="4" spans="1:7" ht="15.75" x14ac:dyDescent="0.2">
      <c r="A4" s="190" t="s">
        <v>601</v>
      </c>
      <c r="B4" s="190" t="s">
        <v>602</v>
      </c>
      <c r="C4" s="190" t="s">
        <v>159</v>
      </c>
      <c r="D4" s="190" t="s">
        <v>159</v>
      </c>
      <c r="E4" s="190" t="s">
        <v>159</v>
      </c>
      <c r="F4" s="190" t="s">
        <v>149</v>
      </c>
    </row>
    <row r="5" spans="1:7" ht="15.75" x14ac:dyDescent="0.2">
      <c r="A5" s="191" t="s">
        <v>157</v>
      </c>
      <c r="B5" s="191" t="s">
        <v>158</v>
      </c>
      <c r="C5" s="192">
        <f>F1-2</f>
        <v>2013</v>
      </c>
      <c r="D5" s="192">
        <f>F1-1</f>
        <v>2014</v>
      </c>
      <c r="E5" s="192">
        <f>F1</f>
        <v>2015</v>
      </c>
      <c r="F5" s="191" t="s">
        <v>150</v>
      </c>
    </row>
    <row r="6" spans="1:7" ht="15.75" x14ac:dyDescent="0.2">
      <c r="A6" s="679" t="s">
        <v>1033</v>
      </c>
      <c r="B6" s="193" t="s">
        <v>1034</v>
      </c>
      <c r="C6" s="680">
        <v>368936</v>
      </c>
      <c r="D6" s="680">
        <v>421020</v>
      </c>
      <c r="E6" s="680">
        <v>512130</v>
      </c>
      <c r="F6" s="193" t="s">
        <v>1071</v>
      </c>
    </row>
    <row r="7" spans="1:7" ht="15.75" x14ac:dyDescent="0.2">
      <c r="A7" s="271" t="s">
        <v>1033</v>
      </c>
      <c r="B7" s="194" t="s">
        <v>1221</v>
      </c>
      <c r="C7" s="681">
        <v>2228</v>
      </c>
      <c r="D7" s="681">
        <v>0</v>
      </c>
      <c r="E7" s="681">
        <v>0</v>
      </c>
      <c r="F7" s="193" t="s">
        <v>1071</v>
      </c>
    </row>
    <row r="8" spans="1:7" ht="15.75" x14ac:dyDescent="0.2">
      <c r="A8" s="271" t="s">
        <v>1033</v>
      </c>
      <c r="B8" s="194" t="s">
        <v>1035</v>
      </c>
      <c r="C8" s="681">
        <v>37770</v>
      </c>
      <c r="D8" s="681">
        <v>41830</v>
      </c>
      <c r="E8" s="681">
        <v>42373</v>
      </c>
      <c r="F8" s="193" t="s">
        <v>1071</v>
      </c>
    </row>
    <row r="9" spans="1:7" ht="15.75" x14ac:dyDescent="0.2">
      <c r="A9" s="271" t="s">
        <v>1033</v>
      </c>
      <c r="B9" s="194" t="s">
        <v>1036</v>
      </c>
      <c r="C9" s="681">
        <v>95115</v>
      </c>
      <c r="D9" s="681">
        <v>78124</v>
      </c>
      <c r="E9" s="681">
        <v>109981</v>
      </c>
      <c r="F9" s="193" t="s">
        <v>1071</v>
      </c>
    </row>
    <row r="10" spans="1:7" ht="15.75" x14ac:dyDescent="0.2">
      <c r="A10" s="271" t="s">
        <v>1033</v>
      </c>
      <c r="B10" s="194" t="s">
        <v>1037</v>
      </c>
      <c r="C10" s="681">
        <v>27545</v>
      </c>
      <c r="D10" s="681">
        <v>26208</v>
      </c>
      <c r="E10" s="681">
        <v>14603</v>
      </c>
      <c r="F10" s="193" t="s">
        <v>1071</v>
      </c>
    </row>
    <row r="11" spans="1:7" ht="15.75" x14ac:dyDescent="0.2">
      <c r="A11" s="271" t="s">
        <v>1033</v>
      </c>
      <c r="B11" s="194" t="s">
        <v>1038</v>
      </c>
      <c r="C11" s="681">
        <v>0</v>
      </c>
      <c r="D11" s="681">
        <v>0</v>
      </c>
      <c r="E11" s="681">
        <v>9688</v>
      </c>
      <c r="F11" s="193" t="s">
        <v>1071</v>
      </c>
    </row>
    <row r="12" spans="1:7" ht="15.75" x14ac:dyDescent="0.2">
      <c r="A12" s="271" t="s">
        <v>1033</v>
      </c>
      <c r="B12" s="194" t="s">
        <v>1039</v>
      </c>
      <c r="C12" s="681">
        <v>20977</v>
      </c>
      <c r="D12" s="681">
        <v>33000</v>
      </c>
      <c r="E12" s="681">
        <v>33000</v>
      </c>
      <c r="F12" s="193" t="s">
        <v>1071</v>
      </c>
    </row>
    <row r="13" spans="1:7" ht="15.75" x14ac:dyDescent="0.2">
      <c r="A13" s="271" t="s">
        <v>1033</v>
      </c>
      <c r="B13" s="194" t="s">
        <v>1040</v>
      </c>
      <c r="C13" s="681">
        <v>250428</v>
      </c>
      <c r="D13" s="681">
        <v>165053</v>
      </c>
      <c r="E13" s="681">
        <v>366978</v>
      </c>
      <c r="F13" s="193" t="s">
        <v>1071</v>
      </c>
      <c r="G13" s="704" t="s">
        <v>18</v>
      </c>
    </row>
    <row r="14" spans="1:7" ht="15.75" x14ac:dyDescent="0.2">
      <c r="A14" s="271" t="s">
        <v>1033</v>
      </c>
      <c r="B14" s="194" t="s">
        <v>1041</v>
      </c>
      <c r="C14" s="681">
        <v>9750</v>
      </c>
      <c r="D14" s="681">
        <v>10000</v>
      </c>
      <c r="E14" s="681">
        <v>10000</v>
      </c>
      <c r="F14" s="193" t="s">
        <v>1071</v>
      </c>
    </row>
    <row r="15" spans="1:7" s="689" customFormat="1" ht="15.75" x14ac:dyDescent="0.2">
      <c r="A15" s="682" t="s">
        <v>1042</v>
      </c>
      <c r="B15" s="23"/>
      <c r="C15" s="687">
        <f>SUM(C6:C14)</f>
        <v>812749</v>
      </c>
      <c r="D15" s="687">
        <f t="shared" ref="D15:E15" si="0">SUM(D6:D14)</f>
        <v>775235</v>
      </c>
      <c r="E15" s="687">
        <f t="shared" si="0"/>
        <v>1098753</v>
      </c>
      <c r="F15" s="688" t="s">
        <v>18</v>
      </c>
    </row>
    <row r="16" spans="1:7" s="671" customFormat="1" ht="15.75" x14ac:dyDescent="0.2">
      <c r="A16" s="271" t="s">
        <v>1045</v>
      </c>
      <c r="B16" s="194" t="s">
        <v>1033</v>
      </c>
      <c r="C16" s="681">
        <v>96100</v>
      </c>
      <c r="D16" s="681">
        <v>97460</v>
      </c>
      <c r="E16" s="681">
        <v>139500</v>
      </c>
      <c r="F16" s="193" t="s">
        <v>1071</v>
      </c>
    </row>
    <row r="17" spans="1:6" s="671" customFormat="1" ht="15.75" x14ac:dyDescent="0.2">
      <c r="A17" s="271" t="s">
        <v>1041</v>
      </c>
      <c r="B17" s="194" t="s">
        <v>1033</v>
      </c>
      <c r="C17" s="681">
        <v>32035</v>
      </c>
      <c r="D17" s="681">
        <v>33500</v>
      </c>
      <c r="E17" s="681">
        <v>46500</v>
      </c>
      <c r="F17" s="193" t="s">
        <v>1072</v>
      </c>
    </row>
    <row r="18" spans="1:6" s="671" customFormat="1" ht="15.75" x14ac:dyDescent="0.2">
      <c r="A18" s="271" t="s">
        <v>1044</v>
      </c>
      <c r="B18" s="194" t="s">
        <v>1033</v>
      </c>
      <c r="C18" s="681">
        <v>10500</v>
      </c>
      <c r="D18" s="681">
        <v>10500</v>
      </c>
      <c r="E18" s="681">
        <v>11000</v>
      </c>
      <c r="F18" s="193" t="s">
        <v>1072</v>
      </c>
    </row>
    <row r="19" spans="1:6" s="671" customFormat="1" ht="15.75" x14ac:dyDescent="0.2">
      <c r="A19" s="271" t="s">
        <v>1043</v>
      </c>
      <c r="B19" s="194" t="s">
        <v>1033</v>
      </c>
      <c r="C19" s="681">
        <v>54325</v>
      </c>
      <c r="D19" s="681">
        <v>56250</v>
      </c>
      <c r="E19" s="681">
        <v>60400</v>
      </c>
      <c r="F19" s="193" t="s">
        <v>1072</v>
      </c>
    </row>
    <row r="20" spans="1:6" ht="15.75" x14ac:dyDescent="0.2">
      <c r="A20" s="271" t="s">
        <v>1221</v>
      </c>
      <c r="B20" s="194" t="s">
        <v>1033</v>
      </c>
      <c r="C20" s="681">
        <v>17510</v>
      </c>
      <c r="D20" s="681">
        <v>0</v>
      </c>
      <c r="E20" s="681">
        <v>0</v>
      </c>
      <c r="F20" s="193" t="s">
        <v>1071</v>
      </c>
    </row>
    <row r="21" spans="1:6" s="689" customFormat="1" ht="15.75" x14ac:dyDescent="0.2">
      <c r="A21" s="682" t="s">
        <v>1152</v>
      </c>
      <c r="B21" s="23"/>
      <c r="C21" s="687">
        <f>SUM(C16:C20)</f>
        <v>210470</v>
      </c>
      <c r="D21" s="687">
        <f>SUM(D16:D20)</f>
        <v>197710</v>
      </c>
      <c r="E21" s="687">
        <f>SUM(E16:E20)</f>
        <v>257400</v>
      </c>
      <c r="F21" s="688"/>
    </row>
    <row r="22" spans="1:6" s="689" customFormat="1" ht="15.75" x14ac:dyDescent="0.2">
      <c r="A22" s="271" t="s">
        <v>1041</v>
      </c>
      <c r="B22" s="194" t="s">
        <v>1153</v>
      </c>
      <c r="C22" s="681">
        <v>523705</v>
      </c>
      <c r="D22" s="681">
        <v>566169</v>
      </c>
      <c r="E22" s="681">
        <v>589461</v>
      </c>
      <c r="F22" s="193" t="s">
        <v>1072</v>
      </c>
    </row>
    <row r="23" spans="1:6" s="689" customFormat="1" ht="15.75" x14ac:dyDescent="0.2">
      <c r="A23" s="271" t="s">
        <v>1154</v>
      </c>
      <c r="B23" s="194" t="s">
        <v>280</v>
      </c>
      <c r="C23" s="681">
        <v>313001</v>
      </c>
      <c r="D23" s="681">
        <v>371257</v>
      </c>
      <c r="E23" s="681">
        <v>387799</v>
      </c>
      <c r="F23" s="193" t="s">
        <v>1072</v>
      </c>
    </row>
    <row r="24" spans="1:6" s="689" customFormat="1" ht="15.75" x14ac:dyDescent="0.2">
      <c r="A24" s="271" t="s">
        <v>1155</v>
      </c>
      <c r="B24" s="194" t="s">
        <v>280</v>
      </c>
      <c r="C24" s="681">
        <v>387471</v>
      </c>
      <c r="D24" s="681">
        <v>837280</v>
      </c>
      <c r="E24" s="681">
        <v>423825</v>
      </c>
      <c r="F24" s="193" t="s">
        <v>1071</v>
      </c>
    </row>
    <row r="25" spans="1:6" s="689" customFormat="1" ht="15.75" x14ac:dyDescent="0.2">
      <c r="A25" s="271" t="s">
        <v>1221</v>
      </c>
      <c r="B25" s="194" t="s">
        <v>280</v>
      </c>
      <c r="C25" s="681">
        <v>62674</v>
      </c>
      <c r="D25" s="681">
        <v>0</v>
      </c>
      <c r="E25" s="681">
        <v>0</v>
      </c>
      <c r="F25" s="193" t="s">
        <v>1071</v>
      </c>
    </row>
    <row r="26" spans="1:6" s="689" customFormat="1" ht="15.75" x14ac:dyDescent="0.2">
      <c r="A26" s="271" t="s">
        <v>1156</v>
      </c>
      <c r="B26" s="194" t="s">
        <v>280</v>
      </c>
      <c r="C26" s="681">
        <v>19743</v>
      </c>
      <c r="D26" s="681">
        <v>19828</v>
      </c>
      <c r="E26" s="681">
        <v>19851</v>
      </c>
      <c r="F26" s="193" t="s">
        <v>1072</v>
      </c>
    </row>
    <row r="27" spans="1:6" s="689" customFormat="1" ht="15.75" x14ac:dyDescent="0.2">
      <c r="A27" s="271" t="s">
        <v>1157</v>
      </c>
      <c r="B27" s="194" t="s">
        <v>280</v>
      </c>
      <c r="C27" s="681">
        <v>268044</v>
      </c>
      <c r="D27" s="681">
        <v>268501</v>
      </c>
      <c r="E27" s="681">
        <v>263822</v>
      </c>
      <c r="F27" s="193" t="s">
        <v>1071</v>
      </c>
    </row>
    <row r="28" spans="1:6" s="689" customFormat="1" ht="15.75" x14ac:dyDescent="0.2">
      <c r="A28" s="271" t="s">
        <v>1158</v>
      </c>
      <c r="B28" s="194" t="s">
        <v>280</v>
      </c>
      <c r="C28" s="681">
        <v>1294760</v>
      </c>
      <c r="D28" s="681">
        <v>0</v>
      </c>
      <c r="E28" s="681">
        <v>0</v>
      </c>
      <c r="F28" s="193" t="s">
        <v>1071</v>
      </c>
    </row>
    <row r="29" spans="1:6" s="689" customFormat="1" ht="15.75" x14ac:dyDescent="0.2">
      <c r="A29" s="682" t="s">
        <v>1159</v>
      </c>
      <c r="B29" s="23"/>
      <c r="C29" s="687">
        <f>SUM(C22:C28)</f>
        <v>2869398</v>
      </c>
      <c r="D29" s="687">
        <f>SUM(D22:D28)</f>
        <v>2063035</v>
      </c>
      <c r="E29" s="687">
        <f>SUM(E22:E28)</f>
        <v>1684758</v>
      </c>
      <c r="F29" s="688"/>
    </row>
    <row r="30" spans="1:6" s="704" customFormat="1" ht="15.75" x14ac:dyDescent="0.2">
      <c r="A30" s="271" t="s">
        <v>1221</v>
      </c>
      <c r="B30" s="194" t="s">
        <v>1041</v>
      </c>
      <c r="C30" s="681">
        <v>595</v>
      </c>
      <c r="D30" s="681">
        <v>0</v>
      </c>
      <c r="E30" s="681">
        <v>0</v>
      </c>
      <c r="F30" s="193" t="s">
        <v>1072</v>
      </c>
    </row>
    <row r="31" spans="1:6" s="704" customFormat="1" ht="15.75" x14ac:dyDescent="0.2">
      <c r="A31" s="271" t="s">
        <v>1221</v>
      </c>
      <c r="B31" s="194" t="s">
        <v>1045</v>
      </c>
      <c r="C31" s="681">
        <v>1784</v>
      </c>
      <c r="D31" s="681">
        <v>0</v>
      </c>
      <c r="E31" s="681">
        <v>0</v>
      </c>
      <c r="F31" s="193" t="s">
        <v>1072</v>
      </c>
    </row>
    <row r="32" spans="1:6" s="704" customFormat="1" ht="15.75" x14ac:dyDescent="0.2">
      <c r="A32" s="271" t="s">
        <v>1186</v>
      </c>
      <c r="B32" s="194" t="s">
        <v>1037</v>
      </c>
      <c r="C32" s="681">
        <v>0</v>
      </c>
      <c r="D32" s="681">
        <v>1225</v>
      </c>
      <c r="E32" s="681">
        <v>1225</v>
      </c>
      <c r="F32" s="193" t="s">
        <v>1071</v>
      </c>
    </row>
    <row r="33" spans="1:6" s="704" customFormat="1" ht="15.75" x14ac:dyDescent="0.2">
      <c r="A33" s="271" t="s">
        <v>1040</v>
      </c>
      <c r="B33" s="194" t="s">
        <v>1221</v>
      </c>
      <c r="C33" s="681">
        <v>33054</v>
      </c>
      <c r="D33" s="681">
        <v>0</v>
      </c>
      <c r="E33" s="681">
        <v>0</v>
      </c>
      <c r="F33" s="193" t="s">
        <v>1071</v>
      </c>
    </row>
    <row r="34" spans="1:6" s="704" customFormat="1" ht="15.75" x14ac:dyDescent="0.2">
      <c r="A34" s="271" t="s">
        <v>1179</v>
      </c>
      <c r="B34" s="194" t="s">
        <v>1040</v>
      </c>
      <c r="C34" s="681">
        <v>0</v>
      </c>
      <c r="D34" s="681">
        <v>1315</v>
      </c>
      <c r="E34" s="681">
        <v>0</v>
      </c>
      <c r="F34" s="193" t="s">
        <v>1071</v>
      </c>
    </row>
    <row r="35" spans="1:6" s="686" customFormat="1" ht="15.75" x14ac:dyDescent="0.2">
      <c r="A35" s="271" t="s">
        <v>1233</v>
      </c>
      <c r="B35" s="194" t="s">
        <v>1040</v>
      </c>
      <c r="C35" s="681">
        <v>0</v>
      </c>
      <c r="D35" s="681">
        <v>300000</v>
      </c>
      <c r="E35" s="681">
        <v>300000</v>
      </c>
      <c r="F35" s="193" t="s">
        <v>1071</v>
      </c>
    </row>
    <row r="36" spans="1:6" s="686" customFormat="1" ht="15.75" x14ac:dyDescent="0.2">
      <c r="A36" s="271" t="s">
        <v>1111</v>
      </c>
      <c r="B36" s="194" t="s">
        <v>1036</v>
      </c>
      <c r="C36" s="681">
        <v>18900</v>
      </c>
      <c r="D36" s="681">
        <v>21200</v>
      </c>
      <c r="E36" s="681">
        <v>9000</v>
      </c>
      <c r="F36" s="193" t="s">
        <v>1071</v>
      </c>
    </row>
    <row r="37" spans="1:6" ht="15.75" x14ac:dyDescent="0.2">
      <c r="A37" s="271" t="s">
        <v>1111</v>
      </c>
      <c r="B37" s="194" t="s">
        <v>1112</v>
      </c>
      <c r="C37" s="681">
        <v>3513</v>
      </c>
      <c r="D37" s="681">
        <v>0</v>
      </c>
      <c r="E37" s="681">
        <v>0</v>
      </c>
      <c r="F37" s="193" t="s">
        <v>1071</v>
      </c>
    </row>
    <row r="38" spans="1:6" ht="15.75" x14ac:dyDescent="0.2">
      <c r="A38" s="271" t="s">
        <v>1160</v>
      </c>
      <c r="B38" s="194" t="s">
        <v>1161</v>
      </c>
      <c r="C38" s="681">
        <v>4640</v>
      </c>
      <c r="D38" s="681">
        <v>5000</v>
      </c>
      <c r="E38" s="681">
        <v>0</v>
      </c>
      <c r="F38" s="193" t="s">
        <v>1071</v>
      </c>
    </row>
    <row r="39" spans="1:6" ht="15.75" x14ac:dyDescent="0.2">
      <c r="A39" s="271" t="s">
        <v>1156</v>
      </c>
      <c r="B39" s="194" t="s">
        <v>1221</v>
      </c>
      <c r="C39" s="681">
        <v>9455</v>
      </c>
      <c r="D39" s="681">
        <v>0</v>
      </c>
      <c r="E39" s="681">
        <v>0</v>
      </c>
      <c r="F39" s="193" t="s">
        <v>1072</v>
      </c>
    </row>
    <row r="40" spans="1:6" s="689" customFormat="1" ht="15.75" x14ac:dyDescent="0.2">
      <c r="A40" s="707" t="s">
        <v>1199</v>
      </c>
      <c r="B40" s="23"/>
      <c r="C40" s="687">
        <f>SUM(C30:C39)</f>
        <v>71941</v>
      </c>
      <c r="D40" s="687">
        <f t="shared" ref="D40:E40" si="1">SUM(D30:D39)</f>
        <v>328740</v>
      </c>
      <c r="E40" s="687">
        <f t="shared" si="1"/>
        <v>310225</v>
      </c>
      <c r="F40" s="708"/>
    </row>
    <row r="41" spans="1:6" ht="15.75" x14ac:dyDescent="0.2">
      <c r="A41" s="161"/>
      <c r="B41" s="195" t="s">
        <v>40</v>
      </c>
      <c r="C41" s="196">
        <f>C15+C21+C29+C40</f>
        <v>3964558</v>
      </c>
      <c r="D41" s="196">
        <f>D15+D21+D29+D40</f>
        <v>3364720</v>
      </c>
      <c r="E41" s="196">
        <f>E15+E21+E29+E40</f>
        <v>3351136</v>
      </c>
      <c r="F41" s="161"/>
    </row>
    <row r="42" spans="1:6" ht="15.75" x14ac:dyDescent="0.2">
      <c r="A42" s="161"/>
      <c r="B42" s="197" t="s">
        <v>604</v>
      </c>
      <c r="C42" s="146"/>
      <c r="D42" s="194"/>
      <c r="E42" s="194"/>
      <c r="F42" s="161"/>
    </row>
    <row r="43" spans="1:6" ht="15.75" x14ac:dyDescent="0.2">
      <c r="A43" s="161"/>
      <c r="B43" s="195" t="s">
        <v>6</v>
      </c>
      <c r="C43" s="196">
        <f>C41</f>
        <v>3964558</v>
      </c>
      <c r="D43" s="196">
        <f>SUM(D41-D42)</f>
        <v>3364720</v>
      </c>
      <c r="E43" s="196">
        <f>SUM(E41-E42)</f>
        <v>3351136</v>
      </c>
      <c r="F43" s="161"/>
    </row>
    <row r="44" spans="1:6" ht="15.75" x14ac:dyDescent="0.2">
      <c r="A44" s="360" t="s">
        <v>603</v>
      </c>
      <c r="B44" s="361" t="str">
        <f>CONCATENATE("Adjustments are required only if the transfer is being made in ",D5," and/or ",E5," from a non-budgeted fund.")</f>
        <v>Adjustments are required only if the transfer is being made in 2014 and/or 2015 from a non-budgeted fund.</v>
      </c>
      <c r="C44" s="17"/>
      <c r="D44" s="17"/>
      <c r="E44" s="17"/>
      <c r="F44" s="17"/>
    </row>
  </sheetData>
  <sheetProtection sheet="1" objects="1" scenarios="1"/>
  <mergeCells count="1">
    <mergeCell ref="A2:F2"/>
  </mergeCells>
  <phoneticPr fontId="10" type="noConversion"/>
  <printOptions horizontalCentered="1" verticalCentered="1"/>
  <pageMargins left="0.75" right="0.75" top="0.25" bottom="0.25" header="0.25" footer="0.25"/>
  <pageSetup scale="75"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B6" sqref="B6"/>
    </sheetView>
  </sheetViews>
  <sheetFormatPr defaultColWidth="8.88671875" defaultRowHeight="15" x14ac:dyDescent="0.2"/>
  <cols>
    <col min="1" max="1" width="70.5546875" style="333" customWidth="1"/>
    <col min="2" max="16384" width="8.88671875" style="333"/>
  </cols>
  <sheetData>
    <row r="1" spans="1:1" ht="18.75" x14ac:dyDescent="0.2">
      <c r="A1" s="198" t="s">
        <v>311</v>
      </c>
    </row>
    <row r="2" spans="1:1" ht="18.75" x14ac:dyDescent="0.2">
      <c r="A2" s="198"/>
    </row>
    <row r="3" spans="1:1" ht="18.75" x14ac:dyDescent="0.2">
      <c r="A3" s="198"/>
    </row>
    <row r="4" spans="1:1" ht="51.75" customHeight="1" x14ac:dyDescent="0.25">
      <c r="A4" s="611" t="s">
        <v>894</v>
      </c>
    </row>
    <row r="5" spans="1:1" ht="18.75" x14ac:dyDescent="0.2">
      <c r="A5" s="198"/>
    </row>
    <row r="6" spans="1:1" ht="15.75" x14ac:dyDescent="0.2">
      <c r="A6" s="199"/>
    </row>
    <row r="7" spans="1:1" ht="47.25" x14ac:dyDescent="0.2">
      <c r="A7" s="200" t="s">
        <v>312</v>
      </c>
    </row>
    <row r="8" spans="1:1" ht="15.75" x14ac:dyDescent="0.2">
      <c r="A8" s="199"/>
    </row>
    <row r="9" spans="1:1" ht="15.75" x14ac:dyDescent="0.2">
      <c r="A9" s="199"/>
    </row>
    <row r="10" spans="1:1" ht="63" x14ac:dyDescent="0.2">
      <c r="A10" s="200" t="s">
        <v>313</v>
      </c>
    </row>
    <row r="11" spans="1:1" ht="15.75" x14ac:dyDescent="0.2">
      <c r="A11" s="201"/>
    </row>
    <row r="12" spans="1:1" ht="15.75" x14ac:dyDescent="0.2">
      <c r="A12" s="199"/>
    </row>
    <row r="13" spans="1:1" ht="47.25" x14ac:dyDescent="0.2">
      <c r="A13" s="200" t="s">
        <v>314</v>
      </c>
    </row>
    <row r="14" spans="1:1" ht="15.75" x14ac:dyDescent="0.2">
      <c r="A14" s="201"/>
    </row>
    <row r="15" spans="1:1" ht="15.75" x14ac:dyDescent="0.2">
      <c r="A15" s="199"/>
    </row>
    <row r="16" spans="1:1" ht="47.25" x14ac:dyDescent="0.2">
      <c r="A16" s="200" t="s">
        <v>315</v>
      </c>
    </row>
    <row r="17" spans="1:1" ht="15.75" x14ac:dyDescent="0.2">
      <c r="A17" s="201"/>
    </row>
    <row r="18" spans="1:1" ht="15.75" x14ac:dyDescent="0.2">
      <c r="A18" s="201"/>
    </row>
    <row r="19" spans="1:1" ht="47.25" x14ac:dyDescent="0.2">
      <c r="A19" s="200" t="s">
        <v>316</v>
      </c>
    </row>
    <row r="20" spans="1:1" ht="15.75" x14ac:dyDescent="0.2">
      <c r="A20" s="201"/>
    </row>
    <row r="21" spans="1:1" ht="15.75" x14ac:dyDescent="0.2">
      <c r="A21" s="201"/>
    </row>
    <row r="22" spans="1:1" ht="47.25" x14ac:dyDescent="0.2">
      <c r="A22" s="200" t="s">
        <v>317</v>
      </c>
    </row>
    <row r="23" spans="1:1" ht="15.75" x14ac:dyDescent="0.2">
      <c r="A23" s="201"/>
    </row>
    <row r="24" spans="1:1" ht="15.75" x14ac:dyDescent="0.2">
      <c r="A24" s="201"/>
    </row>
    <row r="25" spans="1:1" ht="31.5" x14ac:dyDescent="0.2">
      <c r="A25" s="200" t="s">
        <v>318</v>
      </c>
    </row>
    <row r="26" spans="1:1" ht="15.75" x14ac:dyDescent="0.2">
      <c r="A26" s="199"/>
    </row>
    <row r="27" spans="1:1" ht="15.75" x14ac:dyDescent="0.2">
      <c r="A27" s="199"/>
    </row>
    <row r="28" spans="1:1" ht="60" x14ac:dyDescent="0.2">
      <c r="A28" s="202" t="s">
        <v>319</v>
      </c>
    </row>
    <row r="29" spans="1:1" x14ac:dyDescent="0.2">
      <c r="A29" s="203"/>
    </row>
    <row r="30" spans="1:1" x14ac:dyDescent="0.2">
      <c r="A30" s="203"/>
    </row>
    <row r="31" spans="1:1" ht="47.25" x14ac:dyDescent="0.2">
      <c r="A31" s="200" t="s">
        <v>320</v>
      </c>
    </row>
    <row r="32" spans="1:1" ht="15.75" x14ac:dyDescent="0.2">
      <c r="A32" s="199"/>
    </row>
    <row r="33" spans="1:1" ht="15.75" x14ac:dyDescent="0.2">
      <c r="A33" s="199"/>
    </row>
    <row r="34" spans="1:1" ht="66.75" customHeight="1" x14ac:dyDescent="0.25">
      <c r="A34" s="612" t="s">
        <v>895</v>
      </c>
    </row>
    <row r="35" spans="1:1" ht="15.75" x14ac:dyDescent="0.2">
      <c r="A35" s="199"/>
    </row>
    <row r="36" spans="1:1" ht="15.75" x14ac:dyDescent="0.2">
      <c r="A36" s="199"/>
    </row>
    <row r="37" spans="1:1" ht="63" x14ac:dyDescent="0.2">
      <c r="A37" s="204" t="s">
        <v>321</v>
      </c>
    </row>
    <row r="38" spans="1:1" ht="15.75" x14ac:dyDescent="0.2">
      <c r="A38" s="201"/>
    </row>
    <row r="39" spans="1:1" ht="15.75" x14ac:dyDescent="0.2">
      <c r="A39" s="199"/>
    </row>
    <row r="40" spans="1:1" ht="63" x14ac:dyDescent="0.2">
      <c r="A40" s="200" t="s">
        <v>322</v>
      </c>
    </row>
    <row r="41" spans="1:1" ht="15.75" x14ac:dyDescent="0.2">
      <c r="A41" s="201"/>
    </row>
    <row r="42" spans="1:1" ht="15.75" x14ac:dyDescent="0.2">
      <c r="A42" s="201"/>
    </row>
    <row r="43" spans="1:1" ht="82.5" customHeight="1" x14ac:dyDescent="0.25">
      <c r="A43" s="613" t="s">
        <v>896</v>
      </c>
    </row>
    <row r="44" spans="1:1" ht="15.75" x14ac:dyDescent="0.2">
      <c r="A44" s="201"/>
    </row>
    <row r="45" spans="1:1" ht="15.75" x14ac:dyDescent="0.2">
      <c r="A45" s="201"/>
    </row>
    <row r="46" spans="1:1" ht="69" customHeight="1" x14ac:dyDescent="0.25">
      <c r="A46" s="613" t="s">
        <v>897</v>
      </c>
    </row>
    <row r="47" spans="1:1" ht="15.75" x14ac:dyDescent="0.2">
      <c r="A47" s="201"/>
    </row>
    <row r="48" spans="1:1" ht="15.75" x14ac:dyDescent="0.2">
      <c r="A48" s="201"/>
    </row>
    <row r="49" spans="1:1" ht="69" customHeight="1" x14ac:dyDescent="0.25">
      <c r="A49" s="613" t="s">
        <v>898</v>
      </c>
    </row>
    <row r="50" spans="1:1" ht="15.75" customHeight="1" x14ac:dyDescent="0.2">
      <c r="A50" s="201"/>
    </row>
    <row r="51" spans="1:1" ht="21.75" customHeight="1" x14ac:dyDescent="0.2">
      <c r="A51" s="201"/>
    </row>
    <row r="52" spans="1:1" ht="66" customHeight="1" x14ac:dyDescent="0.25">
      <c r="A52" s="613" t="s">
        <v>899</v>
      </c>
    </row>
    <row r="53" spans="1:1" ht="15.75" x14ac:dyDescent="0.2">
      <c r="A53" s="201"/>
    </row>
    <row r="54" spans="1:1" ht="15.75" x14ac:dyDescent="0.2">
      <c r="A54" s="201"/>
    </row>
    <row r="55" spans="1:1" ht="63" x14ac:dyDescent="0.2">
      <c r="A55" s="200" t="s">
        <v>323</v>
      </c>
    </row>
    <row r="56" spans="1:1" ht="15.75" x14ac:dyDescent="0.2">
      <c r="A56" s="201"/>
    </row>
    <row r="57" spans="1:1" ht="15.75" x14ac:dyDescent="0.2">
      <c r="A57" s="201"/>
    </row>
    <row r="58" spans="1:1" ht="63" x14ac:dyDescent="0.2">
      <c r="A58" s="200" t="s">
        <v>324</v>
      </c>
    </row>
    <row r="59" spans="1:1" ht="15.75" x14ac:dyDescent="0.2">
      <c r="A59" s="201"/>
    </row>
    <row r="60" spans="1:1" ht="15.75" x14ac:dyDescent="0.2">
      <c r="A60" s="201"/>
    </row>
    <row r="61" spans="1:1" ht="47.25" x14ac:dyDescent="0.2">
      <c r="A61" s="200" t="s">
        <v>325</v>
      </c>
    </row>
    <row r="62" spans="1:1" ht="15.75" x14ac:dyDescent="0.2">
      <c r="A62" s="201"/>
    </row>
    <row r="63" spans="1:1" ht="15.75" x14ac:dyDescent="0.2">
      <c r="A63" s="201"/>
    </row>
    <row r="64" spans="1:1" ht="47.25" x14ac:dyDescent="0.2">
      <c r="A64" s="200" t="s">
        <v>326</v>
      </c>
    </row>
    <row r="65" spans="1:1" ht="15.75" x14ac:dyDescent="0.2">
      <c r="A65" s="201"/>
    </row>
    <row r="66" spans="1:1" ht="15.75" x14ac:dyDescent="0.2">
      <c r="A66" s="201"/>
    </row>
    <row r="67" spans="1:1" ht="78.75" x14ac:dyDescent="0.2">
      <c r="A67" s="200" t="s">
        <v>327</v>
      </c>
    </row>
    <row r="68" spans="1:1" x14ac:dyDescent="0.2">
      <c r="A68" s="205"/>
    </row>
  </sheetData>
  <sheetProtection sheet="1"/>
  <pageMargins left="0.7" right="0.7" top="0.75" bottom="0.75" header="0.3" footer="0.3"/>
  <pageSetup orientation="portrait" r:id="rId1"/>
  <headerFooter>
    <oddFooter>&amp;Lrevised 10/6/09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6</vt:i4>
      </vt:variant>
    </vt:vector>
  </HeadingPairs>
  <TitlesOfParts>
    <vt:vector size="51"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general-detail</vt:lpstr>
      <vt:lpstr>DebtSvs-Library</vt:lpstr>
      <vt:lpstr>Aquatic Park CIP Sales</vt:lpstr>
      <vt:lpstr>Co Infrastructure Tourism</vt:lpstr>
      <vt:lpstr>Drug Econ Dev</vt:lpstr>
      <vt:lpstr>Emer Cap &amp; EMS </vt:lpstr>
      <vt:lpstr>Lib Sales &amp; Park Ded</vt:lpstr>
      <vt:lpstr>Rec Prog Risk Mgmt</vt:lpstr>
      <vt:lpstr>Sen Ctr Sidewalk</vt:lpstr>
      <vt:lpstr>Soccer Spec Parks</vt:lpstr>
      <vt:lpstr>Streets Summer Ball</vt:lpstr>
      <vt:lpstr>Swim Pool &amp; Tiblow</vt:lpstr>
      <vt:lpstr>TIF Dev &amp; TIF Increment</vt:lpstr>
      <vt:lpstr>CID Dev Fees &amp; CID</vt:lpstr>
      <vt:lpstr>Ctr City Contribution</vt:lpstr>
      <vt:lpstr>Solid Waste &amp; Storm </vt:lpstr>
      <vt:lpstr>Waste Water</vt:lpstr>
      <vt:lpstr>Water</vt:lpstr>
      <vt:lpstr>nonbud</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'Library Grant'!Print_Area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ug</cp:lastModifiedBy>
  <cp:lastPrinted>2014-08-15T15:52:09Z</cp:lastPrinted>
  <dcterms:created xsi:type="dcterms:W3CDTF">1998-12-22T16:13:18Z</dcterms:created>
  <dcterms:modified xsi:type="dcterms:W3CDTF">2014-08-15T21:54:19Z</dcterms:modified>
</cp:coreProperties>
</file>