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<sst xmlns="http://schemas.openxmlformats.org/spreadsheetml/2006/main" count="1588" uniqueCount="957">
  <si>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</si>
  <si>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</si>
  <si>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</si>
  <si>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</si>
  <si>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</si>
  <si>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</si>
  <si>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</si>
  <si>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</si>
  <si>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</si>
  <si>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</si>
  <si>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</si>
  <si>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</si>
  <si>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</si>
  <si>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</si>
  <si>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</si>
  <si>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</si>
  <si>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</si>
  <si>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</si>
  <si>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</si>
  <si>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</si>
  <si>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</si>
  <si>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</si>
  <si>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</si>
  <si>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</si>
  <si>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</si>
  <si>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</si>
  <si>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</si>
  <si>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</si>
  <si>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</si>
  <si>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</si>
  <si>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</si>
  <si>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</si>
  <si>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</si>
  <si>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</si>
  <si>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</si>
  <si>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</si>
  <si>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</si>
  <si>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</si>
  <si>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</si>
  <si>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</si>
  <si>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</si>
  <si>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</si>
  <si>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</si>
  <si>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</si>
  <si>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</si>
  <si>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</si>
  <si>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</si>
  <si>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</si>
  <si>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</si>
  <si>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</si>
  <si>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</si>
  <si>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</si>
  <si>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</si>
  <si>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</si>
  <si>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</si>
  <si>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</si>
  <si>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</si>
  <si>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</si>
  <si>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</si>
  <si>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</si>
  <si>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</si>
  <si>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</si>
  <si>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</si>
  <si>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</si>
  <si>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</si>
  <si>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</si>
  <si>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</si>
  <si>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</si>
  <si>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</si>
  <si>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</si>
  <si>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</si>
  <si>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</si>
  <si>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</si>
  <si>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</si>
  <si>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</si>
  <si>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</si>
  <si>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</si>
  <si>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</si>
  <si>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</si>
  <si>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</si>
  <si>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</si>
  <si>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</si>
  <si>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</si>
  <si>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</si>
  <si>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</si>
  <si>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</si>
  <si>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</si>
  <si>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</si>
  <si>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</si>
  <si>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</si>
  <si>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</si>
  <si>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</si>
  <si>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</si>
  <si>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</si>
  <si>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</si>
  <si>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</si>
  <si>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</si>
  <si>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</si>
  <si>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</si>
  <si>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</si>
  <si>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</si>
  <si>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</si>
  <si>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</si>
  <si>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</si>
  <si>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</si>
  <si>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</si>
  <si>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</si>
  <si>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</si>
  <si>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</si>
  <si>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</si>
  <si>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</si>
  <si>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</si>
  <si>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</si>
  <si>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</si>
  <si>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</si>
  <si>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</si>
  <si>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</si>
  <si>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</si>
  <si>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</si>
  <si>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</si>
  <si>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</si>
  <si>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</si>
  <si>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</si>
  <si>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</si>
  <si>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</si>
  <si>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</si>
  <si>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</si>
  <si>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</si>
  <si>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</si>
  <si>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</si>
  <si>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</si>
  <si>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</si>
  <si>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</si>
  <si>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</si>
  <si>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</si>
  <si>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</si>
  <si>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</si>
  <si>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</si>
  <si>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</si>
  <si>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</si>
  <si>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</si>
  <si>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</si>
  <si>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</si>
  <si>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</si>
  <si>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</si>
  <si>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</si>
  <si>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</si>
  <si>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</si>
  <si>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</si>
  <si>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</si>
  <si>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</si>
  <si>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</si>
  <si>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</si>
  <si>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</si>
  <si>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</si>
  <si>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</si>
  <si>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</si>
  <si>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</si>
  <si>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</si>
  <si>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</si>
  <si>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</si>
  <si>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</si>
  <si>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</si>
  <si>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</si>
  <si>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</si>
  <si>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</si>
  <si>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</si>
  <si>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</si>
  <si>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</si>
  <si>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</si>
  <si>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</si>
  <si>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</si>
  <si>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</si>
  <si>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</si>
  <si>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</si>
  <si>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</si>
  <si>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</si>
  <si>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</si>
  <si>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</si>
  <si>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</si>
  <si>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</si>
  <si>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</si>
  <si>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</si>
  <si>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</si>
  <si>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</si>
  <si>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</si>
  <si>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</si>
  <si>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</si>
  <si>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</si>
  <si>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</si>
  <si>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</si>
  <si>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</si>
  <si>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</si>
  <si>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</si>
  <si>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</si>
  <si>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</si>
  <si>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</si>
  <si>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</si>
  <si>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</si>
  <si>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</si>
  <si>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</si>
  <si>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</si>
  <si>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</si>
  <si>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</si>
  <si>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</si>
  <si>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</si>
  <si>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</si>
  <si>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</si>
  <si>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</si>
  <si>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</si>
  <si>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</si>
  <si>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</si>
  <si>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</si>
  <si>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</si>
  <si>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</si>
  <si>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</si>
  <si>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</si>
  <si>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</si>
  <si>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</si>
  <si>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</si>
  <si>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</si>
  <si>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</si>
  <si>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</si>
  <si>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</si>
  <si>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</si>
  <si>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</si>
  <si>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</si>
  <si>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</si>
  <si>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</si>
  <si>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</si>
  <si>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</si>
  <si>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</si>
  <si>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</si>
  <si>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</si>
  <si>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</si>
  <si>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</si>
  <si>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</si>
  <si>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</si>
  <si>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</si>
  <si>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</si>
  <si>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</si>
  <si>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</si>
  <si>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</si>
  <si>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</si>
  <si>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</si>
  <si>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</si>
  <si>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</si>
  <si>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</si>
  <si>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</si>
  <si>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</si>
  <si>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</si>
  <si>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</si>
  <si>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</si>
  <si>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</si>
  <si>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</si>
  <si>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</si>
  <si>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</si>
  <si>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</si>
  <si>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</si>
  <si>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</si>
  <si>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</si>
  <si>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</si>
  <si>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</si>
  <si>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</si>
  <si>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</si>
  <si>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</si>
  <si>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</si>
  <si>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</si>
  <si>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</si>
  <si>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</si>
  <si>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</si>
  <si>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</si>
  <si>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</si>
  <si>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</si>
  <si>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</si>
  <si>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</si>
  <si>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</si>
  <si>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</si>
  <si>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</si>
  <si>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</si>
  <si>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</si>
  <si>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</si>
  <si>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</si>
  <si>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</si>
  <si>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</si>
  <si>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</si>
  <si>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</si>
  <si>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</si>
  <si>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</si>
  <si>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</si>
  <si>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</si>
  <si>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</si>
  <si>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</si>
  <si>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</si>
  <si>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</si>
  <si>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</si>
  <si>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</si>
  <si>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</si>
  <si>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</si>
  <si>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</si>
  <si>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</si>
  <si>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</si>
  <si>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</si>
  <si>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</si>
  <si>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</si>
  <si>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</si>
  <si>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</si>
  <si>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</si>
  <si>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</si>
  <si>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</si>
  <si>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</si>
  <si>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</si>
  <si>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</si>
  <si>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</si>
  <si>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</si>
  <si>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</si>
  <si>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</si>
  <si>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</si>
  <si>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</si>
  <si>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</si>
  <si>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</si>
  <si>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</si>
  <si>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</si>
  <si>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</si>
  <si>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</si>
  <si>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</si>
  <si>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</si>
  <si>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</si>
  <si>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</si>
  <si>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</si>
  <si>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</si>
  <si>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</si>
  <si>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</si>
  <si>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</si>
  <si>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</si>
  <si>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</si>
  <si>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</si>
  <si>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</si>
  <si>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</si>
  <si>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</si>
  <si>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</si>
  <si>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</si>
  <si>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</si>
  <si>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</si>
  <si>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</si>
  <si>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</si>
  <si>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</si>
  <si>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</si>
  <si>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</si>
  <si>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</si>
  <si>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</si>
  <si>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</si>
  <si>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</si>
  <si>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</si>
  <si>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</si>
  <si>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</si>
  <si>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</si>
  <si>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</si>
  <si>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</si>
  <si>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</si>
  <si>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</si>
  <si>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</si>
  <si>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</si>
  <si>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</si>
  <si>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</si>
  <si>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</si>
  <si>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</si>
  <si>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</si>
  <si>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</si>
  <si>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</si>
  <si>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</si>
  <si>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</si>
  <si>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</si>
  <si>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</si>
  <si>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</si>
  <si>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</si>
  <si>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</si>
  <si>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</si>
  <si>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</si>
  <si>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</si>
  <si>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</si>
  <si>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</si>
  <si>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</si>
  <si>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</si>
  <si>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</si>
  <si>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</si>
  <si>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</si>
  <si>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</si>
  <si>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</si>
  <si>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</si>
  <si>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</si>
  <si>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</si>
  <si>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</si>
  <si>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</si>
  <si>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</si>
  <si>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</si>
  <si>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</si>
  <si>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</si>
  <si>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</si>
  <si>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</si>
  <si>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</si>
  <si>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</si>
  <si>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</si>
  <si>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</si>
  <si>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</si>
  <si>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</si>
  <si>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</si>
  <si>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</si>
  <si>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</si>
  <si>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</si>
  <si>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</si>
  <si>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</si>
  <si>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</si>
  <si>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</si>
  <si>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</si>
  <si>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</si>
  <si>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</si>
  <si>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</si>
  <si>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</si>
  <si>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</si>
  <si>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</si>
  <si>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</si>
  <si>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</si>
  <si>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</si>
  <si>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</si>
  <si>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</si>
  <si>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</si>
  <si>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</si>
  <si>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</si>
  <si>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</si>
  <si>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</si>
  <si>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</si>
  <si>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</si>
  <si>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</si>
  <si>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</si>
  <si>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</si>
  <si>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</si>
  <si>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</si>
  <si>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</si>
  <si>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</si>
  <si>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</si>
  <si>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</si>
  <si>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</si>
  <si>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</si>
  <si>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</si>
  <si>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</si>
  <si>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</si>
  <si>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</si>
  <si>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</si>
  <si>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</si>
  <si>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</si>
  <si>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</si>
  <si>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</si>
  <si>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</si>
  <si>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</si>
  <si>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</si>
  <si>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</si>
  <si>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</si>
  <si>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</si>
  <si>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</si>
  <si>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</si>
  <si>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</si>
  <si>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</si>
  <si>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</si>
  <si>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</si>
  <si>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</si>
  <si>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</si>
  <si>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</si>
  <si>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</si>
  <si>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</si>
  <si>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</si>
  <si>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</si>
  <si>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</si>
  <si>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</si>
  <si>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</si>
  <si>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</si>
  <si>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</si>
  <si>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</si>
  <si>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</si>
  <si>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</si>
  <si>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</si>
  <si>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</si>
  <si>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</si>
  <si>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</si>
  <si>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</si>
  <si>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</si>
  <si>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</si>
  <si>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</si>
  <si>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</si>
  <si>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</si>
  <si>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</si>
  <si>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</si>
  <si>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</si>
  <si>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</si>
  <si>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</si>
  <si>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</si>
  <si>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</si>
  <si>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</si>
  <si>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</si>
  <si>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</si>
  <si>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</si>
  <si>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</si>
  <si>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</si>
  <si>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</si>
  <si>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</si>
  <si>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</si>
  <si>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</si>
  <si>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</si>
  <si>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</si>
  <si>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</si>
  <si>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</si>
  <si>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</si>
  <si>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</si>
  <si>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</si>
  <si>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</si>
  <si>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</si>
  <si>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</si>
  <si>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</si>
  <si>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</si>
  <si>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</si>
  <si>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</si>
  <si>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</si>
  <si>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</si>
  <si>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</si>
  <si>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</si>
  <si>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</si>
  <si>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</si>
  <si>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</si>
  <si>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</si>
  <si>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</si>
  <si>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</si>
  <si>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</si>
  <si>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</si>
  <si>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</si>
  <si>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</si>
  <si>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</si>
  <si>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</si>
  <si>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</si>
  <si>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</si>
  <si>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</si>
  <si>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</si>
  <si>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</si>
  <si>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</si>
  <si>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</si>
  <si>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</si>
  <si>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</si>
  <si>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</si>
  <si>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</si>
  <si>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</si>
  <si>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</si>
  <si>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</si>
  <si>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</si>
  <si>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</si>
  <si>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</si>
  <si>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</si>
  <si>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</si>
  <si>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</si>
  <si>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</si>
  <si>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</si>
  <si>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</si>
  <si>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</si>
  <si>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</si>
  <si>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</si>
  <si>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</si>
  <si>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</si>
  <si>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</si>
  <si>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</si>
  <si>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</si>
  <si>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</si>
  <si>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</si>
  <si>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</si>
  <si>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</si>
  <si>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</si>
  <si>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</si>
  <si>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</si>
  <si>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</si>
  <si>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</si>
  <si>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</si>
  <si>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</si>
  <si>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</si>
  <si>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</si>
  <si>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</si>
  <si>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</si>
  <si>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</si>
  <si>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</si>
  <si>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</si>
  <si>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</si>
  <si>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</si>
  <si>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</si>
  <si>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</si>
  <si>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</si>
  <si>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</si>
  <si>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</si>
  <si>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</si>
  <si>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</si>
  <si>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</si>
  <si>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</si>
  <si>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</si>
  <si>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</si>
  <si>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</si>
  <si>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</si>
  <si>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</si>
  <si>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</si>
  <si>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</si>
  <si>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</si>
  <si>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</si>
  <si>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</si>
  <si>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</si>
  <si>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</si>
  <si>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</si>
  <si>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</si>
  <si>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</si>
  <si>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</si>
  <si>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</si>
  <si>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</si>
  <si>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</si>
  <si>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</si>
  <si>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</si>
  <si>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</si>
  <si>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</si>
  <si>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</si>
  <si>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</si>
  <si>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</si>
  <si>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</si>
  <si>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</si>
  <si>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</si>
  <si>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</si>
  <si>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</si>
  <si>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</si>
  <si>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</si>
  <si>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</si>
  <si>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</si>
  <si>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</si>
  <si>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</si>
  <si>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</si>
  <si>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</si>
  <si>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</si>
  <si>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</si>
  <si>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</si>
  <si>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</si>
  <si>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</si>
  <si>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</si>
  <si>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</si>
  <si>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</si>
  <si>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</si>
  <si>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</si>
  <si>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</si>
  <si>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</si>
  <si>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</si>
  <si>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</si>
  <si>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</si>
  <si>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</si>
  <si>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</si>
  <si>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</si>
  <si>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</si>
  <si>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</si>
  <si>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</si>
  <si>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</si>
  <si>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</si>
  <si>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</si>
  <si>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</si>
  <si>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</si>
  <si>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</si>
  <si>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</si>
  <si>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</si>
  <si>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</si>
  <si>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</si>
  <si>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</si>
  <si>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</si>
  <si>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</si>
  <si>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</si>
  <si>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</si>
  <si>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</si>
  <si>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</si>
  <si>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</si>
  <si>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</si>
  <si>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</si>
  <si>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</si>
  <si>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</si>
  <si>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</si>
  <si>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</si>
  <si>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</si>
  <si>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</si>
  <si>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</si>
  <si>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</si>
  <si>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</si>
  <si>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</si>
  <si>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</si>
  <si>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</si>
  <si>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</si>
  <si>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</si>
  <si>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</si>
  <si>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</si>
  <si>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</si>
  <si>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</si>
  <si>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</si>
  <si>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</si>
  <si>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</si>
  <si>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</si>
  <si>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</si>
  <si>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</si>
  <si>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</si>
  <si>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</si>
  <si>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</si>
  <si>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</si>
  <si>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</si>
  <si>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</si>
  <si>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</si>
  <si>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</si>
  <si>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</si>
  <si>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</si>
  <si>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</si>
  <si>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</si>
  <si>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</si>
  <si>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</si>
  <si>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</si>
  <si>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</si>
  <si>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</si>
  <si>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</si>
  <si>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</si>
  <si>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</si>
  <si>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</si>
  <si>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</si>
  <si>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</si>
  <si>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</si>
  <si>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</si>
  <si>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</si>
  <si>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</si>
  <si>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</si>
  <si>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</si>
  <si>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</si>
  <si>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</si>
  <si>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</si>
  <si>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</si>
  <si>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</si>
  <si>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</si>
  <si>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</si>
  <si>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</si>
  <si>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</si>
  <si>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</si>
  <si>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</si>
  <si>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</si>
  <si>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</si>
  <si>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</si>
  <si>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</si>
  <si>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</si>
  <si>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</si>
  <si>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</si>
  <si>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</si>
  <si>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</si>
  <si>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</si>
  <si>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</si>
  <si>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</si>
  <si>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</si>
  <si>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</si>
  <si>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</si>
  <si>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</si>
  <si>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</si>
  <si>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</si>
  <si>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</si>
  <si>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</si>
  <si>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</si>
  <si>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</si>
  <si>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</si>
  <si>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</si>
  <si>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</si>
  <si>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</si>
  <si>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</si>
  <si>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</si>
  <si>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</si>
  <si>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</si>
  <si>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</si>
  <si>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</si>
  <si>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</si>
  <si>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</si>
  <si>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</si>
  <si>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</si>
  <si>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</si>
  <si>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</si>
  <si>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</si>
  <si>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</si>
  <si>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</si>
  <si>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</si>
  <si>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</si>
  <si>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</si>
  <si>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</si>
  <si>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</si>
  <si>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</si>
  <si>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</si>
  <si>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</si>
  <si>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</si>
  <si>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</si>
  <si>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</si>
  <si>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</si>
  <si>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</si>
  <si>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</si>
  <si>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</si>
  <si>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</si>
  <si>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</si>
  <si>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</si>
  <si>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</si>
  <si>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</si>
  <si>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</si>
  <si>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</si>
  <si>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</si>
  <si>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</si>
  <si>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</si>
  <si>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</si>
  <si>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</si>
  <si>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</si>
  <si>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</si>
  <si>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</si>
  <si>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</si>
  <si>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</si>
  <si>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</si>
  <si>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</si>
  <si>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</si>
  <si>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</si>
  <si>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</si>
  <si>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</si>
  <si>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</si>
  <si>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</si>
  <si>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</si>
  <si>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</si>
  <si>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</si>
  <si>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</si>
  <si>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</si>
  <si>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</si>
  <si>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</si>
  <si>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</si>
  <si>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</si>
  <si>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</si>
  <si>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</si>
  <si>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</si>
  <si>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</si>
  <si>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</si>
  <si>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</si>
  <si>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</si>
  <si>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</si>
  <si>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</si>
  <si>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</si>
  <si>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</si>
  <si>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</si>
  <si>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</si>
  <si>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</si>
  <si>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</si>
  <si>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</si>
  <si>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</si>
  <si>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</si>
  <si>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</si>
  <si>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</si>
  <si>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</si>
  <si>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</si>
  <si>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</si>
  <si>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</si>
  <si>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</si>
  <si>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</si>
  <si>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</si>
  <si>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</si>
  <si>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</si>
  <si>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</si>
  <si>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</si>
  <si>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</si>
  <si>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</si>
  <si>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</si>
  <si>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</si>
  <si>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</si>
  <si>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</si>
  <si>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</si>
  <si>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</si>
  <si>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</si>
  <si>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</si>
  <si>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</si>
  <si>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</si>
  <si>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</si>
  <si>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</si>
  <si>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</si>
  <si>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</si>
  <si>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</si>
  <si>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</si>
  <si>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</si>
  <si>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</si>
  <si>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</si>
  <si>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</si>
  <si>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</si>
  <si>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</si>
  <si>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</si>
  <si>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</si>
  <si>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</si>
  <si>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</si>
  <si>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</si>
  <si>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</si>
  <si>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</si>
  <si>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</si>
  <si>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</si>
  <si>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</si>
  <si>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</si>
  <si>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</si>
  <si>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</si>
  <si>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</si>
  <si>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</si>
  <si>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</si>
  <si>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</si>
  <si>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</si>
  <si>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</si>
  <si>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</si>
  <si>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</si>
  <si>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</si>
  <si>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</si>
  <si>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</si>
  <si>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</si>
  <si>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</si>
  <si>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</si>
  <si>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</si>
  <si>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</si>
  <si>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</si>
  <si>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</si>
  <si>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</si>
  <si>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</si>
  <si>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</si>
  <si>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</si>
  <si>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</si>
  <si>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</si>
  <si>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</si>
  <si>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</si>
  <si>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</si>
  <si>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</si>
  <si>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</si>
  <si>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</si>
  <si>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</si>
  <si>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</si>
  <si>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</si>
  <si>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</si>
  <si>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</si>
  <si>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</si>
  <si>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</si>
  <si>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</si>
  <si>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</si>
  <si>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</si>
  <si>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</si>
  <si>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</si>
  <si>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</si>
  <si>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</si>
  <si>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Fire Protection</t>
  </si>
  <si>
    <t>80-1503</t>
  </si>
  <si>
    <t>80-115</t>
  </si>
  <si>
    <t>Montgomery County Clerk's Office, 217 E. Myrtle, Independence, KS</t>
  </si>
  <si>
    <t>Sycamore Township</t>
  </si>
  <si>
    <t>`</t>
  </si>
  <si>
    <t>Utilities</t>
  </si>
  <si>
    <t>Rent</t>
  </si>
  <si>
    <t>Certificate of Deposit</t>
  </si>
  <si>
    <t>Operations</t>
  </si>
  <si>
    <t>Utilities &amp; Building Maintenance</t>
  </si>
  <si>
    <t>August 8, 2013</t>
  </si>
  <si>
    <t>7:00 PM</t>
  </si>
  <si>
    <t>Sycamore Township Hall, Sycamore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</si>
</sst>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Sycamore Township</v>
      </c>
      <c r="C1" s="167"/>
      <c r="D1" s="167"/>
      <c r="E1" s="167"/>
      <c r="F1" s="167"/>
      <c r="G1" s="167"/>
      <c r="H1" s="167"/>
      <c r="I1" s="167"/>
      <c r="J1" s="14"/>
      <c r="K1" s="14"/>
      <c r="L1" s="15">
        <f>inputPrYr!D5</f>
        <v>2014</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Sycamore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12145444</v>
      </c>
      <c r="F27" s="556"/>
      <c r="G27" s="561">
        <f>summ!G37</f>
        <v>10825394</v>
      </c>
      <c r="H27" s="556"/>
      <c r="I27" s="556"/>
    </row>
    <row r="28" spans="2:9" ht="15.75">
      <c r="B28" s="556" t="s">
        <v>779</v>
      </c>
      <c r="C28" s="556"/>
      <c r="D28" s="556"/>
      <c r="E28" s="566" t="str">
        <f>IF(G27-E27&gt;=0,"No","Yes")</f>
        <v>Yes</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Sycamore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5798</v>
      </c>
      <c r="D6" s="387">
        <f>C51</f>
        <v>12838.46</v>
      </c>
      <c r="E6" s="32">
        <f>D51</f>
        <v>9980.46</v>
      </c>
    </row>
    <row r="7" spans="2:5" ht="15.75">
      <c r="B7" s="27" t="s">
        <v>120</v>
      </c>
      <c r="C7" s="387"/>
      <c r="D7" s="387"/>
      <c r="E7" s="33"/>
    </row>
    <row r="8" spans="2:5" ht="15.75">
      <c r="B8" s="27" t="s">
        <v>16</v>
      </c>
      <c r="C8" s="29">
        <v>1023.51</v>
      </c>
      <c r="D8" s="387">
        <f>IF(inputPrYr!H15&gt;0,inputPrYr!G16,inputPrYr!E16)</f>
        <v>1088</v>
      </c>
      <c r="E8" s="33" t="s">
        <v>289</v>
      </c>
    </row>
    <row r="9" spans="2:5" ht="15.75">
      <c r="B9" s="27" t="s">
        <v>17</v>
      </c>
      <c r="C9" s="29">
        <v>38.64</v>
      </c>
      <c r="D9" s="29">
        <v>0</v>
      </c>
      <c r="E9" s="34">
        <v>0</v>
      </c>
    </row>
    <row r="10" spans="2:5" ht="15.75">
      <c r="B10" s="27" t="s">
        <v>18</v>
      </c>
      <c r="C10" s="29">
        <v>161</v>
      </c>
      <c r="D10" s="29">
        <v>117</v>
      </c>
      <c r="E10" s="32">
        <f>mvalloc!G11</f>
        <v>118</v>
      </c>
    </row>
    <row r="11" spans="2:5" ht="15.75">
      <c r="B11" s="27" t="s">
        <v>19</v>
      </c>
      <c r="C11" s="29">
        <v>2</v>
      </c>
      <c r="D11" s="29">
        <v>2</v>
      </c>
      <c r="E11" s="32">
        <f>mvalloc!I11</f>
        <v>1</v>
      </c>
    </row>
    <row r="12" spans="2:5" ht="15.75">
      <c r="B12" s="35" t="s">
        <v>69</v>
      </c>
      <c r="C12" s="29">
        <v>6</v>
      </c>
      <c r="D12" s="29">
        <v>10</v>
      </c>
      <c r="E12" s="32">
        <f>mvalloc!J11</f>
        <v>8</v>
      </c>
    </row>
    <row r="13" spans="2:5" ht="15.75">
      <c r="B13" s="35" t="s">
        <v>161</v>
      </c>
      <c r="C13" s="29">
        <v>0</v>
      </c>
      <c r="D13" s="29">
        <v>0</v>
      </c>
      <c r="E13" s="32">
        <f>inputOth!E35</f>
        <v>0</v>
      </c>
    </row>
    <row r="14" spans="2:5" ht="15.75">
      <c r="B14" s="27" t="s">
        <v>20</v>
      </c>
      <c r="C14" s="29">
        <v>0</v>
      </c>
      <c r="D14" s="29">
        <v>0</v>
      </c>
      <c r="E14" s="32">
        <f>inputOth!E12</f>
        <v>0</v>
      </c>
    </row>
    <row r="15" spans="2:5" ht="15.75">
      <c r="B15" s="37" t="s">
        <v>951</v>
      </c>
      <c r="C15" s="29">
        <v>7000</v>
      </c>
      <c r="D15" s="29">
        <v>0</v>
      </c>
      <c r="E15" s="36">
        <v>0</v>
      </c>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27.31</v>
      </c>
      <c r="D23" s="29">
        <v>25</v>
      </c>
      <c r="E23" s="34">
        <v>25</v>
      </c>
    </row>
    <row r="24" spans="2:5" ht="15.75">
      <c r="B24" s="39" t="s">
        <v>212</v>
      </c>
      <c r="C24" s="29">
        <v>3</v>
      </c>
      <c r="D24" s="29"/>
      <c r="E24" s="34"/>
    </row>
    <row r="25" spans="2:5" ht="15.75">
      <c r="B25" s="39" t="s">
        <v>213</v>
      </c>
      <c r="C25" s="384">
        <f>IF(C26*0.1&lt;C24,"Exceed 10% Rule","")</f>
      </c>
      <c r="D25" s="384">
        <f>IF(D26*0.1&lt;D24,"Exceed 10% Rule","")</f>
      </c>
      <c r="E25" s="45">
        <f>IF(E26*0.1+E57&lt;E24,"Exceed 10% Rule","")</f>
      </c>
    </row>
    <row r="26" spans="2:5" ht="15.75">
      <c r="B26" s="41" t="s">
        <v>23</v>
      </c>
      <c r="C26" s="389">
        <f>SUM(C8:C24)</f>
        <v>8261.46</v>
      </c>
      <c r="D26" s="389">
        <f>SUM(D8:D24)</f>
        <v>1242</v>
      </c>
      <c r="E26" s="42">
        <f>SUM(E8:E24)</f>
        <v>152</v>
      </c>
    </row>
    <row r="27" spans="2:5" ht="15.75">
      <c r="B27" s="43" t="s">
        <v>24</v>
      </c>
      <c r="C27" s="389">
        <f>C26+C6</f>
        <v>14059.46</v>
      </c>
      <c r="D27" s="389">
        <f>D26+D6</f>
        <v>14080.46</v>
      </c>
      <c r="E27" s="42">
        <f>E26+E6</f>
        <v>10132.46</v>
      </c>
    </row>
    <row r="28" spans="2:5" ht="15.75">
      <c r="B28" s="27" t="s">
        <v>25</v>
      </c>
      <c r="C28" s="387"/>
      <c r="D28" s="387"/>
      <c r="E28" s="32"/>
    </row>
    <row r="29" spans="2:5" ht="15.75">
      <c r="B29" s="37"/>
      <c r="C29" s="29"/>
      <c r="D29" s="29"/>
      <c r="E29" s="34"/>
    </row>
    <row r="30" spans="2:5" ht="15.75">
      <c r="B30" s="38" t="s">
        <v>101</v>
      </c>
      <c r="C30" s="29">
        <v>450</v>
      </c>
      <c r="D30" s="29">
        <v>450</v>
      </c>
      <c r="E30" s="34">
        <v>450</v>
      </c>
    </row>
    <row r="31" spans="2:5" ht="15.75">
      <c r="B31" s="38" t="s">
        <v>125</v>
      </c>
      <c r="C31" s="29"/>
      <c r="D31" s="29">
        <v>0</v>
      </c>
      <c r="E31" s="34">
        <v>0</v>
      </c>
    </row>
    <row r="32" spans="2:5" ht="15.75">
      <c r="B32" s="38" t="s">
        <v>102</v>
      </c>
      <c r="C32" s="29"/>
      <c r="D32" s="29">
        <v>0</v>
      </c>
      <c r="E32" s="34">
        <v>0</v>
      </c>
    </row>
    <row r="33" spans="2:5" ht="15.75">
      <c r="B33" s="38" t="s">
        <v>36</v>
      </c>
      <c r="C33" s="29"/>
      <c r="D33" s="29">
        <v>250</v>
      </c>
      <c r="E33" s="34">
        <v>250</v>
      </c>
    </row>
    <row r="34" spans="2:5" ht="15.75">
      <c r="B34" s="37" t="s">
        <v>103</v>
      </c>
      <c r="C34" s="29"/>
      <c r="D34" s="29">
        <v>0</v>
      </c>
      <c r="E34" s="34">
        <v>0</v>
      </c>
    </row>
    <row r="35" spans="2:5" ht="15.75">
      <c r="B35" s="37" t="s">
        <v>126</v>
      </c>
      <c r="C35" s="29"/>
      <c r="D35" s="29">
        <v>400</v>
      </c>
      <c r="E35" s="34">
        <v>5950</v>
      </c>
    </row>
    <row r="36" spans="2:5" ht="15.75">
      <c r="B36" s="38" t="s">
        <v>128</v>
      </c>
      <c r="C36" s="29"/>
      <c r="D36" s="29">
        <v>1500</v>
      </c>
      <c r="E36" s="34">
        <v>1500</v>
      </c>
    </row>
    <row r="37" spans="2:5" ht="15.75">
      <c r="B37" s="38" t="s">
        <v>949</v>
      </c>
      <c r="C37" s="29">
        <v>768</v>
      </c>
      <c r="D37" s="29">
        <v>1000</v>
      </c>
      <c r="E37" s="34">
        <v>1000</v>
      </c>
    </row>
    <row r="38" spans="2:5" ht="15.75">
      <c r="B38" s="37" t="s">
        <v>952</v>
      </c>
      <c r="C38" s="29">
        <v>3</v>
      </c>
      <c r="D38" s="29">
        <v>500</v>
      </c>
      <c r="E38" s="34">
        <v>2000</v>
      </c>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1221</v>
      </c>
      <c r="D50" s="381">
        <f>SUM(D29:D48)</f>
        <v>4100</v>
      </c>
      <c r="E50" s="47">
        <f>SUM(E29:E43,E45,E47:E48)</f>
        <v>11150</v>
      </c>
      <c r="G50" s="484">
        <f>D51</f>
        <v>9980.46</v>
      </c>
      <c r="H50" s="485" t="str">
        <f>CONCATENATE("",E1-1," Ending Cash Balance (est.)")</f>
        <v>2013 Ending Cash Balance (est.)</v>
      </c>
      <c r="I50" s="486"/>
      <c r="J50" s="257"/>
    </row>
    <row r="51" spans="2:10" ht="15.75">
      <c r="B51" s="27" t="s">
        <v>119</v>
      </c>
      <c r="C51" s="382">
        <f>C27-C50</f>
        <v>12838.46</v>
      </c>
      <c r="D51" s="382">
        <f>SUM(D27-D50)</f>
        <v>9980.46</v>
      </c>
      <c r="E51" s="33" t="s">
        <v>289</v>
      </c>
      <c r="G51" s="484">
        <f>E26</f>
        <v>152</v>
      </c>
      <c r="H51" s="487" t="str">
        <f>CONCATENATE("",E1," Non-AV Receipts (est.)")</f>
        <v>2014 Non-AV Receipts (est.)</v>
      </c>
      <c r="I51" s="486"/>
      <c r="J51" s="257"/>
    </row>
    <row r="52" spans="2:11" ht="15.75">
      <c r="B52" s="48" t="str">
        <f>CONCATENATE("",E1-2,"/",E1-1," Budget Authority Amount:")</f>
        <v>2012/2013 Budget Authority Amount:</v>
      </c>
      <c r="C52" s="132">
        <f>inputOth!B46</f>
        <v>3700</v>
      </c>
      <c r="D52" s="161">
        <f>inputPrYr!D16</f>
        <v>4100</v>
      </c>
      <c r="E52" s="33" t="s">
        <v>289</v>
      </c>
      <c r="F52" s="50"/>
      <c r="G52" s="488">
        <f>IF(D56&gt;0,E55,E57)</f>
        <v>1017.5400000000009</v>
      </c>
      <c r="H52" s="487" t="str">
        <f>CONCATENATE("",E1," Ad Valorem Tax (est.)")</f>
        <v>2014 Ad Valorem Tax (est.)</v>
      </c>
      <c r="I52" s="486"/>
      <c r="J52" s="257"/>
      <c r="K52" s="701" t="str">
        <f>IF(G52=E57,"","Note: Does not include Delinquent Taxes")</f>
        <v>Note: Does not include Delinquent Taxes</v>
      </c>
    </row>
    <row r="53" spans="2:10" ht="15.75">
      <c r="B53" s="48"/>
      <c r="C53" s="801" t="s">
        <v>622</v>
      </c>
      <c r="D53" s="802"/>
      <c r="E53" s="34"/>
      <c r="F53" s="482">
        <f>IF(E50/0.95-E50&lt;E53,"Exceeds 5%","")</f>
      </c>
      <c r="G53" s="484">
        <f>SUM(G50:G52)</f>
        <v>11150</v>
      </c>
      <c r="H53" s="487" t="str">
        <f>CONCATENATE("Total ",E1," Resources Available")</f>
        <v>Total 2014 Resources Available</v>
      </c>
      <c r="I53" s="486"/>
      <c r="J53" s="257"/>
    </row>
    <row r="54" spans="2:10" ht="15.75">
      <c r="B54" s="395" t="str">
        <f>CONCATENATE(C72,"     ",D72)</f>
        <v>     </v>
      </c>
      <c r="C54" s="803" t="s">
        <v>623</v>
      </c>
      <c r="D54" s="804"/>
      <c r="E54" s="32">
        <f>E50+E53</f>
        <v>11150</v>
      </c>
      <c r="G54" s="489"/>
      <c r="H54" s="487"/>
      <c r="I54" s="487"/>
      <c r="J54" s="257"/>
    </row>
    <row r="55" spans="2:10" ht="15.75">
      <c r="B55" s="395" t="str">
        <f>CONCATENATE(C73,"     ",D73)</f>
        <v>     </v>
      </c>
      <c r="C55" s="60"/>
      <c r="D55" s="52" t="s">
        <v>28</v>
      </c>
      <c r="E55" s="46">
        <f>IF(E54-E27&gt;0,E54-E27,0)</f>
        <v>1017.5400000000009</v>
      </c>
      <c r="G55" s="488">
        <f>ROUND(C50*0.05+C50,0)</f>
        <v>1282</v>
      </c>
      <c r="H55" s="487" t="str">
        <f>CONCATENATE("Less ",E1-2," Expenditures + 5%")</f>
        <v>Less 2012 Expenditures + 5%</v>
      </c>
      <c r="I55" s="486"/>
      <c r="J55" s="257"/>
    </row>
    <row r="56" spans="2:10" ht="15.75">
      <c r="B56" s="52"/>
      <c r="C56" s="399" t="s">
        <v>624</v>
      </c>
      <c r="D56" s="689">
        <f>inputOth!$E$40</f>
        <v>0.04</v>
      </c>
      <c r="E56" s="32">
        <f>ROUND(IF(D56&gt;0,(E55*D56),0),0)</f>
        <v>41</v>
      </c>
      <c r="G56" s="490">
        <f>G53-G55</f>
        <v>9868</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1058.5400000000009</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0.098</v>
      </c>
      <c r="H60" s="485" t="str">
        <f>CONCATENATE("",E1," Fund Mill Rate")</f>
        <v>2014 Fund Mill Rate</v>
      </c>
      <c r="I60" s="691"/>
      <c r="J60" s="703"/>
      <c r="K60" s="16"/>
    </row>
    <row r="61" spans="2:10" ht="15.75">
      <c r="B61" s="52" t="s">
        <v>9</v>
      </c>
      <c r="C61" s="401">
        <f>IF(inputPrYr!D18&gt;0,7,6)</f>
        <v>6</v>
      </c>
      <c r="D61" s="14"/>
      <c r="E61" s="55"/>
      <c r="G61" s="705">
        <f>summ!F18</f>
        <v>0.089</v>
      </c>
      <c r="H61" s="485" t="str">
        <f>CONCATENATE("",E1-1," Fund Mill Rate")</f>
        <v>2013 Fund Mill Rate</v>
      </c>
      <c r="I61" s="691"/>
      <c r="J61" s="703"/>
    </row>
    <row r="62" spans="7:10" ht="15.75">
      <c r="G62" s="706">
        <f>summ!I32</f>
        <v>0.382</v>
      </c>
      <c r="H62" s="485" t="str">
        <f>CONCATENATE("Total ",E1," Mill Rate")</f>
        <v>Total 2014 Mill Rate</v>
      </c>
      <c r="I62" s="691"/>
      <c r="J62" s="703"/>
    </row>
    <row r="63" spans="2:10" ht="15.75">
      <c r="B63" s="12"/>
      <c r="G63" s="705">
        <f>summ!F32</f>
        <v>0.33999999999999997</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Sycamore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0.04</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0.382</v>
      </c>
      <c r="H45" s="632" t="str">
        <f>CONCATENATE("Total ",E1," Mill Rate")</f>
        <v>Total 2014 Mill Rate</v>
      </c>
      <c r="I45" s="656"/>
      <c r="J45" s="657"/>
    </row>
    <row r="46" spans="2:10" ht="15.75">
      <c r="B46" s="594" t="s">
        <v>144</v>
      </c>
      <c r="C46" s="599">
        <v>0</v>
      </c>
      <c r="D46" s="596">
        <f>C74</f>
        <v>0</v>
      </c>
      <c r="E46" s="597">
        <f>D74</f>
        <v>0</v>
      </c>
      <c r="F46" s="635"/>
      <c r="G46" s="659">
        <f>summ!F32</f>
        <v>0.33999999999999997</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0.04</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0.382</v>
      </c>
      <c r="H85" s="632" t="str">
        <f>CONCATENATE("Total ",E1," Mill Rate")</f>
        <v>Total 2014 Mill Rate</v>
      </c>
      <c r="I85" s="656"/>
      <c r="J85" s="657"/>
    </row>
    <row r="86" spans="7:10" ht="15.75">
      <c r="G86" s="659">
        <f>summ!F32</f>
        <v>0.33999999999999997</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Sycamore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0.04</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0.382</v>
      </c>
      <c r="H55" s="485" t="str">
        <f>CONCATENATE("Total ",E1," Mill Rate")</f>
        <v>Total 2014 Mill Rate</v>
      </c>
      <c r="I55" s="691"/>
      <c r="J55" s="703"/>
    </row>
    <row r="56" spans="2:10" ht="15.75">
      <c r="B56" s="72" t="s">
        <v>33</v>
      </c>
      <c r="C56" s="132"/>
      <c r="D56" s="14"/>
      <c r="E56" s="14"/>
      <c r="G56" s="705">
        <f>summ!F32</f>
        <v>0.33999999999999997</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9">
      <selection activeCell="C81" sqref="C8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Sycamore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2012</v>
      </c>
      <c r="D5" s="386" t="str">
        <f>gen!D5</f>
        <v>Estimate for 2013</v>
      </c>
      <c r="E5" s="26" t="str">
        <f>gen!E5</f>
        <v>Year for 2014</v>
      </c>
    </row>
    <row r="6" spans="2:5" ht="15.75">
      <c r="B6" s="27" t="s">
        <v>118</v>
      </c>
      <c r="C6" s="29">
        <v>2976</v>
      </c>
      <c r="D6" s="387">
        <f>C34</f>
        <v>2875</v>
      </c>
      <c r="E6" s="32">
        <f>D34</f>
        <v>2554</v>
      </c>
    </row>
    <row r="7" spans="2:5" ht="15.75">
      <c r="B7" s="27" t="s">
        <v>120</v>
      </c>
      <c r="C7" s="387"/>
      <c r="D7" s="387"/>
      <c r="E7" s="33"/>
    </row>
    <row r="8" spans="2:5" ht="15.75">
      <c r="B8" s="27" t="s">
        <v>16</v>
      </c>
      <c r="C8" s="29">
        <v>2607</v>
      </c>
      <c r="D8" s="387">
        <f>IF(inputPrYr!H15&gt;0,inputPrYr!G20,inputPrYr!E20)</f>
        <v>3049</v>
      </c>
      <c r="E8" s="33" t="s">
        <v>289</v>
      </c>
    </row>
    <row r="9" spans="2:5" ht="15.75">
      <c r="B9" s="27" t="s">
        <v>17</v>
      </c>
      <c r="C9" s="29">
        <v>89</v>
      </c>
      <c r="D9" s="29">
        <v>75</v>
      </c>
      <c r="E9" s="34">
        <v>75</v>
      </c>
    </row>
    <row r="10" spans="2:5" ht="15.75">
      <c r="B10" s="27" t="s">
        <v>18</v>
      </c>
      <c r="C10" s="29">
        <v>250</v>
      </c>
      <c r="D10" s="29">
        <v>300</v>
      </c>
      <c r="E10" s="32">
        <f>mvalloc!G15</f>
        <v>329</v>
      </c>
    </row>
    <row r="11" spans="2:5" ht="15.75">
      <c r="B11" s="27" t="s">
        <v>19</v>
      </c>
      <c r="C11" s="29">
        <v>3</v>
      </c>
      <c r="D11" s="29">
        <v>4</v>
      </c>
      <c r="E11" s="32">
        <f>mvalloc!I15</f>
        <v>4</v>
      </c>
    </row>
    <row r="12" spans="2:5" ht="15.75">
      <c r="B12" s="35" t="s">
        <v>69</v>
      </c>
      <c r="C12" s="29">
        <v>24</v>
      </c>
      <c r="D12" s="29">
        <v>26</v>
      </c>
      <c r="E12" s="32">
        <f>mvalloc!J15</f>
        <v>24</v>
      </c>
    </row>
    <row r="13" spans="2:5" ht="15.75">
      <c r="B13" s="38" t="s">
        <v>950</v>
      </c>
      <c r="C13" s="29">
        <v>100</v>
      </c>
      <c r="D13" s="29">
        <v>100</v>
      </c>
      <c r="E13" s="34">
        <v>100</v>
      </c>
    </row>
    <row r="14" spans="2:5" ht="15.75">
      <c r="B14" s="38"/>
      <c r="C14" s="29"/>
      <c r="D14" s="29" t="s">
        <v>277</v>
      </c>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3073</v>
      </c>
      <c r="D20" s="389">
        <f>SUM(D8:D18)</f>
        <v>3554</v>
      </c>
      <c r="E20" s="42">
        <f>SUM(E8:E18)</f>
        <v>532</v>
      </c>
    </row>
    <row r="21" spans="2:5" ht="15.75">
      <c r="B21" s="43" t="s">
        <v>24</v>
      </c>
      <c r="C21" s="389">
        <f>C20+C6</f>
        <v>6049</v>
      </c>
      <c r="D21" s="389">
        <f>D20+D6</f>
        <v>6429</v>
      </c>
      <c r="E21" s="42">
        <f>E20+E6</f>
        <v>3086</v>
      </c>
    </row>
    <row r="22" spans="2:5" ht="15.75">
      <c r="B22" s="27" t="s">
        <v>25</v>
      </c>
      <c r="C22" s="387"/>
      <c r="D22" s="387"/>
      <c r="E22" s="32"/>
    </row>
    <row r="23" spans="2:5" ht="15.75">
      <c r="B23" s="38" t="s">
        <v>953</v>
      </c>
      <c r="C23" s="29">
        <v>1794</v>
      </c>
      <c r="D23" s="29">
        <v>2500</v>
      </c>
      <c r="E23" s="34">
        <v>4200</v>
      </c>
    </row>
    <row r="24" spans="2:11" ht="15.75">
      <c r="B24" s="38" t="s">
        <v>952</v>
      </c>
      <c r="C24" s="29">
        <v>624</v>
      </c>
      <c r="D24" s="29">
        <v>1225</v>
      </c>
      <c r="E24" s="34">
        <v>1695</v>
      </c>
      <c r="G24" s="811" t="str">
        <f>CONCATENATE("Desired Carryover Into ",E1+1,"")</f>
        <v>Desired Carryover Into 2015</v>
      </c>
      <c r="H24" s="812"/>
      <c r="I24" s="812"/>
      <c r="J24" s="813"/>
      <c r="K24" s="582"/>
    </row>
    <row r="25" spans="2:11" ht="15.75">
      <c r="B25" s="38" t="s">
        <v>128</v>
      </c>
      <c r="C25" s="29">
        <v>756</v>
      </c>
      <c r="D25" s="29">
        <v>0</v>
      </c>
      <c r="E25" s="34">
        <v>0</v>
      </c>
      <c r="G25" s="613"/>
      <c r="H25" s="614"/>
      <c r="I25" s="615"/>
      <c r="J25" s="616"/>
      <c r="K25" s="582"/>
    </row>
    <row r="26" spans="2:11" ht="15.75">
      <c r="B26" s="38" t="s">
        <v>36</v>
      </c>
      <c r="C26" s="29">
        <v>0</v>
      </c>
      <c r="D26" s="29">
        <v>150</v>
      </c>
      <c r="E26" s="34">
        <v>150</v>
      </c>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3174</v>
      </c>
      <c r="D33" s="389">
        <f>SUM(D23:D31)</f>
        <v>3875</v>
      </c>
      <c r="E33" s="42">
        <f>SUM(E23:E31)</f>
        <v>6045</v>
      </c>
      <c r="G33" s="631">
        <f>D34</f>
        <v>2554</v>
      </c>
      <c r="H33" s="632" t="str">
        <f>CONCATENATE("",E1-1," Ending Cash Balance (est.)")</f>
        <v>2013 Ending Cash Balance (est.)</v>
      </c>
      <c r="I33" s="633"/>
      <c r="J33" s="628"/>
      <c r="K33" s="582"/>
    </row>
    <row r="34" spans="2:11" ht="15.75">
      <c r="B34" s="27" t="s">
        <v>119</v>
      </c>
      <c r="C34" s="382">
        <f>C21-C33</f>
        <v>2875</v>
      </c>
      <c r="D34" s="382">
        <f>D21-D33</f>
        <v>2554</v>
      </c>
      <c r="E34" s="33" t="s">
        <v>289</v>
      </c>
      <c r="G34" s="631">
        <f>E20</f>
        <v>532</v>
      </c>
      <c r="H34" s="615" t="str">
        <f>CONCATENATE("",E1," Non-AV Receipts (est.)")</f>
        <v>2014 Non-AV Receipts (est.)</v>
      </c>
      <c r="I34" s="633"/>
      <c r="J34" s="628"/>
      <c r="K34" s="582"/>
    </row>
    <row r="35" spans="2:11" ht="15.75">
      <c r="B35" s="48" t="str">
        <f>CONCATENATE("",E1-2,"/",E1-1," Budget Authority Amount:")</f>
        <v>2012/2013 Budget Authority Amount:</v>
      </c>
      <c r="C35" s="132">
        <f>inputOth!B50</f>
        <v>3900</v>
      </c>
      <c r="D35" s="161">
        <f>inputPrYr!D20</f>
        <v>6075</v>
      </c>
      <c r="E35" s="33" t="s">
        <v>289</v>
      </c>
      <c r="F35" s="50"/>
      <c r="G35" s="640">
        <f>IF(E39&gt;0,E38,E40)</f>
        <v>2959</v>
      </c>
      <c r="H35" s="615" t="str">
        <f>CONCATENATE("",E1," Ad Valorem Tax (est.)")</f>
        <v>2014 Ad Valorem Tax (est.)</v>
      </c>
      <c r="I35" s="633"/>
      <c r="J35" s="628"/>
      <c r="K35" s="641" t="str">
        <f>IF(G35=E40,"","Note: Does not include Delinquent Taxes")</f>
        <v>Note: Does not include Delinquent Taxes</v>
      </c>
    </row>
    <row r="36" spans="2:11" ht="15.75">
      <c r="B36" s="48"/>
      <c r="C36" s="801" t="s">
        <v>622</v>
      </c>
      <c r="D36" s="802"/>
      <c r="E36" s="34"/>
      <c r="F36" s="482">
        <f>IF(E33/0.95-E33&lt;E36,"Exceeds 5%","")</f>
      </c>
      <c r="G36" s="631">
        <f>SUM(G33:G35)</f>
        <v>6045</v>
      </c>
      <c r="H36" s="615" t="str">
        <f>CONCATENATE("Total ",E1," Resources Available")</f>
        <v>Total 2014 Resources Available</v>
      </c>
      <c r="I36" s="633"/>
      <c r="J36" s="628"/>
      <c r="K36" s="582"/>
    </row>
    <row r="37" spans="2:11" ht="15.75">
      <c r="B37" s="395" t="str">
        <f>CONCATENATE(C92,"     ",D92)</f>
        <v>     </v>
      </c>
      <c r="C37" s="803" t="s">
        <v>623</v>
      </c>
      <c r="D37" s="804"/>
      <c r="E37" s="32">
        <f>E33+E36</f>
        <v>6045</v>
      </c>
      <c r="G37" s="644"/>
      <c r="H37" s="615"/>
      <c r="I37" s="615"/>
      <c r="J37" s="628"/>
      <c r="K37" s="582"/>
    </row>
    <row r="38" spans="2:11" ht="15.75">
      <c r="B38" s="395" t="str">
        <f>CONCATENATE(C93,"     ",D93)</f>
        <v>     </v>
      </c>
      <c r="C38" s="60"/>
      <c r="D38" s="52" t="s">
        <v>28</v>
      </c>
      <c r="E38" s="46">
        <f>IF(E37-E21&gt;0,E37-E21,0)</f>
        <v>2959</v>
      </c>
      <c r="G38" s="640">
        <f>C33*0.05+C33</f>
        <v>3332.7</v>
      </c>
      <c r="H38" s="615" t="str">
        <f>CONCATENATE("Less ",E1-2," Expenditures + 5%")</f>
        <v>Less 2012 Expenditures + 5%</v>
      </c>
      <c r="I38" s="615"/>
      <c r="J38" s="628"/>
      <c r="K38" s="582"/>
    </row>
    <row r="39" spans="2:11" ht="15.75">
      <c r="B39" s="52"/>
      <c r="C39" s="399" t="s">
        <v>624</v>
      </c>
      <c r="D39" s="689">
        <f>inputOth!$E$40</f>
        <v>0.04</v>
      </c>
      <c r="E39" s="32">
        <f>ROUND(IF(D39&gt;0,(E38*D39),0),0)</f>
        <v>118</v>
      </c>
      <c r="G39" s="648">
        <f>G36-G38</f>
        <v>2712.3</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3077</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0.284</v>
      </c>
      <c r="H43" s="632" t="str">
        <f>CONCATENATE("",E1," Fund Mill Rate")</f>
        <v>2014 Fund Mill Rate</v>
      </c>
      <c r="I43" s="656"/>
      <c r="J43" s="657"/>
      <c r="K43" s="582"/>
    </row>
    <row r="44" spans="2:11" ht="15.75">
      <c r="B44" s="14"/>
      <c r="C44" s="385" t="s">
        <v>11</v>
      </c>
      <c r="D44" s="388" t="s">
        <v>12</v>
      </c>
      <c r="E44" s="23" t="s">
        <v>13</v>
      </c>
      <c r="G44" s="659">
        <f>summ!F22</f>
        <v>0.251</v>
      </c>
      <c r="H44" s="632" t="str">
        <f>CONCATENATE("",E1-1," Fund Mill Rate")</f>
        <v>2013 Fund Mill Rate</v>
      </c>
      <c r="I44" s="656"/>
      <c r="J44" s="657"/>
      <c r="K44" s="582"/>
    </row>
    <row r="45" spans="2:11" ht="15.75">
      <c r="B45" s="477" t="str">
        <f>inputPrYr!B21</f>
        <v>Fire Protection</v>
      </c>
      <c r="C45" s="386" t="str">
        <f>C5</f>
        <v>Actual for 2012</v>
      </c>
      <c r="D45" s="386" t="str">
        <f>D5</f>
        <v>Estimate for 2013</v>
      </c>
      <c r="E45" s="26" t="str">
        <f>E5</f>
        <v>Year for 2014</v>
      </c>
      <c r="G45" s="661">
        <f>summ!I32</f>
        <v>0.382</v>
      </c>
      <c r="H45" s="632" t="str">
        <f>CONCATENATE("Total ",E1," Mill Rate")</f>
        <v>Total 2014 Mill Rate</v>
      </c>
      <c r="I45" s="656"/>
      <c r="J45" s="657"/>
      <c r="K45" s="582"/>
    </row>
    <row r="46" spans="2:11" ht="15.75">
      <c r="B46" s="27" t="s">
        <v>118</v>
      </c>
      <c r="C46" s="29"/>
      <c r="D46" s="387">
        <f>C74</f>
        <v>0</v>
      </c>
      <c r="E46" s="32">
        <f>D74</f>
        <v>0</v>
      </c>
      <c r="G46" s="659">
        <f>summ!F32</f>
        <v>0.33999999999999997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0.04</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v>7</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0.382</v>
      </c>
      <c r="H85" s="632" t="str">
        <f>CONCATENATE("Total ",E1," Mill Rate")</f>
        <v>Total 2014 Mill Rate</v>
      </c>
      <c r="I85" s="656"/>
      <c r="J85" s="657"/>
      <c r="K85" s="582"/>
    </row>
    <row r="86" spans="7:11" ht="15.75">
      <c r="G86" s="659">
        <f>summ!F32</f>
        <v>0.33999999999999997</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Sycamore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0.04</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0.382</v>
      </c>
      <c r="H45" s="632" t="str">
        <f>CONCATENATE("Total ",E1," Mill Rate")</f>
        <v>Total 2014 Mill Rate</v>
      </c>
      <c r="I45" s="656"/>
      <c r="J45" s="657"/>
      <c r="K45" s="582"/>
    </row>
    <row r="46" spans="2:11" ht="15.75">
      <c r="B46" s="27" t="s">
        <v>118</v>
      </c>
      <c r="C46" s="29"/>
      <c r="D46" s="387">
        <f>C74</f>
        <v>0</v>
      </c>
      <c r="E46" s="32">
        <f>D74</f>
        <v>0</v>
      </c>
      <c r="G46" s="659">
        <f>summ!F32</f>
        <v>0.33999999999999997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0.04</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0.382</v>
      </c>
      <c r="H85" s="632" t="str">
        <f>CONCATENATE("Total ",E1," Mill Rate")</f>
        <v>Total 2014 Mill Rate</v>
      </c>
      <c r="I85" s="656"/>
      <c r="J85" s="657"/>
      <c r="K85" s="582"/>
    </row>
    <row r="86" spans="7:11" ht="15.75">
      <c r="G86" s="659">
        <f>summ!F32</f>
        <v>0.33999999999999997</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Sycamore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0.04</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0.382</v>
      </c>
      <c r="H45" s="632" t="str">
        <f>CONCATENATE("Total ",E1," Mill Rate")</f>
        <v>Total 2014 Mill Rate</v>
      </c>
      <c r="I45" s="656"/>
      <c r="J45" s="657"/>
      <c r="K45" s="582"/>
    </row>
    <row r="46" spans="2:11" ht="15.75">
      <c r="B46" s="27" t="s">
        <v>118</v>
      </c>
      <c r="C46" s="29"/>
      <c r="D46" s="387">
        <f>C74</f>
        <v>0</v>
      </c>
      <c r="E46" s="32">
        <f>D74</f>
        <v>0</v>
      </c>
      <c r="G46" s="659">
        <f>summ!F32</f>
        <v>0.33999999999999997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0.04</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0.382</v>
      </c>
      <c r="H85" s="632" t="str">
        <f>CONCATENATE("Total ",E1," Mill Rate")</f>
        <v>Total 2014 Mill Rate</v>
      </c>
      <c r="I85" s="656"/>
      <c r="J85" s="657"/>
      <c r="K85" s="582"/>
    </row>
    <row r="86" spans="7:11" ht="15.75">
      <c r="G86" s="659">
        <f>summ!F32</f>
        <v>0.33999999999999997</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Sycamore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Sycamore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6">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947</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4100</v>
      </c>
      <c r="E16" s="187">
        <v>1088</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945</v>
      </c>
      <c r="D20" s="187">
        <v>6075</v>
      </c>
      <c r="E20" s="187">
        <v>3049</v>
      </c>
      <c r="G20" s="32">
        <f>IF(H15&gt;0,ROUND(E20-(E20*H15),0),0)</f>
        <v>0</v>
      </c>
    </row>
    <row r="21" spans="1:7" ht="15.75">
      <c r="A21" s="14"/>
      <c r="B21" s="187" t="s">
        <v>943</v>
      </c>
      <c r="C21" s="391" t="s">
        <v>944</v>
      </c>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4137</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10175</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0.084</v>
      </c>
      <c r="E42" s="14"/>
    </row>
    <row r="43" spans="1:5" ht="15.75">
      <c r="A43" s="14"/>
      <c r="B43" s="85" t="str">
        <f>B17</f>
        <v>Debt Service</v>
      </c>
      <c r="C43" s="14"/>
      <c r="D43" s="322" t="s">
        <v>277</v>
      </c>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Hall</v>
      </c>
      <c r="C46" s="14"/>
      <c r="D46" s="322">
        <v>0.214</v>
      </c>
      <c r="E46" s="14"/>
    </row>
    <row r="47" spans="1:5" ht="15.75">
      <c r="A47" s="14"/>
      <c r="B47" s="72" t="str">
        <f t="shared" si="0"/>
        <v>Fire Protection</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0.298</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3743</v>
      </c>
    </row>
    <row r="55" spans="1:5" ht="15.75">
      <c r="A55" s="327" t="str">
        <f>CONCATENATE("Assessed Valuation (",D5-2," budget column)")</f>
        <v>Assessed Valuation (2012 budget column)</v>
      </c>
      <c r="B55" s="328"/>
      <c r="C55" s="267"/>
      <c r="D55" s="28"/>
      <c r="E55" s="187">
        <v>12560066</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v>0</v>
      </c>
    </row>
    <row r="60" spans="1:5" ht="15.75">
      <c r="A60" s="328" t="s">
        <v>166</v>
      </c>
      <c r="B60" s="328"/>
      <c r="C60" s="331"/>
      <c r="D60" s="36"/>
      <c r="E60" s="36">
        <v>0</v>
      </c>
    </row>
    <row r="61" spans="1:5" ht="15.75">
      <c r="A61" s="328" t="s">
        <v>167</v>
      </c>
      <c r="B61" s="328"/>
      <c r="C61" s="331"/>
      <c r="D61" s="36"/>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9">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Sycamore Township</v>
      </c>
      <c r="C5" s="784"/>
      <c r="D5" s="784"/>
      <c r="E5" s="784"/>
      <c r="F5" s="784"/>
      <c r="G5" s="784"/>
      <c r="H5" s="784"/>
      <c r="I5" s="784"/>
    </row>
    <row r="6" spans="2:9" ht="15.75">
      <c r="B6" s="784" t="str">
        <f>inputPrYr!D3</f>
        <v>Montgomery County</v>
      </c>
      <c r="C6" s="784"/>
      <c r="D6" s="784"/>
      <c r="E6" s="784"/>
      <c r="F6" s="784"/>
      <c r="G6" s="784"/>
      <c r="H6" s="784"/>
      <c r="I6" s="784"/>
    </row>
    <row r="7" spans="2:9" ht="15.75">
      <c r="B7" s="775" t="str">
        <f>CONCATENATE("will meet on ",inputBudSum!B8," at ",inputBudSum!B10," at ",inputBudSum!B12," for the purpose of hearing and")</f>
        <v>will meet on August 8, 2013 at 7:00 PM at Sycamore Township Hall, Sycamore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217 E. Myrtle, Independence,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1221</v>
      </c>
      <c r="D18" s="524">
        <f>IF(inputPrYr!D42&gt;0,inputPrYr!D42,"  ")</f>
        <v>0.084</v>
      </c>
      <c r="E18" s="32">
        <f>IF(gen!$D$50&lt;&gt;0,gen!$D$50,"  ")</f>
        <v>4100</v>
      </c>
      <c r="F18" s="235">
        <f>IF(inputOth!D17&gt;0,inputOth!D17,"  ")</f>
        <v>0.089</v>
      </c>
      <c r="G18" s="32">
        <f>IF(gen!$E$50&lt;&gt;0,gen!$E$50,"  ")</f>
        <v>11150</v>
      </c>
      <c r="H18" s="32">
        <f>IF(gen!$E$57&lt;&gt;0,gen!$E$57," ")</f>
        <v>1058.5400000000009</v>
      </c>
      <c r="I18" s="526">
        <f>IF(gen!E57&gt;0,ROUND(H18/$G$37*1000,3)," ")</f>
        <v>0.098</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Hall</v>
      </c>
      <c r="C22" s="32">
        <f>IF(levypage9!$C$33&lt;&gt;0,levypage9!$C$33,"  ")</f>
        <v>3174</v>
      </c>
      <c r="D22" s="524">
        <f>IF(inputPrYr!D46&gt;0,inputPrYr!D46,"  ")</f>
        <v>0.214</v>
      </c>
      <c r="E22" s="32">
        <f>IF(levypage9!$D$33&lt;&gt;0,levypage9!$D$33,"  ")</f>
        <v>3875</v>
      </c>
      <c r="F22" s="235">
        <f>IF(inputOth!D21&gt;0,inputOth!D21,"  ")</f>
        <v>0.251</v>
      </c>
      <c r="G22" s="32">
        <f>IF(levypage9!$E$33&lt;&gt;0,levypage9!$E$33,"  ")</f>
        <v>6045</v>
      </c>
      <c r="H22" s="32">
        <f>IF(levypage9!$E$40&lt;&gt;0,levypage9!$E$40,"  ")</f>
        <v>3077</v>
      </c>
      <c r="I22" s="526">
        <f>IF(levypage9!E40&gt;0,ROUND(H22/$G$37*1000,3)," ")</f>
        <v>0.284</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10825</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0.33999999999999997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-454.5400000000009</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4395</v>
      </c>
      <c r="D32" s="478">
        <f t="shared" si="0"/>
        <v>0.298</v>
      </c>
      <c r="E32" s="527">
        <f t="shared" si="0"/>
        <v>7975</v>
      </c>
      <c r="F32" s="478">
        <f t="shared" si="0"/>
        <v>0.33999999999999997</v>
      </c>
      <c r="G32" s="527">
        <f t="shared" si="0"/>
        <v>17195</v>
      </c>
      <c r="H32" s="527">
        <f t="shared" si="0"/>
        <v>4135.540000000001</v>
      </c>
      <c r="I32" s="530">
        <f t="shared" si="0"/>
        <v>0.382</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4395</v>
      </c>
      <c r="D34" s="14"/>
      <c r="E34" s="528">
        <f>E32-E33</f>
        <v>7975</v>
      </c>
      <c r="F34" s="14"/>
      <c r="G34" s="528">
        <f>G32-G33</f>
        <v>17195</v>
      </c>
      <c r="H34" s="14"/>
      <c r="I34" s="14"/>
      <c r="K34" s="507" t="str">
        <f>CONCATENATE("",I1," Ad Valorem Tax Revenue:")</f>
        <v>2014 Ad Valorem Tax Revenue:</v>
      </c>
      <c r="L34" s="501"/>
      <c r="M34" s="501"/>
      <c r="N34" s="502">
        <f>H32</f>
        <v>4135.540000000001</v>
      </c>
    </row>
    <row r="35" spans="2:14" ht="16.5" thickTop="1">
      <c r="B35" s="274" t="s">
        <v>46</v>
      </c>
      <c r="C35" s="529">
        <f>inputPrYr!E54</f>
        <v>3743</v>
      </c>
      <c r="D35" s="61"/>
      <c r="E35" s="529">
        <f>inputPrYr!E26</f>
        <v>4137</v>
      </c>
      <c r="F35" s="14"/>
      <c r="G35" s="520" t="s">
        <v>289</v>
      </c>
      <c r="H35" s="14"/>
      <c r="I35" s="14"/>
      <c r="K35" s="507" t="str">
        <f>CONCATENATE("",I1-1," Ad Valorem Tax Revenue:")</f>
        <v>2013 Ad Valorem Tax Revenue:</v>
      </c>
      <c r="L35" s="501"/>
      <c r="M35" s="501"/>
      <c r="N35" s="515">
        <f>ROUND(G37*N27/1000,0)</f>
        <v>3681</v>
      </c>
    </row>
    <row r="36" spans="2:14" ht="15.75">
      <c r="B36" s="274" t="s">
        <v>47</v>
      </c>
      <c r="C36" s="55"/>
      <c r="D36" s="61"/>
      <c r="E36" s="55"/>
      <c r="F36" s="61"/>
      <c r="G36" s="14"/>
      <c r="H36" s="14"/>
      <c r="I36" s="14"/>
      <c r="K36" s="512" t="s">
        <v>717</v>
      </c>
      <c r="L36" s="513"/>
      <c r="M36" s="513"/>
      <c r="N36" s="505">
        <f>N34-N35</f>
        <v>454.5400000000009</v>
      </c>
    </row>
    <row r="37" spans="2:14" ht="15.75">
      <c r="B37" s="274" t="s">
        <v>48</v>
      </c>
      <c r="C37" s="32">
        <f>inputPrYr!E55</f>
        <v>12560066</v>
      </c>
      <c r="D37" s="14"/>
      <c r="E37" s="32">
        <f>inputOth!E29</f>
        <v>12145444</v>
      </c>
      <c r="F37" s="14"/>
      <c r="G37" s="32">
        <f>inputOth!E7</f>
        <v>10825394</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0.382</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Sycamore Township</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3">
      <selection activeCell="E45" sqref="E45"/>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Sycamore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10825394</v>
      </c>
      <c r="E19" s="14"/>
      <c r="F19" s="129"/>
    </row>
    <row r="20" spans="1:6" ht="15.75">
      <c r="A20" s="14"/>
      <c r="B20" s="14"/>
      <c r="C20" s="14"/>
      <c r="D20" s="14"/>
      <c r="E20" s="14"/>
      <c r="F20" s="129"/>
    </row>
    <row r="21" spans="1:6" ht="15.75">
      <c r="A21" s="14"/>
      <c r="B21" s="842" t="s">
        <v>365</v>
      </c>
      <c r="C21" s="842"/>
      <c r="D21" s="137">
        <f>IF(D19&gt;0,(D19*0.001),"")</f>
        <v>10825.394</v>
      </c>
      <c r="E21" s="14"/>
      <c r="F21" s="129"/>
    </row>
    <row r="22" spans="1:6" ht="15.75">
      <c r="A22" s="14"/>
      <c r="B22" s="48"/>
      <c r="C22" s="48"/>
      <c r="D22" s="138"/>
      <c r="E22" s="14"/>
      <c r="F22" s="129"/>
    </row>
    <row r="23" spans="1:6" ht="15.75">
      <c r="A23" s="840" t="s">
        <v>367</v>
      </c>
      <c r="B23" s="765"/>
      <c r="C23" s="76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Sycamore Township </v>
      </c>
      <c r="I6">
        <f>CONCATENATE(I7)</f>
      </c>
    </row>
    <row r="7" spans="1:7" ht="15.75">
      <c r="A7" s="852" t="str">
        <f>CONCATENATE("   with respect to financing the ",inputPrYr!D5," annual budget for ",(inputPrYr!D2)," , ",(inputPrYr!D3)," , Kansas.")</f>
        <v>   with respect to financing the 2014 annual budget for Sycamore Township , Montgomery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Sycamore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Sycamore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Sycamore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Sycamore Township of Montgomery County, Kansas that is our desire to notify the public of increased property taxes to finance the 2014 Sycamore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Sycamore Township Board, Montgomery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Sycamore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Sycamore Township</v>
      </c>
      <c r="B1" s="90"/>
      <c r="C1" s="90"/>
      <c r="D1" s="90"/>
      <c r="E1" s="90">
        <f>inputPrYr!D5</f>
        <v>2014</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10825394</v>
      </c>
    </row>
    <row r="8" spans="1:5" ht="15.75">
      <c r="A8" s="22" t="str">
        <f>CONCATENATE("New Improvements for ",E1-1,"")</f>
        <v>New Improvements for 2013</v>
      </c>
      <c r="B8" s="19"/>
      <c r="C8" s="19"/>
      <c r="D8" s="19"/>
      <c r="E8" s="283">
        <v>36486</v>
      </c>
    </row>
    <row r="9" spans="1:5" ht="15.75">
      <c r="A9" s="22" t="str">
        <f>CONCATENATE("Personal Property excluding oil, gas, and mobile homes - ",E1-1,"")</f>
        <v>Personal Property excluding oil, gas, and mobile homes - 2013</v>
      </c>
      <c r="B9" s="19"/>
      <c r="C9" s="19"/>
      <c r="D9" s="19"/>
      <c r="E9" s="283">
        <v>447139</v>
      </c>
    </row>
    <row r="10" spans="1:5" ht="15.75">
      <c r="A10" s="22" t="str">
        <f>CONCATENATE("Property that has changed in use for ",E1-1,"")</f>
        <v>Property that has changed in use for 2013</v>
      </c>
      <c r="B10" s="19"/>
      <c r="C10" s="19"/>
      <c r="D10" s="19"/>
      <c r="E10" s="283">
        <v>18054</v>
      </c>
    </row>
    <row r="11" spans="1:5" ht="15.75">
      <c r="A11" s="22" t="str">
        <f>CONCATENATE("Personal Property excluding oil, gas, and mobile homes- ",E1-2,"")</f>
        <v>Personal Property excluding oil, gas, and mobile homes- 2012</v>
      </c>
      <c r="B11" s="19"/>
      <c r="C11" s="19"/>
      <c r="D11" s="19"/>
      <c r="E11" s="283">
        <v>550367</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0.089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Hall</v>
      </c>
      <c r="B21" s="267"/>
      <c r="C21" s="19"/>
      <c r="D21" s="289">
        <v>0.251</v>
      </c>
      <c r="E21" s="286"/>
    </row>
    <row r="22" spans="1:5" ht="15.75">
      <c r="A22" s="71" t="str">
        <f>inputPrYr!B21</f>
        <v>Fire Protection</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0.33999999999999997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12145444</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447</v>
      </c>
    </row>
    <row r="33" spans="1:5" ht="15.75">
      <c r="A33" s="296" t="s">
        <v>276</v>
      </c>
      <c r="B33" s="267"/>
      <c r="C33" s="267"/>
      <c r="D33" s="31"/>
      <c r="E33" s="34">
        <v>5</v>
      </c>
    </row>
    <row r="34" spans="1:5" ht="15.75">
      <c r="A34" s="296" t="s">
        <v>160</v>
      </c>
      <c r="B34" s="267"/>
      <c r="C34" s="267"/>
      <c r="D34" s="31"/>
      <c r="E34" s="34">
        <v>32</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0.0436</v>
      </c>
    </row>
    <row r="40" spans="1:5" ht="15.75">
      <c r="A40" s="296" t="s">
        <v>856</v>
      </c>
      <c r="B40" s="274"/>
      <c r="C40" s="19"/>
      <c r="D40" s="19"/>
      <c r="E40" s="731">
        <v>0.04</v>
      </c>
    </row>
    <row r="41" spans="1:5" ht="15.75">
      <c r="A41" s="297" t="s">
        <v>164</v>
      </c>
      <c r="B41" s="297"/>
      <c r="C41" s="298"/>
      <c r="D41" s="298"/>
      <c r="E41" s="299" t="s">
        <v>948</v>
      </c>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3700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v>
      </c>
      <c r="B50" s="36">
        <v>3900</v>
      </c>
      <c r="C50" s="140"/>
      <c r="D50" s="140"/>
      <c r="E50" s="140"/>
    </row>
    <row r="51" spans="1:5" ht="15.75">
      <c r="A51" s="304" t="str">
        <f>inputPrYr!B21</f>
        <v>Fire Protection</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25" sqref="D25:D26"/>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947</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954</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29, 2013</v>
      </c>
      <c r="E9" s="353"/>
      <c r="F9" s="353"/>
      <c r="J9" s="711" t="s">
        <v>848</v>
      </c>
    </row>
    <row r="10" spans="1:10" ht="15.75">
      <c r="A10" s="354" t="s">
        <v>373</v>
      </c>
      <c r="B10" s="356" t="s">
        <v>955</v>
      </c>
      <c r="C10" s="360"/>
      <c r="D10" s="354"/>
      <c r="E10" s="353"/>
      <c r="F10" s="353"/>
      <c r="J10" s="711" t="s">
        <v>849</v>
      </c>
    </row>
    <row r="11" spans="1:10" ht="15.75">
      <c r="A11" s="354"/>
      <c r="B11" s="354"/>
      <c r="C11" s="354"/>
      <c r="D11" s="354"/>
      <c r="E11" s="353"/>
      <c r="F11" s="353"/>
      <c r="J11" s="711" t="s">
        <v>850</v>
      </c>
    </row>
    <row r="12" spans="1:10" ht="15.75">
      <c r="A12" s="354" t="s">
        <v>374</v>
      </c>
      <c r="B12" s="361" t="s">
        <v>956</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946</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41484</v>
      </c>
    </row>
    <row r="22" spans="1:7" ht="15.75">
      <c r="A22" s="354" t="s">
        <v>373</v>
      </c>
      <c r="B22" s="354" t="s">
        <v>378</v>
      </c>
      <c r="C22" s="354"/>
      <c r="D22" s="354"/>
      <c r="E22" s="354"/>
      <c r="G22" s="714">
        <f>IF(B8="","",MONTH(G21))</f>
        <v>7</v>
      </c>
    </row>
    <row r="23" spans="1:7" ht="15.75">
      <c r="A23" s="354"/>
      <c r="B23" s="354"/>
      <c r="C23" s="354"/>
      <c r="D23" s="354"/>
      <c r="E23" s="354"/>
      <c r="G23" s="715">
        <f>IF(B8="","",DAY(G21))</f>
        <v>29</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Montgomery County,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Sycamore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11150</v>
      </c>
      <c r="F21" s="722">
        <f>IF(gen!$E$57&lt;&gt;0,gen!$E$57,0)</f>
        <v>1058.5400000000009</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f>IF(levypage9!C81&gt;0,levypage9!C81,"  ")</f>
        <v>7</v>
      </c>
      <c r="E25" s="722">
        <f>IF(levypage9!$E$33&lt;&gt;0,levypage9!$E$33,"  ")</f>
        <v>6045</v>
      </c>
      <c r="F25" s="722">
        <f>IF(levypage9!$E$40&lt;&gt;0,levypage9!$E$40,"  ")</f>
        <v>3077</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f>IF(levypage9!C81&gt;0,levypage9!C81,"  ")</f>
        <v>7</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17195</v>
      </c>
      <c r="F35" s="724">
        <f>SUM(F21:F30)</f>
        <v>4135.540000000001</v>
      </c>
      <c r="G35" s="725">
        <f>IF(SUM(G21:G30)&gt;0,SUM(G21:G30),"")</f>
      </c>
    </row>
    <row r="36" spans="2:4" s="14" customFormat="1" ht="16.5" thickTop="1">
      <c r="B36" s="27" t="s">
        <v>168</v>
      </c>
      <c r="C36" s="259"/>
      <c r="D36" s="264">
        <f>summ!D49</f>
        <v>8</v>
      </c>
    </row>
    <row r="37" spans="2:6" s="14" customFormat="1" ht="15.75">
      <c r="B37" s="27" t="s">
        <v>214</v>
      </c>
      <c r="C37" s="28"/>
      <c r="D37" s="264">
        <f>IF(nhood!C38&gt;0,nhood!C38,"")</f>
        <v>9</v>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Sycamore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4137</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4137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36486</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447139</v>
      </c>
      <c r="F14" s="246"/>
      <c r="G14" s="55"/>
      <c r="H14" s="55"/>
      <c r="I14" s="53"/>
      <c r="J14" s="55"/>
    </row>
    <row r="15" spans="1:10" ht="15.75">
      <c r="A15" s="245"/>
      <c r="B15" s="14" t="s">
        <v>87</v>
      </c>
      <c r="C15" s="14" t="str">
        <f>CONCATENATE("Personal Property ",J1-2,"")</f>
        <v>Personal Property 2012</v>
      </c>
      <c r="D15" s="245" t="s">
        <v>82</v>
      </c>
      <c r="E15" s="249">
        <f>inputOth!E11</f>
        <v>550367</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18054</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54540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10825394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10770854</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0.005063665332386828</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21</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4158</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4158</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Sycamore Township</v>
      </c>
      <c r="C1" s="14"/>
      <c r="D1" s="14"/>
      <c r="E1" s="14"/>
      <c r="F1" s="14"/>
      <c r="G1" s="14"/>
      <c r="H1" s="14"/>
      <c r="I1" s="14"/>
      <c r="J1" s="15">
        <f>inputPrYr!D5</f>
        <v>2014</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1088</v>
      </c>
      <c r="E11" s="131">
        <f>IF(inputOth!D17&gt;0,inputOth!D17,"  ")</f>
        <v>0.089</v>
      </c>
      <c r="F11" s="717"/>
      <c r="G11" s="161">
        <f>IF(inputPrYr!E16=0,0,G23-SUM(G12:G20))</f>
        <v>118</v>
      </c>
      <c r="H11" s="718"/>
      <c r="I11" s="161">
        <f>IF(inputPrYr!E16=0,0,I25-SUM(I12:I20))</f>
        <v>1</v>
      </c>
      <c r="J11" s="161">
        <f>IF(inputPrYr!E16=0,0,J27-SUM(J12:J20))</f>
        <v>8</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3049</v>
      </c>
      <c r="E15" s="131">
        <f>IF(inputOth!D21&gt;0,inputOth!D21,"  ")</f>
        <v>0.251</v>
      </c>
      <c r="F15" s="717"/>
      <c r="G15" s="161">
        <f>IF(inputPrYr!E20=0,0,ROUND(D15*$G$30,0))</f>
        <v>329</v>
      </c>
      <c r="H15" s="718"/>
      <c r="I15" s="161">
        <f>IF(inputPrYr!$E$20=0,0,ROUND($D$15*$I$32,0))</f>
        <v>4</v>
      </c>
      <c r="J15" s="161">
        <f>IF(inputPrYr!E20=0,0,ROUND($D15*$J$34,0))</f>
        <v>24</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4137</v>
      </c>
      <c r="E21" s="720">
        <f>SUM(E11:E20)</f>
        <v>0.33999999999999997</v>
      </c>
      <c r="F21" s="721"/>
      <c r="G21" s="719">
        <f>SUM(G11:G20)</f>
        <v>447</v>
      </c>
      <c r="H21" s="719"/>
      <c r="I21" s="719">
        <f>SUM(I11:I20)</f>
        <v>5</v>
      </c>
      <c r="J21" s="719">
        <f>SUM(J11:J20)</f>
        <v>32</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447</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32</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0.10804931109499638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0.001208605269518975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0.007735073724921441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39" sqref="F39"/>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Sycamore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2013-07-18T15:35:23Z</cp:lastPrinted>
  <dcterms:created xsi:type="dcterms:W3CDTF">1998-08-26T16:30:41Z</dcterms:created>
  <dcterms:modified xsi:type="dcterms:W3CDTF">2013-07-18T16:43:50Z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