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<sst xmlns="http://schemas.openxmlformats.org/spreadsheetml/2006/main" count="1581" uniqueCount="954">
  <si>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</si>
  <si>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</si>
  <si>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</si>
  <si>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</si>
  <si>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</si>
  <si>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</si>
  <si>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</si>
  <si>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</si>
  <si>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</si>
  <si>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</si>
  <si>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</si>
  <si>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</si>
  <si>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</si>
  <si>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</si>
  <si>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</si>
  <si>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</si>
  <si>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</si>
  <si>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</si>
  <si>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</si>
  <si>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</si>
  <si>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</si>
  <si>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</si>
  <si>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</si>
  <si>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</si>
  <si>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</si>
  <si>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</si>
  <si>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</si>
  <si>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</si>
  <si>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</si>
  <si>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</si>
  <si>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</si>
  <si>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</si>
  <si>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</si>
  <si>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</si>
  <si>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</si>
  <si>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</si>
  <si>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</si>
  <si>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</si>
  <si>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</si>
  <si>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</si>
  <si>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</si>
  <si>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</si>
  <si>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</si>
  <si>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</si>
  <si>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</si>
  <si>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</si>
  <si>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</si>
  <si>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</si>
  <si>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</si>
  <si>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</si>
  <si>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</si>
  <si>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</si>
  <si>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</si>
  <si>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</si>
  <si>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</si>
  <si>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</si>
  <si>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</si>
  <si>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</si>
  <si>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</si>
  <si>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</si>
  <si>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</si>
  <si>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</si>
  <si>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</si>
  <si>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</si>
  <si>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</si>
  <si>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</si>
  <si>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</si>
  <si>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</si>
  <si>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</si>
  <si>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</si>
  <si>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</si>
  <si>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</si>
  <si>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</si>
  <si>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</si>
  <si>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</si>
  <si>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</si>
  <si>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</si>
  <si>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</si>
  <si>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</si>
  <si>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</si>
  <si>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</si>
  <si>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</si>
  <si>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</si>
  <si>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</si>
  <si>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</si>
  <si>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</si>
  <si>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</si>
  <si>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</si>
  <si>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</si>
  <si>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</si>
  <si>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</si>
  <si>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</si>
  <si>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</si>
  <si>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</si>
  <si>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</si>
  <si>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</si>
  <si>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</si>
  <si>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</si>
  <si>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</si>
  <si>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</si>
  <si>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</si>
  <si>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</si>
  <si>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</si>
  <si>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</si>
  <si>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</si>
  <si>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</si>
  <si>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</si>
  <si>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</si>
  <si>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</si>
  <si>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</si>
  <si>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</si>
  <si>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</si>
  <si>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</si>
  <si>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</si>
  <si>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</si>
  <si>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</si>
  <si>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</si>
  <si>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</si>
  <si>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</si>
  <si>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</si>
  <si>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</si>
  <si>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</si>
  <si>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</si>
  <si>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</si>
  <si>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</si>
  <si>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</si>
  <si>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</si>
  <si>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</si>
  <si>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</si>
  <si>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</si>
  <si>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</si>
  <si>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</si>
  <si>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</si>
  <si>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</si>
  <si>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</si>
  <si>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</si>
  <si>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</si>
  <si>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</si>
  <si>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</si>
  <si>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</si>
  <si>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</si>
  <si>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</si>
  <si>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</si>
  <si>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</si>
  <si>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</si>
  <si>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</si>
  <si>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</si>
  <si>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</si>
  <si>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</si>
  <si>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</si>
  <si>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</si>
  <si>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</si>
  <si>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</si>
  <si>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</si>
  <si>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</si>
  <si>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</si>
  <si>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</si>
  <si>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</si>
  <si>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</si>
  <si>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</si>
  <si>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</si>
  <si>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</si>
  <si>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</si>
  <si>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</si>
  <si>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</si>
  <si>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</si>
  <si>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</si>
  <si>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</si>
  <si>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</si>
  <si>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</si>
  <si>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</si>
  <si>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</si>
  <si>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</si>
  <si>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</si>
  <si>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</si>
  <si>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</si>
  <si>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</si>
  <si>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</si>
  <si>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</si>
  <si>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</si>
  <si>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</si>
  <si>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</si>
  <si>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</si>
  <si>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</si>
  <si>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</si>
  <si>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</si>
  <si>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</si>
  <si>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</si>
  <si>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</si>
  <si>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</si>
  <si>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</si>
  <si>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</si>
  <si>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</si>
  <si>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</si>
  <si>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</si>
  <si>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</si>
  <si>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</si>
  <si>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</si>
  <si>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</si>
  <si>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</si>
  <si>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</si>
  <si>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</si>
  <si>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</si>
  <si>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</si>
  <si>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</si>
  <si>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</si>
  <si>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</si>
  <si>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</si>
  <si>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</si>
  <si>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</si>
  <si>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</si>
  <si>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</si>
  <si>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</si>
  <si>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</si>
  <si>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</si>
  <si>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</si>
  <si>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</si>
  <si>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</si>
  <si>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</si>
  <si>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</si>
  <si>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</si>
  <si>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</si>
  <si>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</si>
  <si>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</si>
  <si>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</si>
  <si>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</si>
  <si>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</si>
  <si>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</si>
  <si>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</si>
  <si>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</si>
  <si>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</si>
  <si>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</si>
  <si>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</si>
  <si>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</si>
  <si>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</si>
  <si>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</si>
  <si>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</si>
  <si>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</si>
  <si>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</si>
  <si>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</si>
  <si>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</si>
  <si>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</si>
  <si>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</si>
  <si>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</si>
  <si>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</si>
  <si>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</si>
  <si>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</si>
  <si>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</si>
  <si>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</si>
  <si>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</si>
  <si>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</si>
  <si>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</si>
  <si>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</si>
  <si>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</si>
  <si>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</si>
  <si>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</si>
  <si>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</si>
  <si>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</si>
  <si>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</si>
  <si>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</si>
  <si>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</si>
  <si>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</si>
  <si>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</si>
  <si>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</si>
  <si>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</si>
  <si>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</si>
  <si>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</si>
  <si>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</si>
  <si>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</si>
  <si>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</si>
  <si>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</si>
  <si>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</si>
  <si>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</si>
  <si>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</si>
  <si>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</si>
  <si>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</si>
  <si>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</si>
  <si>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</si>
  <si>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</si>
  <si>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</si>
  <si>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</si>
  <si>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</si>
  <si>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</si>
  <si>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</si>
  <si>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</si>
  <si>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</si>
  <si>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</si>
  <si>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</si>
  <si>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</si>
  <si>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</si>
  <si>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</si>
  <si>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</si>
  <si>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</si>
  <si>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</si>
  <si>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</si>
  <si>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</si>
  <si>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</si>
  <si>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</si>
  <si>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</si>
  <si>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</si>
  <si>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</si>
  <si>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</si>
  <si>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</si>
  <si>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</si>
  <si>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</si>
  <si>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</si>
  <si>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</si>
  <si>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</si>
  <si>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</si>
  <si>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</si>
  <si>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</si>
  <si>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</si>
  <si>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</si>
  <si>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</si>
  <si>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</si>
  <si>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</si>
  <si>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</si>
  <si>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</si>
  <si>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</si>
  <si>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</si>
  <si>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</si>
  <si>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</si>
  <si>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</si>
  <si>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</si>
  <si>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</si>
  <si>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</si>
  <si>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</si>
  <si>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</si>
  <si>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</si>
  <si>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</si>
  <si>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</si>
  <si>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</si>
  <si>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</si>
  <si>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</si>
  <si>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</si>
  <si>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</si>
  <si>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</si>
  <si>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</si>
  <si>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</si>
  <si>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</si>
  <si>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</si>
  <si>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</si>
  <si>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</si>
  <si>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</si>
  <si>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</si>
  <si>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</si>
  <si>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</si>
  <si>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</si>
  <si>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</si>
  <si>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</si>
  <si>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</si>
  <si>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</si>
  <si>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</si>
  <si>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</si>
  <si>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</si>
  <si>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</si>
  <si>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</si>
  <si>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</si>
  <si>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</si>
  <si>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</si>
  <si>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</si>
  <si>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</si>
  <si>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</si>
  <si>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</si>
  <si>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</si>
  <si>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</si>
  <si>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</si>
  <si>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</si>
  <si>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</si>
  <si>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</si>
  <si>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</si>
  <si>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</si>
  <si>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</si>
  <si>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</si>
  <si>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</si>
  <si>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</si>
  <si>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</si>
  <si>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</si>
  <si>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</si>
  <si>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</si>
  <si>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</si>
  <si>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</si>
  <si>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</si>
  <si>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</si>
  <si>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</si>
  <si>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</si>
  <si>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</si>
  <si>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</si>
  <si>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</si>
  <si>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</si>
  <si>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</si>
  <si>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</si>
  <si>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</si>
  <si>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</si>
  <si>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</si>
  <si>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</si>
  <si>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</si>
  <si>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</si>
  <si>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</si>
  <si>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</si>
  <si>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</si>
  <si>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</si>
  <si>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</si>
  <si>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</si>
  <si>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</si>
  <si>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</si>
  <si>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</si>
  <si>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</si>
  <si>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</si>
  <si>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</si>
  <si>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</si>
  <si>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</si>
  <si>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</si>
  <si>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</si>
  <si>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</si>
  <si>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</si>
  <si>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</si>
  <si>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</si>
  <si>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</si>
  <si>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</si>
  <si>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</si>
  <si>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</si>
  <si>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</si>
  <si>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</si>
  <si>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</si>
  <si>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</si>
  <si>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</si>
  <si>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</si>
  <si>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</si>
  <si>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</si>
  <si>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</si>
  <si>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</si>
  <si>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</si>
  <si>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</si>
  <si>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</si>
  <si>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</si>
  <si>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</si>
  <si>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</si>
  <si>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</si>
  <si>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</si>
  <si>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</si>
  <si>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</si>
  <si>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</si>
  <si>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</si>
  <si>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</si>
  <si>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</si>
  <si>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</si>
  <si>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</si>
  <si>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</si>
  <si>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</si>
  <si>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</si>
  <si>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</si>
  <si>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</si>
  <si>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</si>
  <si>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</si>
  <si>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</si>
  <si>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</si>
  <si>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</si>
  <si>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</si>
  <si>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</si>
  <si>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</si>
  <si>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</si>
  <si>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</si>
  <si>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</si>
  <si>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</si>
  <si>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</si>
  <si>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</si>
  <si>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</si>
  <si>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</si>
  <si>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</si>
  <si>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</si>
  <si>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</si>
  <si>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</si>
  <si>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</si>
  <si>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</si>
  <si>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</si>
  <si>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</si>
  <si>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</si>
  <si>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</si>
  <si>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</si>
  <si>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</si>
  <si>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</si>
  <si>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</si>
  <si>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</si>
  <si>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</si>
  <si>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</si>
  <si>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</si>
  <si>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</si>
  <si>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</si>
  <si>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</si>
  <si>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</si>
  <si>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</si>
  <si>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</si>
  <si>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</si>
  <si>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</si>
  <si>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</si>
  <si>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</si>
  <si>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</si>
  <si>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</si>
  <si>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</si>
  <si>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</si>
  <si>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</si>
  <si>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</si>
  <si>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</si>
  <si>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</si>
  <si>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</si>
  <si>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</si>
  <si>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</si>
  <si>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</si>
  <si>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</si>
  <si>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</si>
  <si>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</si>
  <si>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</si>
  <si>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</si>
  <si>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</si>
  <si>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</si>
  <si>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</si>
  <si>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</si>
  <si>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</si>
  <si>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</si>
  <si>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</si>
  <si>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</si>
  <si>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</si>
  <si>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</si>
  <si>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</si>
  <si>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</si>
  <si>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</si>
  <si>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</si>
  <si>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</si>
  <si>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</si>
  <si>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</si>
  <si>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</si>
  <si>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</si>
  <si>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</si>
  <si>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</si>
  <si>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</si>
  <si>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</si>
  <si>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</si>
  <si>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</si>
  <si>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</si>
  <si>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</si>
  <si>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</si>
  <si>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</si>
  <si>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</si>
  <si>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</si>
  <si>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</si>
  <si>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</si>
  <si>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</si>
  <si>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</si>
  <si>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</si>
  <si>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</si>
  <si>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</si>
  <si>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</si>
  <si>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</si>
  <si>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</si>
  <si>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</si>
  <si>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</si>
  <si>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</si>
  <si>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</si>
  <si>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</si>
  <si>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</si>
  <si>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</si>
  <si>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</si>
  <si>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</si>
  <si>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</si>
  <si>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</si>
  <si>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</si>
  <si>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</si>
  <si>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</si>
  <si>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</si>
  <si>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</si>
  <si>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</si>
  <si>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</si>
  <si>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</si>
  <si>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</si>
  <si>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</si>
  <si>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</si>
  <si>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</si>
  <si>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</si>
  <si>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</si>
  <si>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</si>
  <si>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</si>
  <si>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</si>
  <si>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</si>
  <si>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</si>
  <si>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</si>
  <si>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</si>
  <si>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</si>
  <si>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</si>
  <si>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</si>
  <si>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</si>
  <si>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</si>
  <si>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</si>
  <si>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</si>
  <si>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</si>
  <si>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</si>
  <si>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</si>
  <si>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</si>
  <si>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</si>
  <si>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</si>
  <si>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</si>
  <si>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</si>
  <si>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</si>
  <si>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</si>
  <si>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</si>
  <si>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</si>
  <si>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</si>
  <si>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</si>
  <si>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</si>
  <si>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</si>
  <si>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</si>
  <si>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</si>
  <si>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</si>
  <si>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</si>
  <si>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</si>
  <si>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</si>
  <si>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</si>
  <si>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</si>
  <si>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</si>
  <si>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</si>
  <si>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</si>
  <si>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</si>
  <si>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</si>
  <si>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</si>
  <si>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</si>
  <si>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</si>
  <si>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</si>
  <si>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</si>
  <si>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</si>
  <si>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</si>
  <si>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</si>
  <si>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</si>
  <si>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</si>
  <si>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</si>
  <si>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</si>
  <si>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</si>
  <si>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</si>
  <si>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</si>
  <si>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</si>
  <si>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</si>
  <si>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</si>
  <si>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</si>
  <si>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</si>
  <si>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</si>
  <si>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</si>
  <si>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</si>
  <si>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</si>
  <si>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</si>
  <si>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</si>
  <si>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</si>
  <si>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</si>
  <si>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</si>
  <si>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</si>
  <si>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</si>
  <si>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</si>
  <si>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</si>
  <si>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</si>
  <si>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</si>
  <si>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</si>
  <si>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</si>
  <si>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</si>
  <si>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</si>
  <si>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</si>
  <si>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</si>
  <si>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</si>
  <si>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</si>
  <si>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</si>
  <si>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</si>
  <si>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</si>
  <si>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</si>
  <si>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</si>
  <si>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</si>
  <si>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</si>
  <si>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</si>
  <si>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</si>
  <si>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</si>
  <si>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</si>
  <si>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</si>
  <si>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</si>
  <si>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</si>
  <si>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</si>
  <si>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</si>
  <si>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</si>
  <si>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</si>
  <si>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</si>
  <si>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</si>
  <si>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</si>
  <si>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</si>
  <si>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</si>
  <si>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</si>
  <si>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</si>
  <si>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</si>
  <si>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</si>
  <si>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</si>
  <si>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</si>
  <si>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</si>
  <si>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</si>
  <si>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</si>
  <si>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</si>
  <si>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</si>
  <si>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</si>
  <si>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</si>
  <si>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</si>
  <si>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</si>
  <si>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</si>
  <si>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</si>
  <si>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</si>
  <si>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</si>
  <si>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</si>
  <si>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</si>
  <si>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</si>
  <si>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</si>
  <si>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</si>
  <si>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</si>
  <si>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</si>
  <si>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</si>
  <si>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</si>
  <si>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</si>
  <si>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</si>
  <si>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</si>
  <si>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</si>
  <si>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</si>
  <si>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</si>
  <si>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</si>
  <si>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</si>
  <si>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</si>
  <si>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</si>
  <si>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</si>
  <si>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</si>
  <si>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</si>
  <si>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</si>
  <si>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</si>
  <si>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</si>
  <si>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</si>
  <si>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</si>
  <si>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</si>
  <si>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</si>
  <si>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</si>
  <si>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</si>
  <si>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</si>
  <si>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</si>
  <si>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</si>
  <si>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</si>
  <si>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</si>
  <si>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</si>
  <si>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</si>
  <si>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</si>
  <si>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</si>
  <si>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</si>
  <si>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</si>
  <si>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</si>
  <si>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</si>
  <si>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</si>
  <si>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</si>
  <si>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</si>
  <si>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</si>
  <si>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</si>
  <si>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</si>
  <si>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</si>
  <si>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</si>
  <si>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</si>
  <si>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</si>
  <si>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</si>
  <si>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</si>
  <si>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</si>
  <si>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</si>
  <si>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</si>
  <si>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</si>
  <si>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</si>
  <si>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</si>
  <si>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</si>
  <si>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</si>
  <si>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</si>
  <si>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</si>
  <si>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</si>
  <si>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</si>
  <si>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</si>
  <si>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</si>
  <si>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</si>
  <si>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</si>
  <si>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</si>
  <si>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</si>
  <si>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</si>
  <si>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</si>
  <si>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</si>
  <si>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</si>
  <si>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</si>
  <si>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</si>
  <si>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</si>
  <si>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</si>
  <si>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</si>
  <si>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</si>
  <si>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</si>
  <si>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</si>
  <si>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</si>
  <si>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</si>
  <si>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</si>
  <si>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</si>
  <si>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</si>
  <si>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</si>
  <si>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</si>
  <si>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</si>
  <si>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</si>
  <si>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</si>
  <si>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</si>
  <si>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</si>
  <si>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</si>
  <si>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</si>
  <si>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</si>
  <si>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</si>
  <si>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</si>
  <si>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</si>
  <si>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</si>
  <si>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</si>
  <si>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</si>
  <si>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</si>
  <si>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</si>
  <si>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</si>
  <si>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</si>
  <si>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</si>
  <si>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</si>
  <si>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</si>
  <si>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</si>
  <si>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</si>
  <si>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</si>
  <si>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</si>
  <si>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</si>
  <si>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</si>
  <si>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</si>
  <si>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</si>
  <si>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</si>
  <si>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</si>
  <si>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</si>
  <si>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</si>
  <si>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</si>
  <si>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</si>
  <si>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</si>
  <si>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</si>
  <si>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</si>
  <si>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</si>
  <si>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</si>
  <si>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</si>
  <si>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</si>
  <si>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</si>
  <si>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</si>
  <si>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</si>
  <si>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</si>
  <si>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</si>
  <si>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</si>
  <si>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</si>
  <si>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</si>
  <si>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</si>
  <si>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</si>
  <si>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</si>
  <si>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</si>
  <si>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</si>
  <si>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</si>
  <si>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</si>
  <si>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</si>
  <si>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</si>
  <si>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</si>
  <si>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</si>
  <si>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</si>
  <si>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</si>
  <si>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</si>
  <si>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</si>
  <si>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</si>
  <si>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</si>
  <si>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</si>
  <si>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</si>
  <si>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</si>
  <si>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</si>
  <si>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</si>
  <si>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</si>
  <si>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</si>
  <si>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</si>
  <si>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</si>
  <si>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</si>
  <si>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</si>
  <si>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</si>
  <si>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</si>
  <si>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</si>
  <si>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</si>
  <si>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</si>
  <si>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</si>
  <si>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</si>
  <si>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</si>
  <si>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</si>
  <si>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</si>
  <si>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</si>
  <si>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</si>
  <si>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</si>
  <si>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</si>
  <si>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</si>
  <si>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</si>
  <si>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</si>
  <si>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</si>
  <si>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</si>
  <si>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</si>
  <si>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</si>
  <si>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</si>
  <si>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</si>
  <si>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</si>
  <si>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</si>
  <si>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</si>
  <si>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</si>
  <si>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</si>
  <si>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</si>
  <si>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</si>
  <si>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</si>
  <si>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</si>
  <si>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</si>
  <si>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</si>
  <si>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</si>
  <si>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</si>
  <si>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</si>
  <si>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</si>
  <si>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</si>
  <si>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</si>
  <si>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</si>
  <si>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</si>
  <si>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</si>
  <si>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</si>
  <si>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</si>
  <si>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</si>
  <si>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</si>
  <si>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</si>
  <si>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</si>
  <si>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</si>
  <si>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</si>
  <si>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</si>
  <si>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</si>
  <si>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</si>
  <si>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</si>
  <si>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</si>
  <si>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</si>
  <si>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</si>
  <si>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</si>
  <si>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</si>
  <si>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</si>
  <si>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</si>
  <si>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</si>
  <si>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</si>
  <si>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Fire Protection</t>
  </si>
  <si>
    <t>80-1503</t>
  </si>
  <si>
    <t>80-115</t>
  </si>
  <si>
    <t>Montgomery County Clerk's Office, 217 E. Myrtle, Independence, KS</t>
  </si>
  <si>
    <t>Rutland Township</t>
  </si>
  <si>
    <t>Publication</t>
  </si>
  <si>
    <t>Operations</t>
  </si>
  <si>
    <t xml:space="preserve">Transfer from Hall Fund </t>
  </si>
  <si>
    <t>August 26, 2013</t>
  </si>
  <si>
    <t>8:00 PM</t>
  </si>
  <si>
    <t>Richard Fox Residence, 3224B CR 2300, Independence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</si>
</sst>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Rutland Township</v>
      </c>
      <c r="C1" s="167"/>
      <c r="D1" s="167"/>
      <c r="E1" s="167"/>
      <c r="F1" s="167"/>
      <c r="G1" s="167"/>
      <c r="H1" s="167"/>
      <c r="I1" s="167"/>
      <c r="J1" s="14"/>
      <c r="K1" s="14"/>
      <c r="L1" s="15">
        <f>inputPrYr!D5</f>
        <v>2014</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Rutland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5952498</v>
      </c>
      <c r="F27" s="556"/>
      <c r="G27" s="561">
        <f>summ!G37</f>
        <v>5497231</v>
      </c>
      <c r="H27" s="556"/>
      <c r="I27" s="556"/>
    </row>
    <row r="28" spans="2:9" ht="15.75">
      <c r="B28" s="556" t="s">
        <v>779</v>
      </c>
      <c r="C28" s="556"/>
      <c r="D28" s="556"/>
      <c r="E28" s="566" t="str">
        <f>IF(G27-E27&gt;=0,"No","Yes")</f>
        <v>Yes</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16" sqref="E1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Rutland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2464</v>
      </c>
      <c r="D6" s="387">
        <f>C51</f>
        <v>2340</v>
      </c>
      <c r="E6" s="32">
        <f>D51</f>
        <v>13246</v>
      </c>
    </row>
    <row r="7" spans="2:5" ht="15.75">
      <c r="B7" s="27" t="s">
        <v>120</v>
      </c>
      <c r="C7" s="387"/>
      <c r="D7" s="387"/>
      <c r="E7" s="33"/>
    </row>
    <row r="8" spans="2:5" ht="15.75">
      <c r="B8" s="27" t="s">
        <v>16</v>
      </c>
      <c r="C8" s="29">
        <v>0</v>
      </c>
      <c r="D8" s="387">
        <f>IF(inputPrYr!H15&gt;0,inputPrYr!G16,inputPrYr!E16)</f>
        <v>0</v>
      </c>
      <c r="E8" s="33" t="s">
        <v>289</v>
      </c>
    </row>
    <row r="9" spans="2:5" ht="15.75">
      <c r="B9" s="27" t="s">
        <v>17</v>
      </c>
      <c r="C9" s="29">
        <v>0</v>
      </c>
      <c r="D9" s="29">
        <v>0</v>
      </c>
      <c r="E9" s="34"/>
    </row>
    <row r="10" spans="2:5" ht="15.75">
      <c r="B10" s="27" t="s">
        <v>18</v>
      </c>
      <c r="C10" s="29">
        <v>0</v>
      </c>
      <c r="D10" s="29">
        <v>0</v>
      </c>
      <c r="E10" s="32">
        <f>mvalloc!G11</f>
        <v>0</v>
      </c>
    </row>
    <row r="11" spans="2:5" ht="15.75">
      <c r="B11" s="27" t="s">
        <v>19</v>
      </c>
      <c r="C11" s="29">
        <v>0</v>
      </c>
      <c r="D11" s="29">
        <v>0</v>
      </c>
      <c r="E11" s="32">
        <f>mvalloc!I11</f>
        <v>0</v>
      </c>
    </row>
    <row r="12" spans="2:5" ht="15.75">
      <c r="B12" s="35" t="s">
        <v>69</v>
      </c>
      <c r="C12" s="29">
        <v>0</v>
      </c>
      <c r="D12" s="29">
        <v>0</v>
      </c>
      <c r="E12" s="32">
        <f>mvalloc!J11</f>
        <v>0</v>
      </c>
    </row>
    <row r="13" spans="2:5" ht="15.75">
      <c r="B13" s="35" t="s">
        <v>161</v>
      </c>
      <c r="C13" s="29">
        <v>0</v>
      </c>
      <c r="D13" s="29">
        <v>0</v>
      </c>
      <c r="E13" s="32">
        <f>inputOth!E35</f>
        <v>0</v>
      </c>
    </row>
    <row r="14" spans="2:5" ht="15.75">
      <c r="B14" s="27" t="s">
        <v>20</v>
      </c>
      <c r="C14" s="29">
        <v>0</v>
      </c>
      <c r="D14" s="29">
        <v>0</v>
      </c>
      <c r="E14" s="32">
        <f>inputOth!E12</f>
        <v>0</v>
      </c>
    </row>
    <row r="15" spans="2:5" ht="15.75">
      <c r="B15" s="37" t="s">
        <v>950</v>
      </c>
      <c r="C15" s="29">
        <v>0</v>
      </c>
      <c r="D15" s="29">
        <v>16056</v>
      </c>
      <c r="E15" s="36">
        <v>0</v>
      </c>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0</v>
      </c>
      <c r="D26" s="389">
        <f>SUM(D8:D24)</f>
        <v>16056</v>
      </c>
      <c r="E26" s="42">
        <f>SUM(E8:E24)</f>
        <v>0</v>
      </c>
    </row>
    <row r="27" spans="2:5" ht="15.75">
      <c r="B27" s="43" t="s">
        <v>24</v>
      </c>
      <c r="C27" s="389">
        <f>C26+C6</f>
        <v>2464</v>
      </c>
      <c r="D27" s="389">
        <f>D26+D6</f>
        <v>18396</v>
      </c>
      <c r="E27" s="42">
        <f>E26+E6</f>
        <v>13246</v>
      </c>
    </row>
    <row r="28" spans="2:5" ht="15.75">
      <c r="B28" s="27" t="s">
        <v>25</v>
      </c>
      <c r="C28" s="387"/>
      <c r="D28" s="387"/>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948</v>
      </c>
      <c r="C37" s="29">
        <v>124</v>
      </c>
      <c r="D37" s="29">
        <v>150</v>
      </c>
      <c r="E37" s="34">
        <v>150</v>
      </c>
    </row>
    <row r="38" spans="2:5" ht="15.75">
      <c r="B38" s="37" t="s">
        <v>949</v>
      </c>
      <c r="C38" s="29"/>
      <c r="D38" s="29">
        <v>5000</v>
      </c>
      <c r="E38" s="34">
        <v>5000</v>
      </c>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124</v>
      </c>
      <c r="D50" s="381">
        <f>SUM(D29:D48)</f>
        <v>5150</v>
      </c>
      <c r="E50" s="47">
        <f>SUM(E29:E43,E45,E47:E48)</f>
        <v>5150</v>
      </c>
      <c r="G50" s="484">
        <f>D51</f>
        <v>13246</v>
      </c>
      <c r="H50" s="485" t="str">
        <f>CONCATENATE("",E1-1," Ending Cash Balance (est.)")</f>
        <v>2013 Ending Cash Balance (est.)</v>
      </c>
      <c r="I50" s="486"/>
      <c r="J50" s="257"/>
    </row>
    <row r="51" spans="2:10" ht="15.75">
      <c r="B51" s="27" t="s">
        <v>119</v>
      </c>
      <c r="C51" s="382">
        <f>C27-C50</f>
        <v>2340</v>
      </c>
      <c r="D51" s="382">
        <f>SUM(D27-D50)</f>
        <v>13246</v>
      </c>
      <c r="E51" s="33" t="s">
        <v>289</v>
      </c>
      <c r="G51" s="484">
        <f>E26</f>
        <v>0</v>
      </c>
      <c r="H51" s="487" t="str">
        <f>CONCATENATE("",E1," Non-AV Receipts (est.)")</f>
        <v>2014 Non-AV Receipts (est.)</v>
      </c>
      <c r="I51" s="486"/>
      <c r="J51" s="257"/>
    </row>
    <row r="52" spans="2:11" ht="15.75">
      <c r="B52" s="48" t="str">
        <f>CONCATENATE("",E1-2,"/",E1-1," Budget Authority Amount:")</f>
        <v>2012/2013 Budget Authority Amount:</v>
      </c>
      <c r="C52" s="132">
        <f>inputOth!B46</f>
        <v>150</v>
      </c>
      <c r="D52" s="161">
        <f>inputPrYr!D16</f>
        <v>5150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13246</v>
      </c>
      <c r="H53" s="487" t="str">
        <f>CONCATENATE("Total ",E1," Resources Available")</f>
        <v>Total 2014 Resources Available</v>
      </c>
      <c r="I53" s="486"/>
      <c r="J53" s="257"/>
    </row>
    <row r="54" spans="2:10" ht="15.75">
      <c r="B54" s="395" t="str">
        <f>CONCATENATE(C72,"     ",D72)</f>
        <v>     </v>
      </c>
      <c r="C54" s="803" t="s">
        <v>623</v>
      </c>
      <c r="D54" s="804"/>
      <c r="E54" s="32">
        <f>E50+E53</f>
        <v>5150</v>
      </c>
      <c r="G54" s="489"/>
      <c r="H54" s="487"/>
      <c r="I54" s="487"/>
      <c r="J54" s="257"/>
    </row>
    <row r="55" spans="2:10" ht="15.75">
      <c r="B55" s="395" t="str">
        <f>CONCATENATE(C73,"     ",D73)</f>
        <v>     </v>
      </c>
      <c r="C55" s="60"/>
      <c r="D55" s="52" t="s">
        <v>28</v>
      </c>
      <c r="E55" s="46">
        <f>IF(E54-E27&gt;0,E54-E27,0)</f>
        <v>0</v>
      </c>
      <c r="G55" s="488">
        <f>ROUND(C50*0.05+C50,0)</f>
        <v>130</v>
      </c>
      <c r="H55" s="487" t="str">
        <f>CONCATENATE("Less ",E1-2," Expenditures + 5%")</f>
        <v>Less 2012 Expenditures + 5%</v>
      </c>
      <c r="I55" s="486"/>
      <c r="J55" s="257"/>
    </row>
    <row r="56" spans="2:10" ht="15.75">
      <c r="B56" s="52"/>
      <c r="C56" s="399" t="s">
        <v>624</v>
      </c>
      <c r="D56" s="689">
        <f>inputOth!$E$40</f>
        <v>0</v>
      </c>
      <c r="E56" s="32">
        <f>ROUND(IF(D56&gt;0,(E55*D56),0),0)</f>
        <v>0</v>
      </c>
      <c r="G56" s="490">
        <f>G53-G55</f>
        <v>13116</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0</v>
      </c>
      <c r="H62" s="485" t="str">
        <f>CONCATENATE("Total ",E1," Mill Rate")</f>
        <v>Total 2014 Mill Rate</v>
      </c>
      <c r="I62" s="691"/>
      <c r="J62" s="703"/>
    </row>
    <row r="63" spans="2:10" ht="15.75">
      <c r="B63" s="12"/>
      <c r="G63" s="705">
        <f>summ!F32</f>
        <v>0</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Rutland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v>
      </c>
      <c r="H45" s="632" t="str">
        <f>CONCATENATE("Total ",E1," Mill Rate")</f>
        <v>Total 2014 Mill Rate</v>
      </c>
      <c r="I45" s="656"/>
      <c r="J45" s="657"/>
    </row>
    <row r="46" spans="2:10" ht="15.75">
      <c r="B46" s="594" t="s">
        <v>144</v>
      </c>
      <c r="C46" s="599">
        <v>0</v>
      </c>
      <c r="D46" s="596">
        <f>C74</f>
        <v>0</v>
      </c>
      <c r="E46" s="597">
        <f>D74</f>
        <v>0</v>
      </c>
      <c r="F46" s="635"/>
      <c r="G46" s="659">
        <f>summ!F32</f>
        <v>0</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v>
      </c>
      <c r="H85" s="632" t="str">
        <f>CONCATENATE("Total ",E1," Mill Rate")</f>
        <v>Total 2014 Mill Rate</v>
      </c>
      <c r="I85" s="656"/>
      <c r="J85" s="657"/>
    </row>
    <row r="86" spans="7:10" ht="15.75">
      <c r="G86" s="659">
        <f>summ!F32</f>
        <v>0</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Rutland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v>
      </c>
      <c r="H55" s="485" t="str">
        <f>CONCATENATE("Total ",E1," Mill Rate")</f>
        <v>Total 2014 Mill Rate</v>
      </c>
      <c r="I55" s="691"/>
      <c r="J55" s="703"/>
    </row>
    <row r="56" spans="2:10" ht="15.75">
      <c r="B56" s="72" t="s">
        <v>33</v>
      </c>
      <c r="C56" s="132"/>
      <c r="D56" s="14"/>
      <c r="E56" s="14"/>
      <c r="G56" s="705">
        <f>summ!F32</f>
        <v>0</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9">
      <selection activeCell="C81" sqref="C8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Rutland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16056</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t="str">
        <f>inputPrYr!B21</f>
        <v>Fire Protection</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t="str">
        <f>inputPrYr!D21</f>
        <v> </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v>8</v>
      </c>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Rutland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Rutland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Rutland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Rutland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947</v>
      </c>
      <c r="E2" s="19"/>
    </row>
    <row r="3" spans="1:5" ht="15.75">
      <c r="A3" s="68" t="s">
        <v>225</v>
      </c>
      <c r="B3" s="14"/>
      <c r="C3" s="14"/>
      <c r="D3" s="378" t="s">
        <v>941</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5150</v>
      </c>
      <c r="E16" s="187">
        <v>0</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942</v>
      </c>
      <c r="C20" s="380" t="s">
        <v>945</v>
      </c>
      <c r="D20" s="187">
        <v>16056</v>
      </c>
      <c r="E20" s="187">
        <v>0</v>
      </c>
      <c r="G20" s="32">
        <f>IF(H15&gt;0,ROUND(E20-(E20*H15),0),0)</f>
        <v>0</v>
      </c>
    </row>
    <row r="21" spans="1:7" ht="15.75">
      <c r="A21" s="14"/>
      <c r="B21" s="187" t="s">
        <v>943</v>
      </c>
      <c r="C21" s="391" t="s">
        <v>944</v>
      </c>
      <c r="D21" s="187" t="s">
        <v>277</v>
      </c>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21206</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Hall</v>
      </c>
      <c r="C46" s="14"/>
      <c r="D46" s="322">
        <v>0</v>
      </c>
      <c r="E46" s="14"/>
    </row>
    <row r="47" spans="1:5" ht="15.75">
      <c r="A47" s="14"/>
      <c r="B47" s="72" t="str">
        <f t="shared" si="0"/>
        <v>Fire Protection</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0</v>
      </c>
    </row>
    <row r="55" spans="1:5" ht="15.75">
      <c r="A55" s="327" t="str">
        <f>CONCATENATE("Assessed Valuation (",D5-2," budget column)")</f>
        <v>Assessed Valuation (2012 budget column)</v>
      </c>
      <c r="B55" s="328"/>
      <c r="C55" s="267"/>
      <c r="D55" s="28"/>
      <c r="E55" s="187">
        <v>6749709</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v>0</v>
      </c>
    </row>
    <row r="60" spans="1:5" ht="15.75">
      <c r="A60" s="328" t="s">
        <v>166</v>
      </c>
      <c r="B60" s="328"/>
      <c r="C60" s="331"/>
      <c r="D60" s="36"/>
      <c r="E60" s="36">
        <v>0</v>
      </c>
    </row>
    <row r="61" spans="1:5" ht="15.75">
      <c r="A61" s="328" t="s">
        <v>167</v>
      </c>
      <c r="B61" s="328"/>
      <c r="C61" s="331"/>
      <c r="D61" s="36"/>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9">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Rutland Township</v>
      </c>
      <c r="C5" s="784"/>
      <c r="D5" s="784"/>
      <c r="E5" s="784"/>
      <c r="F5" s="784"/>
      <c r="G5" s="784"/>
      <c r="H5" s="784"/>
      <c r="I5" s="784"/>
    </row>
    <row r="6" spans="2:9" ht="15.75">
      <c r="B6" s="784" t="str">
        <f>inputPrYr!D3</f>
        <v>Montgomery County</v>
      </c>
      <c r="C6" s="784"/>
      <c r="D6" s="784"/>
      <c r="E6" s="784"/>
      <c r="F6" s="784"/>
      <c r="G6" s="784"/>
      <c r="H6" s="784"/>
      <c r="I6" s="784"/>
    </row>
    <row r="7" spans="2:9" ht="15.75">
      <c r="B7" s="775" t="str">
        <f>CONCATENATE("will meet on ",inputBudSum!B8," at ",inputBudSum!B10," at ",inputBudSum!B12," for the purpose of hearing and")</f>
        <v>will meet on August 26, 2013 at 8:00 PM at Richard Fox Residence, 3224B CR 2300, Independence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217 E. Myrtle, Independence,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124</v>
      </c>
      <c r="D18" s="524" t="str">
        <f>IF(inputPrYr!D42&gt;0,inputPrYr!D42,"  ")</f>
        <v>  </v>
      </c>
      <c r="E18" s="32">
        <f>IF(gen!$D$50&lt;&gt;0,gen!$D$50,"  ")</f>
        <v>5150</v>
      </c>
      <c r="F18" s="235" t="str">
        <f>IF(inputOth!D17&gt;0,inputOth!D17,"  ")</f>
        <v>  </v>
      </c>
      <c r="G18" s="32">
        <f>IF(gen!$E$50&lt;&gt;0,gen!$E$50,"  ")</f>
        <v>5150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Hall</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Fire Protection</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5497</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124</v>
      </c>
      <c r="D32" s="478">
        <f t="shared" si="0"/>
        <v>0</v>
      </c>
      <c r="E32" s="527">
        <f t="shared" si="0"/>
        <v>5150</v>
      </c>
      <c r="F32" s="478">
        <f t="shared" si="0"/>
        <v>0</v>
      </c>
      <c r="G32" s="527">
        <f t="shared" si="0"/>
        <v>5150</v>
      </c>
      <c r="H32" s="527">
        <f t="shared" si="0"/>
        <v>0</v>
      </c>
      <c r="I32" s="530">
        <f t="shared" si="0"/>
        <v>0</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124</v>
      </c>
      <c r="D34" s="14"/>
      <c r="E34" s="528">
        <f>E32-E33</f>
        <v>5150</v>
      </c>
      <c r="F34" s="14"/>
      <c r="G34" s="528">
        <f>G32-G33</f>
        <v>5150</v>
      </c>
      <c r="H34" s="14"/>
      <c r="I34" s="14"/>
      <c r="K34" s="507" t="str">
        <f>CONCATENATE("",I1," Ad Valorem Tax Revenue:")</f>
        <v>2014 Ad Valorem Tax Revenue:</v>
      </c>
      <c r="L34" s="501"/>
      <c r="M34" s="501"/>
      <c r="N34" s="502">
        <f>H32</f>
        <v>0</v>
      </c>
    </row>
    <row r="35" spans="2:14" ht="16.5" thickTop="1">
      <c r="B35" s="274" t="s">
        <v>46</v>
      </c>
      <c r="C35" s="529">
        <f>inputPrYr!E54</f>
        <v>0</v>
      </c>
      <c r="D35" s="61"/>
      <c r="E35" s="529">
        <f>inputPrYr!E26</f>
        <v>0</v>
      </c>
      <c r="F35" s="14"/>
      <c r="G35" s="520" t="s">
        <v>289</v>
      </c>
      <c r="H35" s="14"/>
      <c r="I35" s="14"/>
      <c r="K35" s="507" t="str">
        <f>CONCATENATE("",I1-1," Ad Valorem Tax Revenue:")</f>
        <v>2013 Ad Valorem Tax Revenue:</v>
      </c>
      <c r="L35" s="501"/>
      <c r="M35" s="501"/>
      <c r="N35" s="515">
        <f>ROUND(G37*N27/1000,0)</f>
        <v>0</v>
      </c>
    </row>
    <row r="36" spans="2:14" ht="15.75">
      <c r="B36" s="274" t="s">
        <v>47</v>
      </c>
      <c r="C36" s="55"/>
      <c r="D36" s="61"/>
      <c r="E36" s="55"/>
      <c r="F36" s="61"/>
      <c r="G36" s="14"/>
      <c r="H36" s="14"/>
      <c r="I36" s="14"/>
      <c r="K36" s="512" t="s">
        <v>717</v>
      </c>
      <c r="L36" s="513"/>
      <c r="M36" s="513"/>
      <c r="N36" s="505">
        <f>N34-N35</f>
        <v>0</v>
      </c>
    </row>
    <row r="37" spans="2:14" ht="15.75">
      <c r="B37" s="274" t="s">
        <v>48</v>
      </c>
      <c r="C37" s="32">
        <f>inputPrYr!E55</f>
        <v>6749709</v>
      </c>
      <c r="D37" s="14"/>
      <c r="E37" s="32">
        <f>inputOth!E29</f>
        <v>5952498</v>
      </c>
      <c r="F37" s="14"/>
      <c r="G37" s="32">
        <f>inputOth!E7</f>
        <v>5497231</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Rutland Township</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9</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
      <selection activeCell="F44" sqref="F44"/>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Rutland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5497231</v>
      </c>
      <c r="E19" s="14"/>
      <c r="F19" s="129"/>
    </row>
    <row r="20" spans="1:6" ht="15.75">
      <c r="A20" s="14"/>
      <c r="B20" s="14"/>
      <c r="C20" s="14"/>
      <c r="D20" s="14"/>
      <c r="E20" s="14"/>
      <c r="F20" s="129"/>
    </row>
    <row r="21" spans="1:6" ht="15.75">
      <c r="A21" s="14"/>
      <c r="B21" s="842" t="s">
        <v>365</v>
      </c>
      <c r="C21" s="842"/>
      <c r="D21" s="137">
        <f>IF(D19&gt;0,(D19*0.001),"")</f>
        <v>5497.231</v>
      </c>
      <c r="E21" s="14"/>
      <c r="F21" s="129"/>
    </row>
    <row r="22" spans="1:6" ht="15.75">
      <c r="A22" s="14"/>
      <c r="B22" s="48"/>
      <c r="C22" s="48"/>
      <c r="D22" s="138"/>
      <c r="E22" s="14"/>
      <c r="F22" s="129"/>
    </row>
    <row r="23" spans="1:6" ht="15.75">
      <c r="A23" s="840" t="s">
        <v>367</v>
      </c>
      <c r="B23" s="765"/>
      <c r="C23" s="76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10</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Rutland Township </v>
      </c>
      <c r="I6">
        <f>CONCATENATE(I7)</f>
      </c>
    </row>
    <row r="7" spans="1:7" ht="15.75">
      <c r="A7" s="852" t="str">
        <f>CONCATENATE("   with respect to financing the ",inputPrYr!D5," annual budget for ",(inputPrYr!D2)," , ",(inputPrYr!D3)," , Kansas.")</f>
        <v>   with respect to financing the 2014 annual budget for Rutland Township , Montgomery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Rutland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Rutland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Rutland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Rutland Township of Montgomery County, Kansas that is our desire to notify the public of increased property taxes to finance the 2014 Rutland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Rutland Township Board, Montgomery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Rutland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Rutland Township</v>
      </c>
      <c r="B1" s="90"/>
      <c r="C1" s="90"/>
      <c r="D1" s="90"/>
      <c r="E1" s="90">
        <f>inputPrYr!D5</f>
        <v>2014</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5497231</v>
      </c>
    </row>
    <row r="8" spans="1:5" ht="15.75">
      <c r="A8" s="22" t="str">
        <f>CONCATENATE("New Improvements for ",E1-1,"")</f>
        <v>New Improvements for 2013</v>
      </c>
      <c r="B8" s="19"/>
      <c r="C8" s="19"/>
      <c r="D8" s="19"/>
      <c r="E8" s="283">
        <v>43159</v>
      </c>
    </row>
    <row r="9" spans="1:5" ht="15.75">
      <c r="A9" s="22" t="str">
        <f>CONCATENATE("Personal Property excluding oil, gas, and mobile homes - ",E1-1,"")</f>
        <v>Personal Property excluding oil, gas, and mobile homes - 2013</v>
      </c>
      <c r="B9" s="19"/>
      <c r="C9" s="19"/>
      <c r="D9" s="19"/>
      <c r="E9" s="283">
        <v>94885</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129900</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Hall</v>
      </c>
      <c r="B21" s="267"/>
      <c r="C21" s="19"/>
      <c r="D21" s="289">
        <v>0</v>
      </c>
      <c r="E21" s="286"/>
    </row>
    <row r="22" spans="1:5" ht="15.75">
      <c r="A22" s="71" t="str">
        <f>inputPrYr!B21</f>
        <v>Fire Protection</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5952498</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row>
    <row r="33" spans="1:5" ht="15.75">
      <c r="A33" s="296" t="s">
        <v>276</v>
      </c>
      <c r="B33" s="267"/>
      <c r="C33" s="267"/>
      <c r="D33" s="31"/>
      <c r="E33" s="34"/>
    </row>
    <row r="34" spans="1:5" ht="15.75">
      <c r="A34" s="296" t="s">
        <v>160</v>
      </c>
      <c r="B34" s="267"/>
      <c r="C34" s="267"/>
      <c r="D34" s="31"/>
      <c r="E34" s="34"/>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150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Hall</v>
      </c>
      <c r="B50" s="36">
        <v>0</v>
      </c>
      <c r="C50" s="140"/>
      <c r="D50" s="140"/>
      <c r="E50" s="140"/>
    </row>
    <row r="51" spans="1:5" ht="15.75">
      <c r="A51" s="304" t="str">
        <f>inputPrYr!B21</f>
        <v>Fire Protection</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E21" sqref="E21"/>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947</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951</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16, 2013</v>
      </c>
      <c r="E9" s="353"/>
      <c r="F9" s="353"/>
      <c r="J9" s="711" t="s">
        <v>848</v>
      </c>
    </row>
    <row r="10" spans="1:10" ht="15.75">
      <c r="A10" s="354" t="s">
        <v>373</v>
      </c>
      <c r="B10" s="356" t="s">
        <v>952</v>
      </c>
      <c r="C10" s="360"/>
      <c r="D10" s="354"/>
      <c r="E10" s="353"/>
      <c r="F10" s="353"/>
      <c r="J10" s="711" t="s">
        <v>849</v>
      </c>
    </row>
    <row r="11" spans="1:10" ht="15.75">
      <c r="A11" s="354"/>
      <c r="B11" s="354"/>
      <c r="C11" s="354"/>
      <c r="D11" s="354"/>
      <c r="E11" s="353"/>
      <c r="F11" s="353"/>
      <c r="J11" s="711" t="s">
        <v>850</v>
      </c>
    </row>
    <row r="12" spans="1:10" ht="15.75">
      <c r="A12" s="354" t="s">
        <v>374</v>
      </c>
      <c r="B12" s="361" t="s">
        <v>953</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946</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41502</v>
      </c>
    </row>
    <row r="22" spans="1:7" ht="15.75">
      <c r="A22" s="354" t="s">
        <v>373</v>
      </c>
      <c r="B22" s="354" t="s">
        <v>378</v>
      </c>
      <c r="C22" s="354"/>
      <c r="D22" s="354"/>
      <c r="E22" s="354"/>
      <c r="G22" s="714">
        <f>IF(B8="","",MONTH(G21))</f>
        <v>8</v>
      </c>
    </row>
    <row r="23" spans="1:7" ht="15.75">
      <c r="A23" s="354"/>
      <c r="B23" s="354"/>
      <c r="C23" s="354"/>
      <c r="D23" s="354"/>
      <c r="E23" s="354"/>
      <c r="G23" s="715">
        <f>IF(B8="","",DAY(G21))</f>
        <v>16</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Montgomery County,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Rutland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5150</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f>IF(levypage9!C81&gt;0,levypage9!C81,"  ")</f>
        <v>8</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f>IF(levypage9!C81&gt;0,levypage9!C81,"  ")</f>
        <v>8</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5150</v>
      </c>
      <c r="F35" s="724">
        <f>SUM(F21:F30)</f>
        <v>0</v>
      </c>
      <c r="G35" s="725">
        <f>IF(SUM(G21:G30)&gt;0,SUM(G21:G30),"")</f>
      </c>
    </row>
    <row r="36" spans="2:4" s="14" customFormat="1" ht="16.5" thickTop="1">
      <c r="B36" s="27" t="s">
        <v>168</v>
      </c>
      <c r="C36" s="259"/>
      <c r="D36" s="264">
        <f>summ!D49</f>
        <v>9</v>
      </c>
    </row>
    <row r="37" spans="2:6" s="14" customFormat="1" ht="15.75">
      <c r="B37" s="27" t="s">
        <v>214</v>
      </c>
      <c r="C37" s="28"/>
      <c r="D37" s="264">
        <f>IF(nhood!C38&gt;0,nhood!C38,"")</f>
        <v>10</v>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4">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Rutland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0</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43159</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94885</v>
      </c>
      <c r="F14" s="246"/>
      <c r="G14" s="55"/>
      <c r="H14" s="55"/>
      <c r="I14" s="53"/>
      <c r="J14" s="55"/>
    </row>
    <row r="15" spans="1:10" ht="15.75">
      <c r="A15" s="245"/>
      <c r="B15" s="14" t="s">
        <v>87</v>
      </c>
      <c r="C15" s="14" t="str">
        <f>CONCATENATE("Personal Property ",J1-2,"")</f>
        <v>Personal Property 2012</v>
      </c>
      <c r="D15" s="245" t="s">
        <v>82</v>
      </c>
      <c r="E15" s="249">
        <f>inputOth!E11</f>
        <v>129900</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43159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5497231</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5454072</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0.00791317019650639</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0</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Rutland Township</v>
      </c>
      <c r="C1" s="14"/>
      <c r="D1" s="14"/>
      <c r="E1" s="14"/>
      <c r="F1" s="14"/>
      <c r="G1" s="14"/>
      <c r="H1" s="14"/>
      <c r="I1" s="14"/>
      <c r="J1" s="15">
        <f>inputPrYr!D5</f>
        <v>2014</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Fire Protection</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0</v>
      </c>
      <c r="E21" s="720">
        <f>SUM(E11:E20)</f>
        <v>0</v>
      </c>
      <c r="F21" s="721"/>
      <c r="G21" s="719">
        <f>SUM(G11:G20)</f>
        <v>0</v>
      </c>
      <c r="H21" s="719"/>
      <c r="I21" s="719">
        <f>SUM(I11:I20)</f>
        <v>0</v>
      </c>
      <c r="J21" s="719">
        <f>SUM(J11:J20)</f>
        <v>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Rutland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2013-07-18T15:33:10Z</cp:lastPrinted>
  <dcterms:created xsi:type="dcterms:W3CDTF">1998-08-26T16:30:41Z</dcterms:created>
  <dcterms:modified xsi:type="dcterms:W3CDTF">2013-07-18T18:51:57Z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