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21" yWindow="65521" windowWidth="9630" windowHeight="5160" tabRatio="850" firstSheet="1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 "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0">' '!$B$1:$E$61</definedName>
    <definedName name="_xlnm.Print_Area" localSheetId="11">'DebtService'!$B$1:$E$62</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<sst xmlns="http://schemas.openxmlformats.org/spreadsheetml/2006/main" count="1381" uniqueCount="824">
  <si>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</si>
  <si>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</si>
  <si>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</si>
  <si>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</si>
  <si>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</si>
  <si>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</si>
  <si>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</si>
  <si>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</si>
  <si>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</si>
  <si>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</si>
  <si>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</si>
  <si>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</si>
  <si>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</si>
  <si>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</si>
  <si>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</si>
  <si>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</si>
  <si>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</si>
  <si>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</si>
  <si>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</si>
  <si>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</si>
  <si>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</si>
  <si>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</si>
  <si>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</si>
  <si>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</si>
  <si>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</si>
  <si>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</si>
  <si>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</si>
  <si>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</si>
  <si>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</si>
  <si>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</si>
  <si>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</si>
  <si>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</si>
  <si>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</si>
  <si>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</si>
  <si>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</si>
  <si>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</si>
  <si>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</si>
  <si>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</si>
  <si>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</si>
  <si>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</si>
  <si>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</si>
  <si>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</si>
  <si>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</si>
  <si>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</si>
  <si>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</si>
  <si>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</si>
  <si>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</si>
  <si>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</si>
  <si>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</si>
  <si>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</si>
  <si>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</si>
  <si>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</si>
  <si>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</si>
  <si>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</si>
  <si>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</si>
  <si>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</si>
  <si>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</si>
  <si>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</si>
  <si>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</si>
  <si>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</si>
  <si>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</si>
  <si>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</si>
  <si>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</si>
  <si>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</si>
  <si>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</si>
  <si>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</si>
  <si>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</si>
  <si>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</si>
  <si>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</si>
  <si>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</si>
  <si>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</si>
  <si>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</si>
  <si>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</si>
  <si>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</si>
  <si>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</si>
  <si>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</si>
  <si>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</si>
  <si>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</si>
  <si>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</si>
  <si>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</si>
  <si>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</si>
  <si>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</si>
  <si>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</si>
  <si>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</si>
  <si>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</si>
  <si>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</si>
  <si>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</si>
  <si>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</si>
  <si>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</si>
  <si>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</si>
  <si>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</si>
  <si>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</si>
  <si>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</si>
  <si>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</si>
  <si>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</si>
  <si>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</si>
  <si>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</si>
  <si>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</si>
  <si>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</si>
  <si>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</si>
  <si>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</si>
  <si>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</si>
  <si>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</si>
  <si>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</si>
  <si>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</si>
  <si>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</si>
  <si>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</si>
  <si>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</si>
  <si>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</si>
  <si>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</si>
  <si>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</si>
  <si>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</si>
  <si>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</si>
  <si>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</si>
  <si>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</si>
  <si>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</si>
  <si>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</si>
  <si>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</si>
  <si>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</si>
  <si>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</si>
  <si>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</si>
  <si>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</si>
  <si>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</si>
  <si>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</si>
  <si>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</si>
  <si>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</si>
  <si>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</si>
  <si>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</si>
  <si>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</si>
  <si>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</si>
  <si>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</si>
  <si>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</si>
  <si>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</si>
  <si>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</si>
  <si>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</si>
  <si>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</si>
  <si>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</si>
  <si>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</si>
  <si>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</si>
  <si>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</si>
  <si>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</si>
  <si>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</si>
  <si>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</si>
  <si>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</si>
  <si>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</si>
  <si>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</si>
  <si>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</si>
  <si>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</si>
  <si>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</si>
  <si>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</si>
  <si>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</si>
  <si>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</si>
  <si>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</si>
  <si>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</si>
  <si>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</si>
  <si>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</si>
  <si>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</si>
  <si>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</si>
  <si>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</si>
  <si>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</si>
  <si>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</si>
  <si>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</si>
  <si>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</si>
  <si>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</si>
  <si>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</si>
  <si>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</si>
  <si>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</si>
  <si>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</si>
  <si>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</si>
  <si>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</si>
  <si>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</si>
  <si>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</si>
  <si>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</si>
  <si>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</si>
  <si>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</si>
  <si>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</si>
  <si>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</si>
  <si>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</si>
  <si>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</si>
  <si>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</si>
  <si>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</si>
  <si>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</si>
  <si>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</si>
  <si>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</si>
  <si>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</si>
  <si>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</si>
  <si>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</si>
  <si>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</si>
  <si>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</si>
  <si>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</si>
  <si>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</si>
  <si>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</si>
  <si>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</si>
  <si>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</si>
  <si>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</si>
  <si>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</si>
  <si>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</si>
  <si>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</si>
  <si>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</si>
  <si>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</si>
  <si>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</si>
  <si>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</si>
  <si>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</si>
  <si>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</si>
  <si>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</si>
  <si>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</si>
  <si>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</si>
  <si>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</si>
  <si>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</si>
  <si>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</si>
  <si>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</si>
  <si>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</si>
  <si>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</si>
  <si>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</si>
  <si>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</si>
  <si>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</si>
  <si>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</si>
  <si>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</si>
  <si>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</si>
  <si>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</si>
  <si>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</si>
  <si>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</si>
  <si>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</si>
  <si>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</si>
  <si>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</si>
  <si>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</si>
  <si>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</si>
  <si>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</si>
  <si>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</si>
  <si>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</si>
  <si>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</si>
  <si>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</si>
  <si>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</si>
  <si>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</si>
  <si>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</si>
  <si>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</si>
  <si>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</si>
  <si>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</si>
  <si>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</si>
  <si>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</si>
  <si>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</si>
  <si>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</si>
  <si>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</si>
  <si>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</si>
  <si>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</si>
  <si>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</si>
  <si>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</si>
  <si>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</si>
  <si>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</si>
  <si>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</si>
  <si>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</si>
  <si>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</si>
  <si>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</si>
  <si>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</si>
  <si>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</si>
  <si>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</si>
  <si>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</si>
  <si>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</si>
  <si>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</si>
  <si>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</si>
  <si>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</si>
  <si>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</si>
  <si>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</si>
  <si>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</si>
  <si>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</si>
  <si>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</si>
  <si>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</si>
  <si>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</si>
  <si>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</si>
  <si>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</si>
  <si>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</si>
  <si>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</si>
  <si>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</si>
  <si>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</si>
  <si>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</si>
  <si>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</si>
  <si>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</si>
  <si>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</si>
  <si>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</si>
  <si>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</si>
  <si>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</si>
  <si>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</si>
  <si>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</si>
  <si>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</si>
  <si>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</si>
  <si>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</si>
  <si>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</si>
  <si>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</si>
  <si>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</si>
  <si>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</si>
  <si>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</si>
  <si>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</si>
  <si>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</si>
  <si>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</si>
  <si>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</si>
  <si>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</si>
  <si>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</si>
  <si>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</si>
  <si>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</si>
  <si>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</si>
  <si>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</si>
  <si>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</si>
  <si>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</si>
  <si>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</si>
  <si>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</si>
  <si>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</si>
  <si>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</si>
  <si>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</si>
  <si>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</si>
  <si>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</si>
  <si>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</si>
  <si>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</si>
  <si>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</si>
  <si>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</si>
  <si>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</si>
  <si>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</si>
  <si>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</si>
  <si>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</si>
  <si>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</si>
  <si>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</si>
  <si>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</si>
  <si>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</si>
  <si>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</si>
  <si>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</si>
  <si>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</si>
  <si>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</si>
  <si>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</si>
  <si>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</si>
  <si>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</si>
  <si>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</si>
  <si>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</si>
  <si>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</si>
  <si>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</si>
  <si>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</si>
  <si>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</si>
  <si>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</si>
  <si>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</si>
  <si>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</si>
  <si>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</si>
  <si>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</si>
  <si>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</si>
  <si>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</si>
  <si>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</si>
  <si>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</si>
  <si>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</si>
  <si>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</si>
  <si>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</si>
  <si>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</si>
  <si>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</si>
  <si>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</si>
  <si>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</si>
  <si>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</si>
  <si>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</si>
  <si>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</si>
  <si>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</si>
  <si>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</si>
  <si>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</si>
  <si>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</si>
  <si>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</si>
  <si>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</si>
  <si>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</si>
  <si>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</si>
  <si>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</si>
  <si>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</si>
  <si>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</si>
  <si>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</si>
  <si>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</si>
  <si>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</si>
  <si>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</si>
  <si>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</si>
  <si>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</si>
  <si>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</si>
  <si>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</si>
  <si>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</si>
  <si>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</si>
  <si>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</si>
  <si>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</si>
  <si>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</si>
  <si>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</si>
  <si>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</si>
  <si>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</si>
  <si>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</si>
  <si>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</si>
  <si>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</si>
  <si>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</si>
  <si>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</si>
  <si>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</si>
  <si>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</si>
  <si>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</si>
  <si>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</si>
  <si>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</si>
  <si>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</si>
  <si>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</si>
  <si>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</si>
  <si>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</si>
  <si>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</si>
  <si>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</si>
  <si>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</si>
  <si>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</si>
  <si>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</si>
  <si>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</si>
  <si>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</si>
  <si>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</si>
  <si>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</si>
  <si>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</si>
  <si>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</si>
  <si>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</si>
  <si>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</si>
  <si>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</si>
  <si>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</si>
  <si>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</si>
  <si>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</si>
  <si>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</si>
  <si>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</si>
  <si>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</si>
  <si>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</si>
  <si>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</si>
  <si>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</si>
  <si>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</si>
  <si>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</si>
  <si>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</si>
  <si>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</si>
  <si>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</si>
  <si>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</si>
  <si>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</si>
  <si>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</si>
  <si>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</si>
  <si>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</si>
  <si>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</si>
  <si>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</si>
  <si>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</si>
  <si>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</si>
  <si>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</si>
  <si>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</si>
  <si>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</si>
  <si>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</si>
  <si>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</si>
  <si>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</si>
  <si>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</si>
  <si>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</si>
  <si>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</si>
  <si>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</si>
  <si>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</si>
  <si>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</si>
  <si>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</si>
  <si>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</si>
  <si>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</si>
  <si>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</si>
  <si>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</si>
  <si>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</si>
  <si>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</si>
  <si>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</si>
  <si>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</si>
  <si>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</si>
  <si>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</si>
  <si>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</si>
  <si>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</si>
  <si>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</si>
  <si>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</si>
  <si>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</si>
  <si>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</si>
  <si>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</si>
  <si>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</si>
  <si>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</si>
  <si>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</si>
  <si>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</si>
  <si>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</si>
  <si>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</si>
  <si>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</si>
  <si>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</si>
  <si>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</si>
  <si>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</si>
  <si>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</si>
  <si>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</si>
  <si>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</si>
  <si>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</si>
  <si>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</si>
  <si>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</si>
  <si>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</si>
  <si>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</si>
  <si>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</si>
  <si>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</si>
  <si>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</si>
  <si>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</si>
  <si>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</si>
  <si>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</si>
  <si>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</si>
  <si>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</si>
  <si>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</si>
  <si>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</si>
  <si>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</si>
  <si>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</si>
  <si>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</si>
  <si>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</si>
  <si>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</si>
  <si>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</si>
  <si>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</si>
  <si>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</si>
  <si>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</si>
  <si>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</si>
  <si>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</si>
  <si>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</si>
  <si>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</si>
  <si>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</si>
  <si>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</si>
  <si>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</si>
  <si>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</si>
  <si>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</si>
  <si>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</si>
  <si>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</si>
  <si>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</si>
  <si>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</si>
  <si>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</si>
  <si>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</si>
  <si>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</si>
  <si>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</si>
  <si>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</si>
  <si>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</si>
  <si>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</si>
  <si>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</si>
  <si>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</si>
  <si>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</si>
  <si>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</si>
  <si>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</si>
  <si>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</si>
  <si>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</si>
  <si>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</si>
  <si>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</si>
  <si>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</si>
  <si>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</si>
  <si>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</si>
  <si>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</si>
  <si>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</si>
  <si>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</si>
  <si>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</si>
  <si>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</si>
  <si>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</si>
  <si>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</si>
  <si>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</si>
  <si>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</si>
  <si>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</si>
  <si>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</si>
  <si>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</si>
  <si>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</si>
  <si>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</si>
  <si>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</si>
  <si>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</si>
  <si>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</si>
  <si>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</si>
  <si>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</si>
  <si>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</si>
  <si>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</si>
  <si>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</si>
  <si>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</si>
  <si>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</si>
  <si>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</si>
  <si>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</si>
  <si>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</si>
  <si>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</si>
  <si>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</si>
  <si>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</si>
  <si>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</si>
  <si>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</si>
  <si>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</si>
  <si>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</si>
  <si>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</si>
  <si>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</si>
  <si>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</si>
  <si>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</si>
  <si>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</si>
  <si>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</si>
  <si>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</si>
  <si>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</si>
  <si>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</si>
  <si>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</si>
  <si>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</si>
  <si>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</si>
  <si>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</si>
  <si>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</si>
  <si>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</si>
  <si>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</si>
  <si>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</si>
  <si>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</si>
  <si>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</si>
  <si>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</si>
  <si>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</si>
  <si>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</si>
  <si>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</si>
  <si>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</si>
  <si>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</si>
  <si>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</si>
  <si>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</si>
  <si>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</si>
  <si>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</si>
  <si>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</si>
  <si>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</si>
  <si>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</si>
  <si>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</si>
  <si>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</si>
  <si>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</si>
  <si>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</si>
  <si>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</si>
  <si>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</si>
  <si>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</si>
  <si>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</si>
  <si>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</si>
  <si>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</si>
  <si>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</si>
  <si>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</si>
  <si>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</si>
  <si>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</si>
  <si>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</si>
  <si>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</si>
  <si>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</si>
  <si>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</si>
  <si>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</si>
  <si>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</si>
  <si>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</si>
  <si>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</si>
  <si>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</si>
  <si>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</si>
  <si>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</si>
  <si>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</si>
  <si>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</si>
  <si>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</si>
  <si>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</si>
  <si>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</si>
  <si>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</si>
  <si>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</si>
  <si>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</si>
  <si>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</si>
  <si>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</si>
  <si>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</si>
  <si>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</si>
  <si>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</si>
  <si>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</si>
  <si>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</si>
  <si>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</si>
  <si>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</si>
  <si>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</si>
  <si>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</si>
  <si>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</si>
  <si>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</si>
  <si>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</si>
  <si>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</si>
  <si>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</si>
  <si>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</si>
  <si>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</si>
  <si>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</si>
  <si>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</si>
  <si>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</si>
  <si>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</si>
  <si>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</si>
  <si>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</si>
  <si>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</si>
  <si>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</si>
  <si>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</si>
  <si>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</si>
  <si>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</si>
  <si>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</si>
  <si>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</si>
  <si>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</si>
  <si>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</si>
  <si>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</si>
  <si>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</si>
  <si>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</si>
  <si>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</si>
  <si>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</si>
  <si>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</si>
  <si>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</si>
  <si>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</si>
  <si>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</si>
  <si>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</si>
  <si>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</si>
  <si>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</si>
  <si>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</si>
  <si>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</si>
  <si>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</si>
  <si>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</si>
  <si>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</si>
  <si>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</si>
  <si>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</si>
  <si>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</si>
  <si>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</si>
  <si>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</si>
  <si>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</si>
  <si>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</si>
  <si>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</si>
  <si>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</si>
  <si>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</si>
  <si>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</si>
  <si>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</si>
  <si>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</si>
  <si>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</si>
  <si>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</si>
  <si>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</si>
  <si>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</si>
  <si>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</si>
  <si>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</si>
  <si>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</si>
  <si>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</si>
  <si>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</si>
  <si>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</si>
  <si>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</si>
  <si>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</si>
  <si>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</si>
  <si>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</si>
  <si>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</si>
  <si>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</si>
  <si>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</si>
  <si>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</si>
  <si>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</si>
  <si>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</si>
  <si>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</si>
  <si>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</si>
  <si>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</si>
  <si>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</si>
  <si>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</si>
  <si>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</si>
  <si>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</si>
  <si>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</si>
  <si>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</si>
  <si>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</si>
  <si>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</si>
  <si>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</si>
  <si>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</si>
  <si>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</si>
  <si>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</si>
  <si>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</si>
  <si>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</si>
  <si>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</si>
  <si>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</si>
  <si>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</si>
  <si>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</si>
  <si>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</si>
  <si>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</si>
  <si>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</si>
  <si>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</si>
  <si>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</si>
  <si>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</si>
  <si>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</si>
  <si>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</si>
  <si>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</si>
  <si>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</si>
  <si>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</si>
  <si>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</si>
  <si>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</si>
  <si>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</si>
  <si>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</si>
  <si>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</si>
  <si>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</si>
  <si>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</si>
  <si>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</si>
  <si>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</si>
  <si>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</si>
  <si>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</si>
  <si>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</si>
  <si>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</si>
  <si>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</si>
  <si>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</si>
  <si>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</si>
  <si>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</si>
  <si>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</si>
  <si>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</si>
  <si>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</si>
  <si>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</si>
  <si>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</si>
  <si>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</si>
  <si>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</si>
  <si>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</si>
  <si>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</si>
  <si>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</si>
  <si>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</si>
  <si>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</si>
  <si>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</si>
  <si>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</si>
  <si>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</si>
  <si>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</si>
  <si>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</si>
  <si>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</si>
  <si>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</si>
  <si>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</si>
  <si>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</si>
  <si>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</si>
  <si>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</si>
  <si>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</si>
  <si>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</si>
  <si>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</si>
  <si>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</si>
  <si>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</si>
  <si>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</si>
  <si>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</si>
  <si>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</si>
  <si>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</si>
  <si>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</si>
  <si>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</si>
  <si>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</si>
  <si>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</si>
  <si>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</si>
  <si>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</si>
  <si>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</si>
  <si>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</si>
  <si>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</si>
  <si>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</si>
  <si>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</si>
  <si>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</si>
  <si>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</si>
  <si>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</si>
  <si>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</si>
  <si>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</si>
  <si>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</si>
  <si>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None</t>
  </si>
  <si>
    <t>Publication</t>
  </si>
  <si>
    <t>Noxious Weed</t>
  </si>
  <si>
    <t>Contractual</t>
  </si>
  <si>
    <t>SUMNER COUNTY</t>
  </si>
  <si>
    <t>LONDON TOWNSHIP</t>
  </si>
  <si>
    <t>General  Fund back tax  revenue</t>
  </si>
  <si>
    <t>Salaries &amp; Wages-Contract labor</t>
  </si>
  <si>
    <t>Peck Comm. Center</t>
  </si>
  <si>
    <t>Other-Equip.</t>
  </si>
  <si>
    <t>7:00 P.M.</t>
  </si>
  <si>
    <t>September 11, 2013</t>
  </si>
  <si>
    <t>Peck Community Center, Peck, KS 67120</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</si>
</sst>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696">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86" fillId="42" borderId="0" xfId="0" applyFont="1" applyFill="1" applyAlignment="1">
      <alignment horizontal="center" wrapText="1"/>
    </xf>
    <xf numFmtId="0" fontId="37" fillId="0" borderId="0" xfId="0" applyFont="1" applyAlignment="1">
      <alignment horizontal="center" wrapText="1"/>
    </xf>
    <xf numFmtId="0" fontId="86" fillId="42" borderId="0" xfId="0" applyFont="1" applyFill="1" applyAlignment="1">
      <alignment horizontal="center" vertical="center"/>
    </xf>
    <xf numFmtId="0" fontId="86" fillId="0" borderId="0" xfId="0" applyFont="1" applyAlignment="1">
      <alignment horizontal="center" vertical="center"/>
    </xf>
    <xf numFmtId="0" fontId="86"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86"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5" sqref="A5"/>
    </sheetView>
  </sheetViews>
  <sheetFormatPr defaultColWidth="8.796875" defaultRowHeight="15.75"/>
  <cols>
    <col min="1" max="1" width="81.59765625" style="91" customWidth="1"/>
    <col min="2" max="16384" width="8.796875" style="91" customWidth="1"/>
  </cols>
  <sheetData>
    <row r="1" ht="15.75">
      <c r="A1" s="362" t="s">
        <v>195</v>
      </c>
    </row>
    <row r="3" ht="34.5" customHeight="1">
      <c r="A3" s="361" t="s">
        <v>185</v>
      </c>
    </row>
    <row r="4" ht="15.75">
      <c r="A4" s="364"/>
    </row>
    <row r="5" ht="52.5" customHeight="1">
      <c r="A5" s="360" t="s">
        <v>337</v>
      </c>
    </row>
    <row r="6" ht="15.75">
      <c r="A6" s="360"/>
    </row>
    <row r="7" ht="34.5" customHeight="1">
      <c r="A7" s="360" t="s">
        <v>355</v>
      </c>
    </row>
    <row r="8" ht="15.75">
      <c r="A8" s="360"/>
    </row>
    <row r="9" ht="15.75">
      <c r="A9" s="360" t="s">
        <v>186</v>
      </c>
    </row>
    <row r="12" ht="15.75">
      <c r="A12" s="362" t="s">
        <v>233</v>
      </c>
    </row>
    <row r="13" ht="15.75">
      <c r="A13" s="362"/>
    </row>
    <row r="14" ht="18.75" customHeight="1">
      <c r="A14" s="364" t="s">
        <v>235</v>
      </c>
    </row>
    <row r="16" ht="39" customHeight="1">
      <c r="A16" s="365" t="s">
        <v>369</v>
      </c>
    </row>
    <row r="17" ht="9.75" customHeight="1">
      <c r="A17" s="365"/>
    </row>
    <row r="20" ht="15.75">
      <c r="A20" s="362" t="s">
        <v>187</v>
      </c>
    </row>
    <row r="22" ht="34.5" customHeight="1">
      <c r="A22" s="360" t="s">
        <v>236</v>
      </c>
    </row>
    <row r="23" ht="9.75" customHeight="1">
      <c r="A23" s="360"/>
    </row>
    <row r="24" ht="15.75">
      <c r="A24" s="366" t="s">
        <v>188</v>
      </c>
    </row>
    <row r="25" ht="15.75">
      <c r="A25" s="360"/>
    </row>
    <row r="26" ht="17.25" customHeight="1">
      <c r="A26" s="367" t="s">
        <v>189</v>
      </c>
    </row>
    <row r="27" ht="17.25" customHeight="1">
      <c r="A27" s="368"/>
    </row>
    <row r="28" ht="87.75" customHeight="1">
      <c r="A28" s="369" t="s">
        <v>211</v>
      </c>
    </row>
    <row r="30" ht="15.75">
      <c r="A30" s="370" t="s">
        <v>190</v>
      </c>
    </row>
    <row r="32" ht="15.75">
      <c r="A32" s="132" t="s">
        <v>234</v>
      </c>
    </row>
    <row r="34" ht="15.75">
      <c r="A34" s="360" t="s">
        <v>191</v>
      </c>
    </row>
    <row r="37" ht="15.75">
      <c r="A37" s="362" t="s">
        <v>192</v>
      </c>
    </row>
    <row r="39" ht="68.25" customHeight="1">
      <c r="A39" s="360" t="s">
        <v>748</v>
      </c>
    </row>
    <row r="40" ht="57.75" customHeight="1">
      <c r="A40" s="371" t="s">
        <v>193</v>
      </c>
    </row>
    <row r="41" ht="10.5" customHeight="1">
      <c r="A41" s="360"/>
    </row>
    <row r="42" ht="65.25" customHeight="1">
      <c r="A42" s="360" t="s">
        <v>749</v>
      </c>
    </row>
    <row r="43" ht="59.25" customHeight="1">
      <c r="A43" s="360" t="s">
        <v>194</v>
      </c>
    </row>
    <row r="44" ht="84.75" customHeight="1">
      <c r="A44" s="360" t="s">
        <v>274</v>
      </c>
    </row>
    <row r="45" ht="12" customHeight="1">
      <c r="A45" s="360"/>
    </row>
    <row r="46" ht="67.5" customHeight="1">
      <c r="A46" s="399" t="s">
        <v>607</v>
      </c>
    </row>
    <row r="47" ht="69.75" customHeight="1">
      <c r="A47" s="395" t="s">
        <v>608</v>
      </c>
    </row>
    <row r="48" ht="12" customHeight="1">
      <c r="A48" s="360"/>
    </row>
    <row r="49" ht="68.25" customHeight="1">
      <c r="A49" s="360" t="s">
        <v>609</v>
      </c>
    </row>
    <row r="50" ht="74.25" customHeight="1">
      <c r="A50" s="360" t="s">
        <v>610</v>
      </c>
    </row>
    <row r="51" ht="50.25" customHeight="1">
      <c r="A51" s="360" t="s">
        <v>611</v>
      </c>
    </row>
    <row r="52" ht="15.75" customHeight="1"/>
    <row r="53" ht="80.25" customHeight="1">
      <c r="A53" s="360" t="s">
        <v>612</v>
      </c>
    </row>
    <row r="54" ht="40.5" customHeight="1">
      <c r="A54" s="360" t="s">
        <v>613</v>
      </c>
    </row>
    <row r="55" ht="45" customHeight="1">
      <c r="A55" s="360" t="s">
        <v>614</v>
      </c>
    </row>
    <row r="56" ht="15.75">
      <c r="A56" s="360"/>
    </row>
    <row r="57" ht="68.25" customHeight="1">
      <c r="A57" s="360" t="s">
        <v>615</v>
      </c>
    </row>
    <row r="58" ht="15.75">
      <c r="A58" s="360"/>
    </row>
    <row r="59" ht="40.5" customHeight="1">
      <c r="A59" s="360" t="s">
        <v>616</v>
      </c>
    </row>
    <row r="60" ht="34.5" customHeight="1">
      <c r="A60" s="360" t="s">
        <v>631</v>
      </c>
    </row>
    <row r="61" ht="77.25" customHeight="1">
      <c r="A61" s="360" t="s">
        <v>632</v>
      </c>
    </row>
    <row r="62" ht="41.25" customHeight="1">
      <c r="A62" s="360" t="s">
        <v>629</v>
      </c>
    </row>
    <row r="63" ht="41.25" customHeight="1">
      <c r="A63" s="360" t="s">
        <v>630</v>
      </c>
    </row>
    <row r="64" ht="9" customHeight="1">
      <c r="A64" s="360"/>
    </row>
    <row r="65" ht="58.5" customHeight="1">
      <c r="A65" s="360" t="s">
        <v>617</v>
      </c>
    </row>
    <row r="66" ht="9.75" customHeight="1"/>
    <row r="67" s="360" customFormat="1" ht="69" customHeight="1">
      <c r="A67" s="360" t="s">
        <v>618</v>
      </c>
    </row>
    <row r="68" ht="6.75" customHeight="1"/>
    <row r="69" ht="70.5" customHeight="1">
      <c r="A69" s="360" t="s">
        <v>750</v>
      </c>
    </row>
    <row r="70" ht="63" customHeight="1">
      <c r="A70" s="584" t="s">
        <v>751</v>
      </c>
    </row>
    <row r="71" ht="57" customHeight="1">
      <c r="A71" s="584" t="s">
        <v>752</v>
      </c>
    </row>
    <row r="72" ht="60" customHeight="1">
      <c r="A72" s="360" t="s">
        <v>753</v>
      </c>
    </row>
    <row r="73" ht="117.75" customHeight="1">
      <c r="A73" s="360" t="s">
        <v>754</v>
      </c>
    </row>
    <row r="74" ht="59.25" customHeight="1">
      <c r="A74" s="360" t="s">
        <v>755</v>
      </c>
    </row>
    <row r="75" ht="59.25" customHeight="1">
      <c r="A75" s="584" t="s">
        <v>756</v>
      </c>
    </row>
    <row r="76" ht="84.75" customHeight="1">
      <c r="A76" s="360" t="s">
        <v>757</v>
      </c>
    </row>
    <row r="77" ht="102.75" customHeight="1">
      <c r="A77" s="360" t="s">
        <v>758</v>
      </c>
    </row>
    <row r="78" ht="102.75" customHeight="1">
      <c r="A78" s="372" t="s">
        <v>759</v>
      </c>
    </row>
    <row r="79" ht="54" customHeight="1">
      <c r="A79" s="363" t="s">
        <v>760</v>
      </c>
    </row>
    <row r="80" ht="115.5" customHeight="1">
      <c r="A80" s="360" t="s">
        <v>761</v>
      </c>
    </row>
    <row r="81" ht="78" customHeight="1">
      <c r="A81" s="372" t="s">
        <v>762</v>
      </c>
    </row>
    <row r="82" ht="124.5" customHeight="1">
      <c r="A82" s="372" t="s">
        <v>763</v>
      </c>
    </row>
    <row r="83" ht="138" customHeight="1">
      <c r="A83" s="360" t="s">
        <v>764</v>
      </c>
    </row>
    <row r="84" ht="147" customHeight="1">
      <c r="A84" s="360" t="s">
        <v>765</v>
      </c>
    </row>
    <row r="85" ht="101.25" customHeight="1">
      <c r="A85" s="360" t="s">
        <v>766</v>
      </c>
    </row>
    <row r="87" ht="102.75" customHeight="1">
      <c r="A87" s="360" t="s">
        <v>619</v>
      </c>
    </row>
    <row r="88" ht="89.25" customHeight="1">
      <c r="A88" s="372" t="s">
        <v>620</v>
      </c>
    </row>
    <row r="89" ht="57" customHeight="1">
      <c r="A89" s="372" t="s">
        <v>621</v>
      </c>
    </row>
    <row r="90" ht="20.25" customHeight="1">
      <c r="A90" s="360" t="s">
        <v>622</v>
      </c>
    </row>
    <row r="92" ht="53.25" customHeight="1">
      <c r="A92" s="360" t="s">
        <v>623</v>
      </c>
    </row>
    <row r="93" ht="21" customHeight="1">
      <c r="A93" s="360" t="s">
        <v>625</v>
      </c>
    </row>
    <row r="94" ht="72.75" customHeight="1">
      <c r="A94" s="584" t="s">
        <v>767</v>
      </c>
    </row>
    <row r="95" ht="75" customHeight="1">
      <c r="A95" s="584" t="s">
        <v>768</v>
      </c>
    </row>
    <row r="96" ht="33.75" customHeight="1">
      <c r="A96" s="360" t="s">
        <v>769</v>
      </c>
    </row>
    <row r="97" ht="51.75" customHeight="1">
      <c r="A97" s="360" t="s">
        <v>770</v>
      </c>
    </row>
    <row r="98" ht="14.25" customHeight="1"/>
    <row r="99" ht="69.75" customHeight="1">
      <c r="A99" s="360" t="s">
        <v>624</v>
      </c>
    </row>
    <row r="101" ht="54" customHeight="1">
      <c r="A101" s="584" t="s">
        <v>771</v>
      </c>
    </row>
    <row r="102" ht="85.5" customHeight="1">
      <c r="A102" s="584" t="s">
        <v>772</v>
      </c>
    </row>
    <row r="103" ht="99" customHeight="1">
      <c r="A103" s="584" t="s">
        <v>773</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LONDON TOWNSHIP</v>
      </c>
      <c r="B1" s="179"/>
      <c r="C1" s="179"/>
      <c r="D1" s="179"/>
      <c r="E1" s="179"/>
      <c r="F1" s="179"/>
      <c r="G1" s="179"/>
      <c r="H1" s="179"/>
      <c r="I1" s="14"/>
      <c r="J1" s="14"/>
      <c r="K1" s="15">
        <f>inputPrYr!D5</f>
        <v>2014</v>
      </c>
    </row>
    <row r="2" spans="1:11" ht="15.75">
      <c r="A2" s="178" t="str">
        <f>inputPrYr!$D$3</f>
        <v>SUMNER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2013</v>
      </c>
      <c r="I6" s="188"/>
      <c r="J6" s="187">
        <f>K1</f>
        <v>2014</v>
      </c>
      <c r="K6" s="188"/>
    </row>
    <row r="7" spans="1:11" ht="15.75">
      <c r="A7" s="189" t="s">
        <v>59</v>
      </c>
      <c r="B7" s="190" t="s">
        <v>60</v>
      </c>
      <c r="C7" s="190" t="s">
        <v>29</v>
      </c>
      <c r="D7" s="190" t="s">
        <v>61</v>
      </c>
      <c r="E7" s="191" t="str">
        <f>CONCATENATE("Jan 1,",K1-1,"")</f>
        <v>Jan 1,2013</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159</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160</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288</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1,2013</v>
      </c>
      <c r="G23" s="190">
        <f>K1-1</f>
        <v>2013</v>
      </c>
      <c r="H23" s="190">
        <f>K1</f>
        <v>2014</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258</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1">
      <selection activeCell="I11" sqref="I1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LONDON TOWNSHIP</v>
      </c>
      <c r="C1" s="14"/>
      <c r="D1" s="14"/>
      <c r="E1" s="15">
        <f>inputPrYr!D5</f>
        <v>2014</v>
      </c>
    </row>
    <row r="2" spans="2:5" ht="15.75">
      <c r="B2" s="17"/>
      <c r="C2" s="14"/>
      <c r="D2" s="14"/>
      <c r="E2" s="18"/>
    </row>
    <row r="3" spans="2:5" ht="15.75">
      <c r="B3" s="583" t="s">
        <v>747</v>
      </c>
      <c r="C3" s="20"/>
      <c r="D3" s="20"/>
      <c r="E3" s="21"/>
    </row>
    <row r="4" spans="2:5" ht="15.75">
      <c r="B4" s="22" t="s">
        <v>10</v>
      </c>
      <c r="C4" s="416" t="s">
        <v>11</v>
      </c>
      <c r="D4" s="419" t="s">
        <v>12</v>
      </c>
      <c r="E4" s="23" t="s">
        <v>13</v>
      </c>
    </row>
    <row r="5" spans="2:5" ht="15.75">
      <c r="B5" s="437" t="str">
        <f>inputPrYr!B16</f>
        <v>General</v>
      </c>
      <c r="C5" s="417" t="str">
        <f>CONCATENATE("Actual ",$E$1-2,"")</f>
        <v>Actual 2012</v>
      </c>
      <c r="D5" s="417" t="str">
        <f>CONCATENATE("Estimate ",$E$1-1,"")</f>
        <v>Estimate 2013</v>
      </c>
      <c r="E5" s="26" t="str">
        <f>CONCATENATE("Year ",$E$1,"")</f>
        <v>Year 2014</v>
      </c>
    </row>
    <row r="6" spans="2:5" ht="15.75">
      <c r="B6" s="27" t="s">
        <v>122</v>
      </c>
      <c r="C6" s="29"/>
      <c r="D6" s="418">
        <f>C51</f>
        <v>0</v>
      </c>
      <c r="E6" s="32">
        <f>D51</f>
        <v>0</v>
      </c>
    </row>
    <row r="7" spans="2:5" ht="15.75">
      <c r="B7" s="27" t="s">
        <v>124</v>
      </c>
      <c r="C7" s="418"/>
      <c r="D7" s="418"/>
      <c r="E7" s="33"/>
    </row>
    <row r="8" spans="2:5" ht="15.75">
      <c r="B8" s="27" t="s">
        <v>16</v>
      </c>
      <c r="C8" s="29"/>
      <c r="D8" s="418">
        <f>inputPrYr!E16</f>
        <v>0</v>
      </c>
      <c r="E8" s="33" t="s">
        <v>302</v>
      </c>
    </row>
    <row r="9" spans="2:5" ht="15.75">
      <c r="B9" s="27" t="s">
        <v>17</v>
      </c>
      <c r="C9" s="29"/>
      <c r="D9" s="29"/>
      <c r="E9" s="34"/>
    </row>
    <row r="10" spans="2:5" ht="15.75">
      <c r="B10" s="27" t="s">
        <v>18</v>
      </c>
      <c r="C10" s="29"/>
      <c r="D10" s="29"/>
      <c r="E10" s="32">
        <f>mvalloc!G11</f>
        <v>0</v>
      </c>
    </row>
    <row r="11" spans="2:5" ht="15.75">
      <c r="B11" s="27" t="s">
        <v>19</v>
      </c>
      <c r="C11" s="29"/>
      <c r="D11" s="29"/>
      <c r="E11" s="32">
        <f>mvalloc!I11</f>
        <v>0</v>
      </c>
    </row>
    <row r="12" spans="2:5" ht="15.75">
      <c r="B12" s="35" t="s">
        <v>72</v>
      </c>
      <c r="C12" s="29"/>
      <c r="D12" s="29"/>
      <c r="E12" s="32">
        <f>mvalloc!J11</f>
        <v>0</v>
      </c>
    </row>
    <row r="13" spans="2:5" ht="15.75">
      <c r="B13" s="35" t="s">
        <v>166</v>
      </c>
      <c r="C13" s="29"/>
      <c r="D13" s="29"/>
      <c r="E13" s="32">
        <f>inputOth!E34</f>
        <v>0</v>
      </c>
    </row>
    <row r="14" spans="2:5" ht="15.75">
      <c r="B14" s="35" t="s">
        <v>167</v>
      </c>
      <c r="C14" s="29"/>
      <c r="D14" s="29"/>
      <c r="E14" s="32">
        <f>mvalloc!K11</f>
        <v>0</v>
      </c>
    </row>
    <row r="15" spans="2:5" ht="15.75">
      <c r="B15" s="35"/>
      <c r="C15" s="29"/>
      <c r="D15" s="29"/>
      <c r="E15" s="36"/>
    </row>
    <row r="16" spans="2:5" ht="15.75">
      <c r="B16" s="27" t="s">
        <v>20</v>
      </c>
      <c r="C16" s="29"/>
      <c r="D16" s="29"/>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224</v>
      </c>
      <c r="C24" s="29"/>
      <c r="D24" s="29"/>
      <c r="E24" s="34"/>
    </row>
    <row r="25" spans="2:5" ht="15.75">
      <c r="B25" s="39" t="s">
        <v>225</v>
      </c>
      <c r="C25" s="415">
        <f>IF(C26*0.1&lt;C24,"Exceed 10% Rule","")</f>
      </c>
      <c r="D25" s="415">
        <f>IF(D26*0.1&lt;D24,"Exceed 10% Rule","")</f>
      </c>
      <c r="E25" s="45">
        <f>IF(E26*0.1+E57&lt;E24,"Exceed 10% Rule","")</f>
      </c>
    </row>
    <row r="26" spans="2:5" ht="15.75">
      <c r="B26" s="41" t="s">
        <v>23</v>
      </c>
      <c r="C26" s="420">
        <f>SUM(C8:C24)</f>
        <v>0</v>
      </c>
      <c r="D26" s="420">
        <f>SUM(D8:D24)</f>
        <v>0</v>
      </c>
      <c r="E26" s="42">
        <f>SUM(E8:E24)</f>
        <v>0</v>
      </c>
    </row>
    <row r="27" spans="2:5" ht="15.75">
      <c r="B27" s="43" t="s">
        <v>24</v>
      </c>
      <c r="C27" s="420">
        <f>C26+C6</f>
        <v>0</v>
      </c>
      <c r="D27" s="420">
        <f>D26+D6</f>
        <v>0</v>
      </c>
      <c r="E27" s="42">
        <f>E26+E6</f>
        <v>0</v>
      </c>
    </row>
    <row r="28" spans="2:5" ht="15.75">
      <c r="B28" s="27" t="s">
        <v>25</v>
      </c>
      <c r="C28" s="418"/>
      <c r="D28" s="418"/>
      <c r="E28" s="32"/>
    </row>
    <row r="29" spans="2:5" ht="15.75">
      <c r="B29" s="37"/>
      <c r="C29" s="29"/>
      <c r="D29" s="29"/>
      <c r="E29" s="34"/>
    </row>
    <row r="30" spans="2:5" ht="15.75">
      <c r="B30" s="38" t="s">
        <v>105</v>
      </c>
      <c r="C30" s="29"/>
      <c r="D30" s="29"/>
      <c r="E30" s="34"/>
    </row>
    <row r="31" spans="2:5" ht="15.75">
      <c r="B31" s="38" t="s">
        <v>129</v>
      </c>
      <c r="C31" s="29"/>
      <c r="D31" s="29"/>
      <c r="E31" s="34"/>
    </row>
    <row r="32" spans="2:5" ht="15.75">
      <c r="B32" s="38" t="s">
        <v>106</v>
      </c>
      <c r="C32" s="29"/>
      <c r="D32" s="29"/>
      <c r="E32" s="34"/>
    </row>
    <row r="33" spans="2:5" ht="15.75">
      <c r="B33" s="38" t="s">
        <v>36</v>
      </c>
      <c r="C33" s="29"/>
      <c r="D33" s="29"/>
      <c r="E33" s="34"/>
    </row>
    <row r="34" spans="2:5" ht="15.75">
      <c r="B34" s="37" t="s">
        <v>107</v>
      </c>
      <c r="C34" s="29"/>
      <c r="D34" s="29"/>
      <c r="E34" s="34"/>
    </row>
    <row r="35" spans="2:5" ht="15.75">
      <c r="B35" s="37" t="s">
        <v>130</v>
      </c>
      <c r="C35" s="29"/>
      <c r="D35" s="29"/>
      <c r="E35" s="34"/>
    </row>
    <row r="36" spans="2:5" ht="15.75">
      <c r="B36" s="38" t="s">
        <v>132</v>
      </c>
      <c r="C36" s="29"/>
      <c r="D36" s="29"/>
      <c r="E36" s="34"/>
    </row>
    <row r="37" spans="2:5" ht="15.75">
      <c r="B37" s="38" t="s">
        <v>812</v>
      </c>
      <c r="C37" s="29"/>
      <c r="D37" s="29"/>
      <c r="E37" s="34"/>
    </row>
    <row r="38" spans="2:5" ht="15.75">
      <c r="B38" s="37"/>
      <c r="C38" s="29"/>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280</v>
      </c>
      <c r="C43" s="29"/>
      <c r="D43" s="29"/>
      <c r="E43" s="34"/>
    </row>
    <row r="44" spans="2:5" ht="15.75">
      <c r="B44" s="35" t="s">
        <v>277</v>
      </c>
      <c r="C44" s="414">
        <f>IF(AND($C$43&gt;0,$C$8&gt;0),"Not Authorized","")</f>
      </c>
      <c r="D44" s="414">
        <f>IF(AND($D$43&gt;0,$D$8&gt;0),"Not Authorized","")</f>
      </c>
      <c r="E44" s="44">
        <f>IF(AND(cert!F20&gt;0,$E$43&gt;0),"Not Authorized","")</f>
      </c>
    </row>
    <row r="45" spans="2:5" ht="15.75">
      <c r="B45" s="27" t="s">
        <v>281</v>
      </c>
      <c r="C45" s="29"/>
      <c r="D45" s="29"/>
      <c r="E45" s="34"/>
    </row>
    <row r="46" spans="2:6" ht="15.75">
      <c r="B46" s="27" t="s">
        <v>806</v>
      </c>
      <c r="C46" s="415">
        <f>IF(C27*0.25&lt;C45,"Exceeds 25%","")</f>
      </c>
      <c r="D46" s="415">
        <f>IF(D27*0.25&lt;D45,"Exceeds 25%","")</f>
      </c>
      <c r="E46" s="45">
        <f>IF(E27*0.25+E57&lt;E45,"Exceeds 25%","")</f>
      </c>
      <c r="F46" s="16">
        <f>IF(G28*0.25&lt;G46,"Exceeds 25%","")</f>
      </c>
    </row>
    <row r="47" spans="2:5" ht="15.75">
      <c r="B47" s="35" t="s">
        <v>226</v>
      </c>
      <c r="C47" s="29"/>
      <c r="D47" s="29"/>
      <c r="E47" s="46">
        <f>nhood!E6</f>
      </c>
    </row>
    <row r="48" spans="2:5" ht="15.75">
      <c r="B48" s="35" t="s">
        <v>224</v>
      </c>
      <c r="C48" s="29"/>
      <c r="D48" s="29"/>
      <c r="E48" s="34"/>
    </row>
    <row r="49" spans="2:10" ht="15.75">
      <c r="B49" s="35" t="s">
        <v>645</v>
      </c>
      <c r="C49" s="415">
        <f>IF(C50*0.1&lt;C48,"Exceed 10% Rule","")</f>
      </c>
      <c r="D49" s="415">
        <f>IF(D50*0.1&lt;D48,"Exceed 10% Rule","")</f>
      </c>
      <c r="E49" s="45">
        <f>IF(E50*0.1&lt;E48,"Exceed 10% Rule","")</f>
      </c>
      <c r="G49" s="636" t="str">
        <f>CONCATENATE("Projected Carryover Into ",E1+1,"")</f>
        <v>Projected Carryover Into 2015</v>
      </c>
      <c r="H49" s="637"/>
      <c r="I49" s="637"/>
      <c r="J49" s="618"/>
    </row>
    <row r="50" spans="2:10" ht="15.75">
      <c r="B50" s="43" t="s">
        <v>26</v>
      </c>
      <c r="C50" s="412">
        <f>SUM(C29:C48)</f>
        <v>0</v>
      </c>
      <c r="D50" s="412">
        <f>SUM(D29:D48)</f>
        <v>0</v>
      </c>
      <c r="E50" s="47">
        <f>SUM(E29:E43,E45,E47:E48)</f>
        <v>0</v>
      </c>
      <c r="G50" s="534"/>
      <c r="H50" s="535"/>
      <c r="I50" s="535"/>
      <c r="J50" s="536"/>
    </row>
    <row r="51" spans="2:10" ht="15.75">
      <c r="B51" s="27" t="s">
        <v>123</v>
      </c>
      <c r="C51" s="413">
        <f>C27-C50</f>
        <v>0</v>
      </c>
      <c r="D51" s="413">
        <f>SUM(D27-D50)</f>
        <v>0</v>
      </c>
      <c r="E51" s="33" t="s">
        <v>302</v>
      </c>
      <c r="G51" s="537">
        <f>D51</f>
        <v>0</v>
      </c>
      <c r="H51" s="538" t="str">
        <f>CONCATENATE("",E1-1," Ending Cash Balance (est.)")</f>
        <v>2013 Ending Cash Balance (est.)</v>
      </c>
      <c r="I51" s="539"/>
      <c r="J51" s="536"/>
    </row>
    <row r="52" spans="2:10" ht="15.75">
      <c r="B52" s="48" t="str">
        <f>CONCATENATE("",E1-2,"/",E1-1," Budget Authority Amount:")</f>
        <v>2012/2013 Budget Authority Amount:</v>
      </c>
      <c r="C52" s="143">
        <f>inputOth!B46</f>
        <v>0</v>
      </c>
      <c r="D52" s="172">
        <f>inputPrYr!D16</f>
        <v>0</v>
      </c>
      <c r="E52" s="33" t="s">
        <v>302</v>
      </c>
      <c r="F52" s="50"/>
      <c r="G52" s="537">
        <f>E26</f>
        <v>0</v>
      </c>
      <c r="H52" s="540" t="str">
        <f>CONCATENATE("",E1," Non-AV Receipts (est.)")</f>
        <v>2014 Non-AV Receipts (est.)</v>
      </c>
      <c r="I52" s="540"/>
      <c r="J52" s="536"/>
    </row>
    <row r="53" spans="2:10" ht="15.75">
      <c r="B53" s="48"/>
      <c r="C53" s="632" t="s">
        <v>646</v>
      </c>
      <c r="D53" s="633"/>
      <c r="E53" s="34"/>
      <c r="F53" s="533">
        <f>IF(E50/0.95-E50&lt;E53,"Exceeds 5%","")</f>
      </c>
      <c r="G53" s="541">
        <f>E57</f>
        <v>0</v>
      </c>
      <c r="H53" s="540" t="str">
        <f>CONCATENATE("",E1," Ad Valorem Tax (est.)")</f>
        <v>2014 Ad Valorem Tax (est.)</v>
      </c>
      <c r="I53" s="540"/>
      <c r="J53" s="536"/>
    </row>
    <row r="54" spans="2:10" ht="15.75">
      <c r="B54" s="436" t="str">
        <f>CONCATENATE(C72,"     ",D72)</f>
        <v>     </v>
      </c>
      <c r="C54" s="634">
        <v>4</v>
      </c>
      <c r="D54" s="635"/>
      <c r="E54" s="32">
        <f>E50+E53</f>
        <v>0</v>
      </c>
      <c r="G54" s="537">
        <f>SUM(G51:G53)</f>
        <v>0</v>
      </c>
      <c r="H54" s="540" t="str">
        <f>CONCATENATE("Total ",E1," Resources Available")</f>
        <v>Total 2014 Resources Available</v>
      </c>
      <c r="I54" s="539"/>
      <c r="J54" s="536"/>
    </row>
    <row r="55" spans="2:10" ht="15.75">
      <c r="B55" s="436" t="str">
        <f>CONCATENATE(C73,"     ",D73)</f>
        <v>     </v>
      </c>
      <c r="C55" s="60"/>
      <c r="D55" s="52" t="s">
        <v>28</v>
      </c>
      <c r="E55" s="46">
        <f>IF(E54-E27&gt;0,E54-E27,0)</f>
        <v>0</v>
      </c>
      <c r="G55" s="542"/>
      <c r="H55" s="540"/>
      <c r="I55" s="540"/>
      <c r="J55" s="536"/>
    </row>
    <row r="56" spans="2:10" ht="15.75">
      <c r="B56" s="52"/>
      <c r="C56" s="440" t="s">
        <v>648</v>
      </c>
      <c r="D56" s="432">
        <f>inputOth!$E$40</f>
        <v>0</v>
      </c>
      <c r="E56" s="32">
        <f>ROUND(IF(D56&gt;0,(E55*D56),0),0)</f>
        <v>0</v>
      </c>
      <c r="G56" s="541">
        <f>C50*0.05+C50</f>
        <v>0</v>
      </c>
      <c r="H56" s="540" t="str">
        <f>CONCATENATE("Less ",E1-2," Expenditures + 5%")</f>
        <v>Less 2012 Expenditures + 5%</v>
      </c>
      <c r="I56" s="539"/>
      <c r="J56" s="536"/>
    </row>
    <row r="57" spans="2:10" ht="15.75">
      <c r="B57" s="14"/>
      <c r="C57" s="630" t="str">
        <f>CONCATENATE("Amount of  ",$E$1-1," Ad Valorem Tax")</f>
        <v>Amount of  2013 Ad Valorem Tax</v>
      </c>
      <c r="D57" s="631"/>
      <c r="E57" s="46">
        <f>E55+E56</f>
        <v>0</v>
      </c>
      <c r="G57" s="543">
        <f>G54-G56</f>
        <v>0</v>
      </c>
      <c r="H57" s="544" t="str">
        <f>CONCATENATE("Projected ",E1+1," Carryover (est.)")</f>
        <v>Projected 2015 Carryover (est.)</v>
      </c>
      <c r="I57" s="545"/>
      <c r="J57" s="546"/>
    </row>
    <row r="58" spans="2:5" ht="15.75">
      <c r="B58" s="14"/>
      <c r="C58" s="14"/>
      <c r="D58" s="14"/>
      <c r="E58" s="14"/>
    </row>
    <row r="59" spans="2:10" s="54" customFormat="1" ht="15.75">
      <c r="B59" s="19"/>
      <c r="C59" s="19"/>
      <c r="D59" s="53"/>
      <c r="E59" s="19"/>
      <c r="G59" s="560">
        <f>IF(inputOth!E7=0,"",ROUND(' '!E57/inputOth!E7*1000,3))</f>
        <v>0</v>
      </c>
      <c r="H59" s="547" t="str">
        <f>CONCATENATE("Projected ",E1-1," Mill Rate (est.)")</f>
        <v>Projected 2013 Mill Rate (est.)</v>
      </c>
      <c r="I59" s="548"/>
      <c r="J59" s="549"/>
    </row>
    <row r="60" spans="2:10" s="56" customFormat="1" ht="15.75">
      <c r="B60" s="14"/>
      <c r="C60" s="14"/>
      <c r="D60" s="55"/>
      <c r="E60" s="14"/>
      <c r="G60" s="550"/>
      <c r="H60" s="550"/>
      <c r="I60" s="550"/>
      <c r="J60" s="550"/>
    </row>
    <row r="61" spans="2:10" ht="15.75">
      <c r="B61" s="52" t="s">
        <v>9</v>
      </c>
      <c r="C61" s="442" t="s">
        <v>290</v>
      </c>
      <c r="D61" s="14"/>
      <c r="E61" s="55"/>
      <c r="G61" s="636" t="str">
        <f>CONCATENATE("Desired Carryover Into ",E1+1,"")</f>
        <v>Desired Carryover Into 2015</v>
      </c>
      <c r="H61" s="638"/>
      <c r="I61" s="638"/>
      <c r="J61" s="618"/>
    </row>
    <row r="62" spans="7:10" ht="15.75">
      <c r="G62" s="551"/>
      <c r="H62" s="535"/>
      <c r="I62" s="540"/>
      <c r="J62" s="552"/>
    </row>
    <row r="63" spans="2:10" ht="15.75">
      <c r="B63" s="12"/>
      <c r="G63" s="553" t="s">
        <v>744</v>
      </c>
      <c r="H63" s="540"/>
      <c r="I63" s="540"/>
      <c r="J63" s="554">
        <v>0</v>
      </c>
    </row>
    <row r="64" spans="7:10" ht="15.75">
      <c r="G64" s="551" t="s">
        <v>745</v>
      </c>
      <c r="H64" s="535"/>
      <c r="I64" s="535"/>
      <c r="J64" s="555">
        <f>IF(' '!J63=0,"",ROUND((J63+E57-G57)/inputOth!E7*1000,3)-G59)</f>
      </c>
    </row>
    <row r="65" spans="7:10" ht="15.75">
      <c r="G65" s="556" t="str">
        <f>CONCATENATE("",E1," Total Expenditures Must Be:")</f>
        <v>2014 Total Expenditures Must Be:</v>
      </c>
      <c r="H65" s="557"/>
      <c r="I65" s="558"/>
      <c r="J65" s="559">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LONDON TOWNSHIP</v>
      </c>
      <c r="C1" s="14"/>
      <c r="D1" s="14"/>
      <c r="E1" s="61">
        <f>inputPrYr!$D$5</f>
        <v>2014</v>
      </c>
    </row>
    <row r="2" spans="2:5" ht="15.75">
      <c r="B2" s="14"/>
      <c r="C2" s="14"/>
      <c r="D2" s="14"/>
      <c r="E2" s="52"/>
    </row>
    <row r="3" spans="2:5" ht="15.75">
      <c r="B3" s="17"/>
      <c r="C3" s="62"/>
      <c r="D3" s="62"/>
      <c r="E3" s="63"/>
    </row>
    <row r="4" spans="2:5" ht="15.75">
      <c r="B4" s="583" t="s">
        <v>747</v>
      </c>
      <c r="C4" s="64"/>
      <c r="D4" s="64"/>
      <c r="E4" s="64"/>
    </row>
    <row r="5" spans="2:5" ht="15.75">
      <c r="B5" s="22" t="s">
        <v>10</v>
      </c>
      <c r="C5" s="416" t="s">
        <v>11</v>
      </c>
      <c r="D5" s="419" t="s">
        <v>12</v>
      </c>
      <c r="E5" s="23" t="s">
        <v>13</v>
      </c>
    </row>
    <row r="6" spans="2:5" ht="15.75">
      <c r="B6" s="24" t="s">
        <v>312</v>
      </c>
      <c r="C6" s="417" t="str">
        <f>CONCATENATE("Actual ",$E$1-2,"")</f>
        <v>Actual 2012</v>
      </c>
      <c r="D6" s="417" t="str">
        <f>CONCATENATE("Estimate ",$E$1-1,"")</f>
        <v>Estimate 2013</v>
      </c>
      <c r="E6" s="26" t="str">
        <f>CONCATENATE("Year ",$E$1,"")</f>
        <v>Year 2014</v>
      </c>
    </row>
    <row r="7" spans="2:5" ht="15.75">
      <c r="B7" s="27" t="s">
        <v>148</v>
      </c>
      <c r="C7" s="423"/>
      <c r="D7" s="421">
        <f>C54</f>
        <v>0</v>
      </c>
      <c r="E7" s="65">
        <f>D54</f>
        <v>0</v>
      </c>
    </row>
    <row r="8" spans="2:5" ht="15.75">
      <c r="B8" s="27" t="s">
        <v>124</v>
      </c>
      <c r="C8" s="422"/>
      <c r="D8" s="421"/>
      <c r="E8" s="65"/>
    </row>
    <row r="9" spans="2:5" ht="15.75">
      <c r="B9" s="27" t="s">
        <v>16</v>
      </c>
      <c r="C9" s="29"/>
      <c r="D9" s="422">
        <f>inputPrYr!E17</f>
        <v>0</v>
      </c>
      <c r="E9" s="33" t="s">
        <v>302</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167</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158</v>
      </c>
      <c r="C25" s="29"/>
      <c r="D25" s="29"/>
      <c r="E25" s="66"/>
    </row>
    <row r="26" spans="2:5" ht="15.75">
      <c r="B26" s="71" t="s">
        <v>22</v>
      </c>
      <c r="C26" s="29"/>
      <c r="D26" s="29"/>
      <c r="E26" s="66"/>
    </row>
    <row r="27" spans="2:5" ht="15.75">
      <c r="B27" s="39" t="s">
        <v>224</v>
      </c>
      <c r="C27" s="423"/>
      <c r="D27" s="423"/>
      <c r="E27" s="66"/>
    </row>
    <row r="28" spans="2:5" ht="15.75">
      <c r="B28" s="39" t="s">
        <v>225</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226</v>
      </c>
      <c r="C50" s="29"/>
      <c r="D50" s="29"/>
      <c r="E50" s="75">
        <f>nhood!E7</f>
      </c>
    </row>
    <row r="51" spans="2:5" ht="15.75">
      <c r="B51" s="35" t="s">
        <v>224</v>
      </c>
      <c r="C51" s="423"/>
      <c r="D51" s="423"/>
      <c r="E51" s="66"/>
    </row>
    <row r="52" spans="2:9" ht="15.75">
      <c r="B52" s="35" t="s">
        <v>645</v>
      </c>
      <c r="C52" s="415">
        <f>IF(C53*0.1&lt;C51,"Exceed 10% Rule","")</f>
      </c>
      <c r="D52" s="415">
        <f>IF(D53*0.1&lt;D51,"Exceed 10% Rule","")</f>
      </c>
      <c r="E52" s="45">
        <f>IF(E53*0.1&lt;E51,"Exceed 10% Rule","")</f>
      </c>
      <c r="G52" s="639" t="str">
        <f>CONCATENATE("Projected Carryover Into ",E1+1,"")</f>
        <v>Projected Carryover Into 2015</v>
      </c>
      <c r="H52" s="640"/>
      <c r="I52" s="641"/>
    </row>
    <row r="53" spans="2:9" ht="15.75">
      <c r="B53" s="43" t="s">
        <v>26</v>
      </c>
      <c r="C53" s="424">
        <f>SUM(C32:C51)</f>
        <v>0</v>
      </c>
      <c r="D53" s="424">
        <f>SUM(D32:D51)</f>
        <v>0</v>
      </c>
      <c r="E53" s="72">
        <f>SUM(E32:E51)</f>
        <v>0</v>
      </c>
      <c r="G53" s="534"/>
      <c r="H53" s="535"/>
      <c r="I53" s="536"/>
    </row>
    <row r="54" spans="2:9" ht="15.75">
      <c r="B54" s="27" t="s">
        <v>123</v>
      </c>
      <c r="C54" s="425">
        <f>C30-C53</f>
        <v>0</v>
      </c>
      <c r="D54" s="425">
        <f>D30-D53</f>
        <v>0</v>
      </c>
      <c r="E54" s="33" t="s">
        <v>302</v>
      </c>
      <c r="G54" s="561">
        <f>D54</f>
        <v>0</v>
      </c>
      <c r="H54" s="562" t="str">
        <f>CONCATENATE("",E1-1," Ending Cash Balance (est.)")</f>
        <v>2013 Ending Cash Balance (est.)</v>
      </c>
      <c r="I54" s="536"/>
    </row>
    <row r="55" spans="2:9" ht="15.75">
      <c r="B55" s="48" t="str">
        <f>CONCATENATE("",E1-2,"/",E1-1," Budget Authority Amount:")</f>
        <v>2012/2013 Budget Authority Amount:</v>
      </c>
      <c r="C55" s="143">
        <f>inputOth!B47</f>
        <v>0</v>
      </c>
      <c r="D55" s="172">
        <f>inputPrYr!D17</f>
        <v>0</v>
      </c>
      <c r="E55" s="33" t="s">
        <v>302</v>
      </c>
      <c r="F55" s="50"/>
      <c r="G55" s="561">
        <f>E29</f>
        <v>0</v>
      </c>
      <c r="H55" s="563" t="str">
        <f>CONCATENATE("",E1," Non-AV Receipts (est.)")</f>
        <v>2014 Non-AV Receipts (est.)</v>
      </c>
      <c r="I55" s="536"/>
    </row>
    <row r="56" spans="2:9" ht="15.75">
      <c r="B56" s="48"/>
      <c r="C56" s="632" t="s">
        <v>646</v>
      </c>
      <c r="D56" s="633"/>
      <c r="E56" s="34"/>
      <c r="F56" s="533">
        <f>IF(E53/0.95-E53&lt;E56,"Exceeds 5%","")</f>
      </c>
      <c r="G56" s="564">
        <f>E60</f>
        <v>0</v>
      </c>
      <c r="H56" s="563" t="str">
        <f>CONCATENATE("",E1," Ad Valorem Tax (est.)")</f>
        <v>2014 Ad Valorem Tax (est.)</v>
      </c>
      <c r="I56" s="536"/>
    </row>
    <row r="57" spans="2:9" ht="15.75">
      <c r="B57" s="436" t="str">
        <f>CONCATENATE(C72,"     ",D72)</f>
        <v>     </v>
      </c>
      <c r="C57" s="634" t="s">
        <v>647</v>
      </c>
      <c r="D57" s="635"/>
      <c r="E57" s="32">
        <f>E53+E56</f>
        <v>0</v>
      </c>
      <c r="G57" s="561">
        <f>SUM(G54:G56)</f>
        <v>0</v>
      </c>
      <c r="H57" s="563" t="str">
        <f>CONCATENATE("Total ",E1," Resources Available")</f>
        <v>Total 2014 Resources Available</v>
      </c>
      <c r="I57" s="536"/>
    </row>
    <row r="58" spans="2:9" ht="15.75">
      <c r="B58" s="436" t="str">
        <f>CONCATENATE(C73,"     ",D73)</f>
        <v>     </v>
      </c>
      <c r="C58" s="60"/>
      <c r="D58" s="52" t="s">
        <v>28</v>
      </c>
      <c r="E58" s="46">
        <f>IF(E57-E30&gt;0,E57-E30,0)</f>
        <v>0</v>
      </c>
      <c r="G58" s="565"/>
      <c r="H58" s="563"/>
      <c r="I58" s="536"/>
    </row>
    <row r="59" spans="2:9" ht="15.75">
      <c r="B59" s="52"/>
      <c r="C59" s="440" t="s">
        <v>648</v>
      </c>
      <c r="D59" s="432">
        <f>inputOth!$E$40</f>
        <v>0</v>
      </c>
      <c r="E59" s="32">
        <f>ROUND(IF(D59&gt;0,(E58*D59),0),0)</f>
        <v>0</v>
      </c>
      <c r="G59" s="564">
        <f>C53</f>
        <v>0</v>
      </c>
      <c r="H59" s="563" t="str">
        <f>CONCATENATE("Less ",E1-2," Expenditures")</f>
        <v>Less 2012 Expenditures</v>
      </c>
      <c r="I59" s="536"/>
    </row>
    <row r="60" spans="2:9" ht="15.75">
      <c r="B60" s="14"/>
      <c r="C60" s="630" t="str">
        <f>CONCATENATE("Amount of  ",$E$1-1," Ad Valorem Tax")</f>
        <v>Amount of  2013 Ad Valorem Tax</v>
      </c>
      <c r="D60" s="631"/>
      <c r="E60" s="46">
        <f>E58+E59</f>
        <v>0</v>
      </c>
      <c r="G60" s="566">
        <f>G57-G59</f>
        <v>0</v>
      </c>
      <c r="H60" s="567" t="str">
        <f>CONCATENATE("Projected ",E1+1," carryover (est.)")</f>
        <v>Projected 2015 carryover (est.)</v>
      </c>
      <c r="I60" s="546"/>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G75"/>
  <sheetViews>
    <sheetView tabSelected="1" zoomScalePageLayoutView="0" workbookViewId="0" topLeftCell="B19">
      <selection activeCell="I38" activeCellId="1" sqref="O16 I3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LONDON TOWNSHIP</v>
      </c>
      <c r="C1" s="14"/>
      <c r="D1" s="14"/>
      <c r="E1" s="15">
        <f>inputPrYr!D5</f>
        <v>2014</v>
      </c>
    </row>
    <row r="2" spans="2:5" ht="15.75">
      <c r="B2" s="17"/>
      <c r="C2" s="14"/>
      <c r="D2" s="62"/>
      <c r="E2" s="63"/>
    </row>
    <row r="3" spans="2:5" ht="15.75">
      <c r="B3" s="583" t="s">
        <v>747</v>
      </c>
      <c r="C3" s="77"/>
      <c r="D3" s="77"/>
      <c r="E3" s="77"/>
    </row>
    <row r="4" spans="2:5" ht="15.75">
      <c r="B4" s="22" t="s">
        <v>10</v>
      </c>
      <c r="C4" s="416" t="s">
        <v>11</v>
      </c>
      <c r="D4" s="419" t="s">
        <v>12</v>
      </c>
      <c r="E4" s="23" t="s">
        <v>13</v>
      </c>
    </row>
    <row r="5" spans="2:5" ht="15.75">
      <c r="B5" s="437" t="str">
        <f>inputPrYr!B18</f>
        <v>Road</v>
      </c>
      <c r="C5" s="417" t="str">
        <f>' '!C5</f>
        <v>Actual 2012</v>
      </c>
      <c r="D5" s="417" t="str">
        <f>' '!D5</f>
        <v>Estimate 2013</v>
      </c>
      <c r="E5" s="26" t="str">
        <f>' '!E5</f>
        <v>Year 2014</v>
      </c>
    </row>
    <row r="6" spans="2:5" ht="15.75">
      <c r="B6" s="27" t="s">
        <v>122</v>
      </c>
      <c r="C6" s="29">
        <v>3999</v>
      </c>
      <c r="D6" s="418">
        <f>C44</f>
        <v>15996.649999999994</v>
      </c>
      <c r="E6" s="32">
        <f>D44</f>
        <v>15731.649999999994</v>
      </c>
    </row>
    <row r="7" spans="2:5" ht="15.75">
      <c r="B7" s="27" t="s">
        <v>124</v>
      </c>
      <c r="C7" s="418"/>
      <c r="D7" s="418"/>
      <c r="E7" s="33"/>
    </row>
    <row r="8" spans="2:5" ht="15.75">
      <c r="B8" s="27" t="s">
        <v>16</v>
      </c>
      <c r="C8" s="29">
        <v>154025</v>
      </c>
      <c r="D8" s="418">
        <f>inputPrYr!E18</f>
        <v>162348</v>
      </c>
      <c r="E8" s="33" t="s">
        <v>302</v>
      </c>
    </row>
    <row r="9" spans="2:5" ht="15.75">
      <c r="B9" s="27" t="s">
        <v>17</v>
      </c>
      <c r="C9" s="29">
        <f>2569.4+224.1</f>
        <v>2793.5</v>
      </c>
      <c r="D9" s="29"/>
      <c r="E9" s="34"/>
    </row>
    <row r="10" spans="2:5" ht="15.75">
      <c r="B10" s="27" t="s">
        <v>18</v>
      </c>
      <c r="C10" s="29">
        <v>16991.63</v>
      </c>
      <c r="D10" s="29">
        <v>23787</v>
      </c>
      <c r="E10" s="32">
        <f>mvalloc!G13</f>
        <v>23503</v>
      </c>
    </row>
    <row r="11" spans="2:5" ht="15.75">
      <c r="B11" s="27" t="s">
        <v>19</v>
      </c>
      <c r="C11" s="29">
        <v>344.86</v>
      </c>
      <c r="D11" s="29">
        <v>486</v>
      </c>
      <c r="E11" s="32">
        <f>mvalloc!I13</f>
        <v>320</v>
      </c>
    </row>
    <row r="12" spans="2:5" ht="15.75">
      <c r="B12" s="27" t="s">
        <v>103</v>
      </c>
      <c r="C12" s="29">
        <v>675</v>
      </c>
      <c r="D12" s="29">
        <v>745</v>
      </c>
      <c r="E12" s="32">
        <f>mvalloc!J13</f>
        <v>751</v>
      </c>
    </row>
    <row r="13" spans="2:5" ht="15.75">
      <c r="B13" s="27" t="s">
        <v>167</v>
      </c>
      <c r="C13" s="29"/>
      <c r="D13" s="29"/>
      <c r="E13" s="32">
        <f>mvalloc!K13</f>
        <v>0</v>
      </c>
    </row>
    <row r="14" spans="2:5" ht="15.75">
      <c r="B14" s="27" t="s">
        <v>104</v>
      </c>
      <c r="C14" s="29">
        <f>2911.05+921.61</f>
        <v>3832.6600000000003</v>
      </c>
      <c r="D14" s="29">
        <v>3110</v>
      </c>
      <c r="E14" s="32">
        <f>inputOth!E36</f>
        <v>3200</v>
      </c>
    </row>
    <row r="15" spans="2:7" ht="15.75">
      <c r="B15" s="38" t="s">
        <v>817</v>
      </c>
      <c r="C15" s="29">
        <v>1905</v>
      </c>
      <c r="D15" s="29"/>
      <c r="E15" s="34"/>
      <c r="G15" s="16" t="s">
        <v>290</v>
      </c>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224</v>
      </c>
      <c r="C21" s="29"/>
      <c r="D21" s="29"/>
      <c r="E21" s="34"/>
    </row>
    <row r="22" spans="2:5" ht="15.75">
      <c r="B22" s="39" t="s">
        <v>225</v>
      </c>
      <c r="C22" s="415">
        <f>IF(C23*0.1&lt;C21,"Exceed 10% Rule","")</f>
      </c>
      <c r="D22" s="415">
        <f>IF(D23*0.1&lt;D21,"Exceed 10% Rule","")</f>
      </c>
      <c r="E22" s="45">
        <f>IF(E23*0.1+E50&lt;E21,"Exceed 10% Rule","")</f>
      </c>
    </row>
    <row r="23" spans="2:5" ht="15.75">
      <c r="B23" s="41" t="s">
        <v>23</v>
      </c>
      <c r="C23" s="420">
        <f>SUM(C8:C21)</f>
        <v>180567.65</v>
      </c>
      <c r="D23" s="420">
        <f>SUM(D8:D21)</f>
        <v>190476</v>
      </c>
      <c r="E23" s="42">
        <f>SUM(E8:E21)</f>
        <v>27774</v>
      </c>
    </row>
    <row r="24" spans="2:5" ht="15.75">
      <c r="B24" s="43" t="s">
        <v>24</v>
      </c>
      <c r="C24" s="420">
        <f>C23+C6</f>
        <v>184566.65</v>
      </c>
      <c r="D24" s="420">
        <f>D23+D6</f>
        <v>206472.65</v>
      </c>
      <c r="E24" s="42">
        <f>E23+E6</f>
        <v>43505.649999999994</v>
      </c>
    </row>
    <row r="25" spans="2:5" ht="15.75">
      <c r="B25" s="27" t="s">
        <v>25</v>
      </c>
      <c r="C25" s="418"/>
      <c r="D25" s="418"/>
      <c r="E25" s="32"/>
    </row>
    <row r="26" spans="2:5" ht="15.75">
      <c r="B26" s="38" t="s">
        <v>105</v>
      </c>
      <c r="C26" s="29">
        <v>2040</v>
      </c>
      <c r="D26" s="29">
        <v>1440</v>
      </c>
      <c r="E26" s="34">
        <v>1440</v>
      </c>
    </row>
    <row r="27" spans="2:5" ht="15.75">
      <c r="B27" s="38" t="s">
        <v>818</v>
      </c>
      <c r="C27" s="29">
        <v>31036</v>
      </c>
      <c r="D27" s="29">
        <v>29156</v>
      </c>
      <c r="E27" s="34">
        <v>30790</v>
      </c>
    </row>
    <row r="28" spans="2:5" ht="15.75">
      <c r="B28" s="37" t="s">
        <v>106</v>
      </c>
      <c r="C28" s="29"/>
      <c r="D28" s="29">
        <v>4800</v>
      </c>
      <c r="E28" s="34">
        <v>4800</v>
      </c>
    </row>
    <row r="29" spans="2:5" ht="15.75">
      <c r="B29" s="38" t="s">
        <v>131</v>
      </c>
      <c r="C29" s="29">
        <v>13080</v>
      </c>
      <c r="D29" s="29">
        <v>37082</v>
      </c>
      <c r="E29" s="34">
        <v>37082</v>
      </c>
    </row>
    <row r="30" spans="2:5" ht="15.75">
      <c r="B30" s="38" t="s">
        <v>109</v>
      </c>
      <c r="C30" s="29">
        <v>72320</v>
      </c>
      <c r="D30" s="29">
        <v>51524</v>
      </c>
      <c r="E30" s="34">
        <v>61759</v>
      </c>
    </row>
    <row r="31" spans="2:5" ht="15.75">
      <c r="B31" s="38" t="s">
        <v>107</v>
      </c>
      <c r="C31" s="29">
        <v>42681</v>
      </c>
      <c r="D31" s="29">
        <v>61305</v>
      </c>
      <c r="E31" s="34">
        <v>61305</v>
      </c>
    </row>
    <row r="32" spans="2:5" ht="15.75">
      <c r="B32" s="38" t="s">
        <v>132</v>
      </c>
      <c r="C32" s="29">
        <v>5941</v>
      </c>
      <c r="D32" s="29">
        <v>3005</v>
      </c>
      <c r="E32" s="34">
        <v>3005</v>
      </c>
    </row>
    <row r="33" spans="2:5" ht="15.75">
      <c r="B33" s="38" t="s">
        <v>813</v>
      </c>
      <c r="C33" s="29"/>
      <c r="D33" s="29"/>
      <c r="E33" s="34"/>
    </row>
    <row r="34" spans="2:5" ht="15.75">
      <c r="B34" s="37" t="s">
        <v>814</v>
      </c>
      <c r="C34" s="29">
        <v>350</v>
      </c>
      <c r="D34" s="29"/>
      <c r="E34" s="34"/>
    </row>
    <row r="35" spans="2:5" ht="15.75">
      <c r="B35" s="37" t="s">
        <v>812</v>
      </c>
      <c r="C35" s="29">
        <v>122</v>
      </c>
      <c r="D35" s="29"/>
      <c r="E35" s="34"/>
    </row>
    <row r="36" spans="2:5" ht="15.75">
      <c r="B36" s="38" t="s">
        <v>819</v>
      </c>
      <c r="C36" s="29">
        <v>1000</v>
      </c>
      <c r="D36" s="29"/>
      <c r="E36" s="34"/>
    </row>
    <row r="37" spans="2:5" ht="15.75">
      <c r="B37" s="38"/>
      <c r="C37" s="29"/>
      <c r="D37" s="29"/>
      <c r="E37" s="34" t="s">
        <v>290</v>
      </c>
    </row>
    <row r="38" spans="2:5" ht="15.75">
      <c r="B38" s="27" t="s">
        <v>108</v>
      </c>
      <c r="C38" s="29"/>
      <c r="D38" s="29"/>
      <c r="E38" s="34"/>
    </row>
    <row r="39" spans="2:5" ht="15.75">
      <c r="B39" s="27" t="s">
        <v>649</v>
      </c>
      <c r="C39" s="426">
        <f>IF(C24*0.25&lt;C38,"Not Authorized","")</f>
      </c>
      <c r="D39" s="426">
        <f>IF(D24*0.25&lt;D38,"Not Authorized","")</f>
      </c>
      <c r="E39" s="78">
        <f>IF(E24*0.25+E50&lt;E38,"Not Authorized","")</f>
      </c>
    </row>
    <row r="40" spans="2:5" ht="15.75">
      <c r="B40" s="35" t="s">
        <v>226</v>
      </c>
      <c r="C40" s="29"/>
      <c r="D40" s="29">
        <v>2429</v>
      </c>
      <c r="E40" s="46">
        <f>nhood!E8</f>
        <v>795</v>
      </c>
    </row>
    <row r="41" spans="2:5" ht="15.75">
      <c r="B41" s="35" t="s">
        <v>224</v>
      </c>
      <c r="C41" s="29"/>
      <c r="D41" s="29"/>
      <c r="E41" s="34"/>
    </row>
    <row r="42" spans="2:5" ht="15.75">
      <c r="B42" s="35" t="s">
        <v>645</v>
      </c>
      <c r="C42" s="415">
        <f>IF(C43*0.1&lt;C41,"Exceed 10% Rule","")</f>
      </c>
      <c r="D42" s="415">
        <f>IF(D43*0.1&lt;D41,"Exceed 10% Rule","")</f>
      </c>
      <c r="E42" s="45">
        <f>IF(E43*0.1&lt;E41,"Exceed 10% Rule","")</f>
      </c>
    </row>
    <row r="43" spans="2:5" ht="15.75">
      <c r="B43" s="43" t="s">
        <v>26</v>
      </c>
      <c r="C43" s="420">
        <f>SUM(C26:C38,C40:C41)</f>
        <v>168570</v>
      </c>
      <c r="D43" s="420">
        <f>SUM(D26:D38,D40:D41)</f>
        <v>190741</v>
      </c>
      <c r="E43" s="42">
        <f>SUM(E26:E38,E40:E41)</f>
        <v>200976</v>
      </c>
    </row>
    <row r="44" spans="2:5" ht="15.75">
      <c r="B44" s="27" t="s">
        <v>123</v>
      </c>
      <c r="C44" s="413">
        <f>C24-C43</f>
        <v>15996.649999999994</v>
      </c>
      <c r="D44" s="413">
        <f>D24-D43</f>
        <v>15731.649999999994</v>
      </c>
      <c r="E44" s="33" t="s">
        <v>302</v>
      </c>
    </row>
    <row r="45" spans="2:6" ht="15.75">
      <c r="B45" s="48" t="str">
        <f>CONCATENATE("",E1-2,"/",E1-1," Budget Authority Amount:")</f>
        <v>2012/2013 Budget Authority Amount:</v>
      </c>
      <c r="C45" s="143">
        <v>190231</v>
      </c>
      <c r="D45" s="172">
        <f>inputPrYr!D18</f>
        <v>190741</v>
      </c>
      <c r="E45" s="33" t="s">
        <v>302</v>
      </c>
      <c r="F45" s="50"/>
    </row>
    <row r="46" spans="2:6" ht="15.75">
      <c r="B46" s="48"/>
      <c r="C46" s="632" t="s">
        <v>646</v>
      </c>
      <c r="D46" s="633"/>
      <c r="E46" s="34"/>
      <c r="F46" s="533">
        <f>IF(E43/0.95-E43&lt;E46,"Exceeds 5%","")</f>
      </c>
    </row>
    <row r="47" spans="2:5" ht="15.75">
      <c r="B47" s="436" t="str">
        <f>CONCATENATE(C74,"     ",D74)</f>
        <v>     </v>
      </c>
      <c r="C47" s="634" t="s">
        <v>647</v>
      </c>
      <c r="D47" s="635"/>
      <c r="E47" s="32">
        <f>E43+E46</f>
        <v>200976</v>
      </c>
    </row>
    <row r="48" spans="2:5" ht="15.75">
      <c r="B48" s="436" t="str">
        <f>CONCATENATE(C75,"     ",D75)</f>
        <v>     </v>
      </c>
      <c r="C48" s="60"/>
      <c r="D48" s="52" t="s">
        <v>28</v>
      </c>
      <c r="E48" s="46">
        <f>IF(E47-E24&gt;0,E47-E24,0)</f>
        <v>157470.35</v>
      </c>
    </row>
    <row r="49" spans="2:5" ht="15.75">
      <c r="B49" s="52"/>
      <c r="C49" s="440" t="s">
        <v>648</v>
      </c>
      <c r="D49" s="432">
        <f>inputOth!$E$40</f>
        <v>0</v>
      </c>
      <c r="E49" s="32">
        <f>ROUND(IF(D49&gt;0,(E48*D49),0),0)</f>
        <v>0</v>
      </c>
    </row>
    <row r="50" spans="2:5" ht="15.75">
      <c r="B50" s="14"/>
      <c r="C50" s="630" t="str">
        <f>CONCATENATE("Amount of  ",$E$1-1," Ad Valorem Tax")</f>
        <v>Amount of  2013 Ad Valorem Tax</v>
      </c>
      <c r="D50" s="631"/>
      <c r="E50" s="46">
        <f>E48+E49</f>
        <v>157470.35</v>
      </c>
    </row>
    <row r="51" spans="2:5" ht="15.75">
      <c r="B51" s="14"/>
      <c r="C51" s="14"/>
      <c r="D51" s="14"/>
      <c r="E51" s="14"/>
    </row>
    <row r="52" spans="2:5" ht="15.75">
      <c r="B52" s="14"/>
      <c r="C52" s="14"/>
      <c r="D52" s="14"/>
      <c r="E52" s="14"/>
    </row>
    <row r="53" spans="2:5" ht="15.75">
      <c r="B53" s="79" t="s">
        <v>30</v>
      </c>
      <c r="C53" s="81"/>
      <c r="D53" s="14"/>
      <c r="E53" s="14"/>
    </row>
    <row r="54" spans="2:5" ht="15.75">
      <c r="B54" s="82" t="s">
        <v>31</v>
      </c>
      <c r="C54" s="441" t="str">
        <f>CONCATENATE("",E1-2," Actual Year")</f>
        <v>2012 Actual Year</v>
      </c>
      <c r="D54" s="14"/>
      <c r="E54" s="14"/>
    </row>
    <row r="55" spans="2:5" ht="15.75">
      <c r="B55" s="83" t="s">
        <v>14</v>
      </c>
      <c r="C55" s="580">
        <v>3860</v>
      </c>
      <c r="D55" s="14"/>
      <c r="E55" s="14"/>
    </row>
    <row r="56" spans="2:5" ht="15.75">
      <c r="B56" s="83" t="s">
        <v>33</v>
      </c>
      <c r="C56" s="143"/>
      <c r="D56" s="14"/>
      <c r="E56" s="14"/>
    </row>
    <row r="57" spans="2:5" ht="15.75">
      <c r="B57" s="83" t="s">
        <v>34</v>
      </c>
      <c r="C57" s="439">
        <f>C38</f>
        <v>0</v>
      </c>
      <c r="D57" s="85"/>
      <c r="E57" s="14"/>
    </row>
    <row r="58" spans="2:5" ht="15.75">
      <c r="B58" s="83" t="s">
        <v>259</v>
      </c>
      <c r="C58" s="439">
        <f>' '!C43</f>
        <v>0</v>
      </c>
      <c r="D58" s="642">
        <f>IF(AND(C58&gt;0,C59&gt;0),"Not Auth. Two General Transfers - Only One","")</f>
      </c>
      <c r="E58" s="643"/>
    </row>
    <row r="59" spans="2:5" ht="15.75">
      <c r="B59" s="86" t="s">
        <v>260</v>
      </c>
      <c r="C59" s="439">
        <f>' '!C45</f>
        <v>0</v>
      </c>
      <c r="D59" s="644"/>
      <c r="E59" s="643"/>
    </row>
    <row r="60" spans="2:5" ht="15.75">
      <c r="B60" s="87"/>
      <c r="C60" s="580"/>
      <c r="D60" s="14"/>
      <c r="E60" s="14"/>
    </row>
    <row r="61" spans="2:5" ht="15.75">
      <c r="B61" s="87" t="s">
        <v>22</v>
      </c>
      <c r="C61" s="580"/>
      <c r="D61" s="14"/>
      <c r="E61" s="14"/>
    </row>
    <row r="62" spans="2:5" ht="15.75">
      <c r="B62" s="87" t="s">
        <v>820</v>
      </c>
      <c r="C62" s="580">
        <v>11148</v>
      </c>
      <c r="D62" s="14"/>
      <c r="E62" s="14"/>
    </row>
    <row r="63" spans="2:5" ht="15.75">
      <c r="B63" s="88" t="s">
        <v>24</v>
      </c>
      <c r="C63" s="143">
        <f>SUM(C55:C62)</f>
        <v>15008</v>
      </c>
      <c r="D63" s="14"/>
      <c r="E63" s="14"/>
    </row>
    <row r="64" spans="2:5" ht="15.75">
      <c r="B64" s="88" t="s">
        <v>26</v>
      </c>
      <c r="C64" s="580">
        <v>248</v>
      </c>
      <c r="D64" s="14"/>
      <c r="E64" s="14"/>
    </row>
    <row r="65" spans="2:5" ht="15.75">
      <c r="B65" s="88" t="s">
        <v>27</v>
      </c>
      <c r="C65" s="438">
        <f>SUM(C63-C64)</f>
        <v>14760</v>
      </c>
      <c r="D65" s="14"/>
      <c r="E65" s="14"/>
    </row>
    <row r="66" spans="2:5" ht="15.75">
      <c r="B66" s="14"/>
      <c r="C66" s="14"/>
      <c r="D66" s="14"/>
      <c r="E66" s="14"/>
    </row>
    <row r="67" spans="2:5" ht="15.75">
      <c r="B67" s="52" t="s">
        <v>9</v>
      </c>
      <c r="C67" s="581">
        <v>4</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mergeCells count="4">
    <mergeCell ref="C50:D50"/>
    <mergeCell ref="C46:D46"/>
    <mergeCell ref="C47:D47"/>
    <mergeCell ref="D58:E59"/>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LONDON TOWNSHIP</v>
      </c>
      <c r="C1" s="22" t="s">
        <v>35</v>
      </c>
      <c r="D1" s="14"/>
      <c r="E1" s="15">
        <f>inputPrYr!D5</f>
        <v>2014</v>
      </c>
    </row>
    <row r="2" spans="2:5" ht="15.75">
      <c r="B2" s="17"/>
      <c r="C2" s="14"/>
      <c r="D2" s="14"/>
      <c r="E2" s="89"/>
    </row>
    <row r="3" spans="2:5" ht="15.75">
      <c r="B3" s="583" t="s">
        <v>747</v>
      </c>
      <c r="C3" s="77"/>
      <c r="D3" s="77"/>
      <c r="E3" s="14"/>
    </row>
    <row r="4" spans="2:5" ht="15.75">
      <c r="B4" s="22" t="s">
        <v>10</v>
      </c>
      <c r="C4" s="416" t="s">
        <v>11</v>
      </c>
      <c r="D4" s="419" t="s">
        <v>12</v>
      </c>
      <c r="E4" s="23" t="s">
        <v>13</v>
      </c>
    </row>
    <row r="5" spans="2:5" ht="15.75">
      <c r="B5" s="437">
        <f>inputPrYr!B19</f>
        <v>0</v>
      </c>
      <c r="C5" s="417" t="str">
        <f>' '!C5</f>
        <v>Actual 2012</v>
      </c>
      <c r="D5" s="417" t="str">
        <f>' '!D5</f>
        <v>Estimate 2013</v>
      </c>
      <c r="E5" s="26" t="str">
        <f>' '!E5</f>
        <v>Year 2014</v>
      </c>
    </row>
    <row r="6" spans="2:5" ht="15.75">
      <c r="B6" s="27" t="s">
        <v>122</v>
      </c>
      <c r="C6" s="29"/>
      <c r="D6" s="418">
        <f>C33</f>
        <v>0</v>
      </c>
      <c r="E6" s="32">
        <f>D33</f>
        <v>0</v>
      </c>
    </row>
    <row r="7" spans="2:5" ht="15.75">
      <c r="B7" s="27" t="s">
        <v>124</v>
      </c>
      <c r="C7" s="418"/>
      <c r="D7" s="418"/>
      <c r="E7" s="33"/>
    </row>
    <row r="8" spans="2:5" ht="15.75">
      <c r="B8" s="27" t="s">
        <v>16</v>
      </c>
      <c r="C8" s="29"/>
      <c r="D8" s="418">
        <f>inputPrYr!E19</f>
        <v>0</v>
      </c>
      <c r="E8" s="33" t="s">
        <v>302</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167</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nhood!E9</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2012/2013 Budget Authority Amount:</v>
      </c>
      <c r="C34" s="143">
        <f>inputOth!B49</f>
        <v>0</v>
      </c>
      <c r="D34" s="172">
        <f>inputPrYr!D19</f>
        <v>0</v>
      </c>
      <c r="E34" s="33" t="s">
        <v>302</v>
      </c>
      <c r="F34" s="50"/>
    </row>
    <row r="35" spans="2:6" ht="15.75">
      <c r="B35" s="48"/>
      <c r="C35" s="632" t="s">
        <v>646</v>
      </c>
      <c r="D35" s="633"/>
      <c r="E35" s="34"/>
      <c r="F35" s="50">
        <f>IF(E32/0.95-E32&lt;E35,"Exceeds 5%","")</f>
      </c>
    </row>
    <row r="36" spans="2:5" ht="15.75">
      <c r="B36" s="436" t="str">
        <f>CONCATENATE(C88,"     ",D88)</f>
        <v>     </v>
      </c>
      <c r="C36" s="634" t="s">
        <v>647</v>
      </c>
      <c r="D36" s="635"/>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30" t="str">
        <f>CONCATENATE("Amount of  ",$E$1-1," Ad Valorem Tax")</f>
        <v>Amount of  2013 Ad Valorem Tax</v>
      </c>
      <c r="D39" s="631"/>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inputPrYr!E20</f>
        <v>0</v>
      </c>
      <c r="E45" s="33" t="s">
        <v>302</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167</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nhood!E10</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2012/2013 Budget Authority Amount:</v>
      </c>
      <c r="C71" s="143">
        <f>inputOth!B50</f>
        <v>0</v>
      </c>
      <c r="D71" s="172">
        <f>inputPrYr!D20</f>
        <v>0</v>
      </c>
      <c r="E71" s="33" t="s">
        <v>302</v>
      </c>
      <c r="F71" s="50"/>
    </row>
    <row r="72" spans="2:6" ht="15.75">
      <c r="B72" s="48"/>
      <c r="C72" s="632" t="s">
        <v>646</v>
      </c>
      <c r="D72" s="633"/>
      <c r="E72" s="34"/>
      <c r="F72" s="50">
        <f>IF(E69/0.95-E69&lt;E72,"Exceeds 5%","")</f>
      </c>
    </row>
    <row r="73" spans="2:5" ht="15.75">
      <c r="B73" s="436" t="str">
        <f>CONCATENATE(C90,"     ",D90)</f>
        <v>     </v>
      </c>
      <c r="C73" s="634" t="s">
        <v>647</v>
      </c>
      <c r="D73" s="635"/>
      <c r="E73" s="32">
        <f>E69+E72</f>
        <v>0</v>
      </c>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30" t="str">
        <f>CONCATENATE("Amount of  ",$E$1-1," Ad Valorem Tax")</f>
        <v>Amount of  2013 Ad Valorem Tax</v>
      </c>
      <c r="D76" s="631"/>
      <c r="E76" s="46">
        <f>E74+E75</f>
        <v>0</v>
      </c>
    </row>
    <row r="77" spans="2:5" ht="15.75">
      <c r="B77" s="52" t="s">
        <v>9</v>
      </c>
      <c r="C77" s="58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LONDON TOWNSHIP</v>
      </c>
      <c r="C1" s="14"/>
      <c r="D1" s="14"/>
      <c r="E1" s="15">
        <f>inputPrYr!D5</f>
        <v>2014</v>
      </c>
    </row>
    <row r="2" spans="2:5" ht="15.75">
      <c r="B2" s="17"/>
      <c r="C2" s="14"/>
      <c r="D2" s="62"/>
      <c r="E2" s="93"/>
    </row>
    <row r="3" spans="2:5" ht="15.75">
      <c r="B3" s="583" t="s">
        <v>747</v>
      </c>
      <c r="C3" s="77"/>
      <c r="D3" s="77"/>
      <c r="E3" s="77"/>
    </row>
    <row r="4" spans="2:5" ht="15.75">
      <c r="B4" s="22" t="s">
        <v>10</v>
      </c>
      <c r="C4" s="416" t="s">
        <v>11</v>
      </c>
      <c r="D4" s="419" t="s">
        <v>12</v>
      </c>
      <c r="E4" s="23" t="s">
        <v>13</v>
      </c>
    </row>
    <row r="5" spans="2:5" ht="15.75">
      <c r="B5" s="437">
        <f>inputPrYr!B21</f>
        <v>0</v>
      </c>
      <c r="C5" s="417" t="str">
        <f>' '!C5</f>
        <v>Actual 2012</v>
      </c>
      <c r="D5" s="417" t="str">
        <f>' '!D5</f>
        <v>Estimate 2013</v>
      </c>
      <c r="E5" s="26" t="str">
        <f>' '!E5</f>
        <v>Year 2014</v>
      </c>
    </row>
    <row r="6" spans="2:5" ht="15.75">
      <c r="B6" s="27" t="s">
        <v>122</v>
      </c>
      <c r="C6" s="29"/>
      <c r="D6" s="418">
        <f>C33</f>
        <v>0</v>
      </c>
      <c r="E6" s="32">
        <f>D33</f>
        <v>0</v>
      </c>
    </row>
    <row r="7" spans="2:5" ht="15.75">
      <c r="B7" s="27" t="s">
        <v>124</v>
      </c>
      <c r="C7" s="418"/>
      <c r="D7" s="418"/>
      <c r="E7" s="33"/>
    </row>
    <row r="8" spans="2:5" ht="15.75">
      <c r="B8" s="27" t="s">
        <v>16</v>
      </c>
      <c r="C8" s="29"/>
      <c r="D8" s="418">
        <f>inputPrYr!E21</f>
        <v>0</v>
      </c>
      <c r="E8" s="33" t="s">
        <v>302</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167</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nhood!E11</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2012/2013 Budget Authority Amount:</v>
      </c>
      <c r="C34" s="143">
        <f>inputOth!B51</f>
        <v>0</v>
      </c>
      <c r="D34" s="172">
        <f>inputPrYr!D21</f>
        <v>0</v>
      </c>
      <c r="E34" s="33" t="s">
        <v>302</v>
      </c>
      <c r="F34" s="50"/>
    </row>
    <row r="35" spans="2:6" ht="15.75">
      <c r="B35" s="48"/>
      <c r="C35" s="632" t="s">
        <v>646</v>
      </c>
      <c r="D35" s="633"/>
      <c r="E35" s="34"/>
      <c r="F35" s="50">
        <f>IF(E32/0.95-E32&lt;E35,"Exceeds 5%","")</f>
      </c>
    </row>
    <row r="36" spans="2:5" ht="15.75">
      <c r="B36" s="436" t="str">
        <f>CONCATENATE(C88,"     ",D88)</f>
        <v>     </v>
      </c>
      <c r="C36" s="634" t="s">
        <v>647</v>
      </c>
      <c r="D36" s="635"/>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30" t="str">
        <f>CONCATENATE("Amount of  ",$E$1-1," Ad Valorem Tax")</f>
        <v>Amount of  2013 Ad Valorem Tax</v>
      </c>
      <c r="D39" s="631"/>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inputPrYr!E22</f>
        <v>0</v>
      </c>
      <c r="E45" s="33" t="s">
        <v>302</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167</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nhood!E12</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2012/2013 Budget Authority Amount:</v>
      </c>
      <c r="C71" s="143">
        <f>inputOth!B52</f>
        <v>0</v>
      </c>
      <c r="D71" s="172">
        <f>inputPrYr!D22</f>
        <v>0</v>
      </c>
      <c r="E71" s="33" t="s">
        <v>302</v>
      </c>
      <c r="F71" s="50"/>
    </row>
    <row r="72" spans="2:6" ht="15.75">
      <c r="B72" s="48"/>
      <c r="C72" s="632" t="s">
        <v>646</v>
      </c>
      <c r="D72" s="633"/>
      <c r="E72" s="582"/>
      <c r="F72" s="50">
        <f>IF(E69/0.95-E69&lt;E72,"Exceeds 5%","")</f>
      </c>
    </row>
    <row r="73" spans="2:6" ht="15.75">
      <c r="B73" s="436" t="str">
        <f>CONCATENATE(C90,"     ",D90)</f>
        <v>     </v>
      </c>
      <c r="C73" s="634" t="s">
        <v>647</v>
      </c>
      <c r="D73" s="635"/>
      <c r="E73" s="32">
        <f>E69+E72</f>
        <v>0</v>
      </c>
      <c r="F73" s="50"/>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30" t="str">
        <f>CONCATENATE("Amount of  ",$E$1-1," Ad Valorem Tax")</f>
        <v>Amount of  2013 Ad Valorem Tax</v>
      </c>
      <c r="D76" s="631"/>
      <c r="E76" s="46">
        <f>E74+E75</f>
        <v>0</v>
      </c>
    </row>
    <row r="77" spans="2:5" ht="15.75">
      <c r="B77" s="52" t="s">
        <v>9</v>
      </c>
      <c r="C77" s="58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LONDON TOWNSHIP</v>
      </c>
      <c r="C1" s="14"/>
      <c r="D1" s="14"/>
      <c r="E1" s="15">
        <f>inputPrYr!D5</f>
        <v>2014</v>
      </c>
    </row>
    <row r="2" spans="2:5" ht="15.75">
      <c r="B2" s="17"/>
      <c r="C2" s="14"/>
      <c r="D2" s="62"/>
      <c r="E2" s="63"/>
    </row>
    <row r="3" spans="2:5" ht="15.75">
      <c r="B3" s="583" t="s">
        <v>747</v>
      </c>
      <c r="C3" s="77"/>
      <c r="D3" s="77"/>
      <c r="E3" s="77"/>
    </row>
    <row r="4" spans="2:5" ht="15.75">
      <c r="B4" s="22" t="s">
        <v>10</v>
      </c>
      <c r="C4" s="416" t="s">
        <v>11</v>
      </c>
      <c r="D4" s="419" t="s">
        <v>12</v>
      </c>
      <c r="E4" s="23" t="s">
        <v>13</v>
      </c>
    </row>
    <row r="5" spans="2:5" ht="15.75">
      <c r="B5" s="437">
        <f>inputPrYr!B23</f>
        <v>0</v>
      </c>
      <c r="C5" s="417" t="str">
        <f>' '!C5</f>
        <v>Actual 2012</v>
      </c>
      <c r="D5" s="417" t="str">
        <f>' '!D5</f>
        <v>Estimate 2013</v>
      </c>
      <c r="E5" s="26" t="str">
        <f>' '!E5</f>
        <v>Year 2014</v>
      </c>
    </row>
    <row r="6" spans="2:5" ht="15.75">
      <c r="B6" s="27" t="s">
        <v>122</v>
      </c>
      <c r="C6" s="29"/>
      <c r="D6" s="418">
        <f>C33</f>
        <v>0</v>
      </c>
      <c r="E6" s="32">
        <f>D33</f>
        <v>0</v>
      </c>
    </row>
    <row r="7" spans="2:5" ht="15.75">
      <c r="B7" s="27" t="s">
        <v>124</v>
      </c>
      <c r="C7" s="418"/>
      <c r="D7" s="418"/>
      <c r="E7" s="33"/>
    </row>
    <row r="8" spans="2:5" ht="15.75">
      <c r="B8" s="27" t="s">
        <v>16</v>
      </c>
      <c r="C8" s="29"/>
      <c r="D8" s="418">
        <f>inputPrYr!E23</f>
        <v>0</v>
      </c>
      <c r="E8" s="33" t="s">
        <v>302</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167</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226</v>
      </c>
      <c r="C29" s="29"/>
      <c r="D29" s="29"/>
      <c r="E29" s="46">
        <f>nhood!E13</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2012/2013 Budget Authority Amount:</v>
      </c>
      <c r="C34" s="143">
        <f>inputOth!B53</f>
        <v>0</v>
      </c>
      <c r="D34" s="172">
        <f>inputPrYr!D23</f>
        <v>0</v>
      </c>
      <c r="E34" s="33" t="s">
        <v>302</v>
      </c>
      <c r="F34" s="50"/>
    </row>
    <row r="35" spans="2:6" ht="15.75">
      <c r="B35" s="48"/>
      <c r="C35" s="632" t="s">
        <v>646</v>
      </c>
      <c r="D35" s="633"/>
      <c r="E35" s="34"/>
      <c r="F35" s="50">
        <f>IF(E32/0.95-E32&lt;E35,"Exceeds 5%","")</f>
      </c>
    </row>
    <row r="36" spans="2:5" ht="15.75">
      <c r="B36" s="436" t="str">
        <f>CONCATENATE(C88,"     ",D88)</f>
        <v>     </v>
      </c>
      <c r="C36" s="634" t="s">
        <v>647</v>
      </c>
      <c r="D36" s="635"/>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30" t="str">
        <f>CONCATENATE("Amount of  ",$E$1-1," Ad Valorem Tax")</f>
        <v>Amount of  2013 Ad Valorem Tax</v>
      </c>
      <c r="D39" s="631"/>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inputPrYr!E24</f>
        <v>0</v>
      </c>
      <c r="E45" s="33" t="s">
        <v>302</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167</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nhood!E14</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2012/2013 Budget Authority Amount:</v>
      </c>
      <c r="C71" s="143">
        <f>inputOth!B54</f>
        <v>0</v>
      </c>
      <c r="D71" s="172">
        <f>inputPrYr!D24</f>
        <v>0</v>
      </c>
      <c r="E71" s="33" t="s">
        <v>302</v>
      </c>
      <c r="F71" s="50"/>
    </row>
    <row r="72" spans="2:6" ht="15.75">
      <c r="B72" s="48"/>
      <c r="C72" s="632" t="s">
        <v>646</v>
      </c>
      <c r="D72" s="633"/>
      <c r="E72" s="34"/>
      <c r="F72" s="50">
        <f>IF(E69/0.95-E69&lt;E72,"Exceeds 5%","")</f>
      </c>
    </row>
    <row r="73" spans="2:5" ht="15.75">
      <c r="B73" s="48"/>
      <c r="C73" s="634" t="s">
        <v>647</v>
      </c>
      <c r="D73" s="635"/>
      <c r="E73" s="32">
        <f>E69+E72</f>
        <v>0</v>
      </c>
    </row>
    <row r="74" spans="2:5" ht="15.75">
      <c r="B74" s="48"/>
      <c r="C74" s="60"/>
      <c r="D74" s="52" t="s">
        <v>28</v>
      </c>
      <c r="E74" s="46">
        <f>IF(E73-E58&gt;0,E73-E58,0)</f>
        <v>0</v>
      </c>
    </row>
    <row r="75" spans="2:5" ht="15.75">
      <c r="B75" s="52"/>
      <c r="C75" s="440" t="s">
        <v>648</v>
      </c>
      <c r="D75" s="432">
        <f>inputOth!$E$40</f>
        <v>0</v>
      </c>
      <c r="E75" s="32">
        <f>ROUND(IF(D75&gt;0,(E74*D75),0),0)</f>
        <v>0</v>
      </c>
    </row>
    <row r="76" spans="2:5" ht="15.75">
      <c r="B76" s="14"/>
      <c r="C76" s="630" t="str">
        <f>CONCATENATE("Amount of  ",$E$1-1," Ad Valorem Tax")</f>
        <v>Amount of  2013 Ad Valorem Tax</v>
      </c>
      <c r="D76" s="631"/>
      <c r="E76" s="46">
        <f>E74+E75</f>
        <v>0</v>
      </c>
    </row>
    <row r="77" spans="2:5" ht="15.75">
      <c r="B77" s="52" t="s">
        <v>9</v>
      </c>
      <c r="C77" s="58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LONDON TOWNSHIP</v>
      </c>
      <c r="C1" s="14"/>
      <c r="D1" s="14"/>
      <c r="E1" s="15">
        <f>inputPrYr!D5</f>
        <v>2014</v>
      </c>
    </row>
    <row r="2" spans="2:5" ht="15.75">
      <c r="B2" s="14"/>
      <c r="C2" s="14"/>
      <c r="D2" s="14"/>
      <c r="E2" s="52"/>
    </row>
    <row r="3" spans="2:5" ht="15.75">
      <c r="B3" s="17" t="s">
        <v>147</v>
      </c>
      <c r="C3" s="77"/>
      <c r="D3" s="77"/>
      <c r="E3" s="77"/>
    </row>
    <row r="4" spans="2:5" ht="15.75">
      <c r="B4" s="22" t="s">
        <v>10</v>
      </c>
      <c r="C4" s="80" t="s">
        <v>11</v>
      </c>
      <c r="D4" s="23" t="s">
        <v>12</v>
      </c>
      <c r="E4" s="23" t="s">
        <v>13</v>
      </c>
    </row>
    <row r="5" spans="2:5" ht="15.75">
      <c r="B5" s="437">
        <f>inputPrYr!B28</f>
        <v>0</v>
      </c>
      <c r="C5" s="26" t="str">
        <f>' '!C5</f>
        <v>Actual 2012</v>
      </c>
      <c r="D5" s="26" t="str">
        <f>' '!D5</f>
        <v>Estimate 2013</v>
      </c>
      <c r="E5" s="26" t="str">
        <f>' '!E5</f>
        <v>Year 2014</v>
      </c>
    </row>
    <row r="6" spans="2:5" ht="15.75">
      <c r="B6" s="94" t="s">
        <v>148</v>
      </c>
      <c r="C6" s="34"/>
      <c r="D6" s="32">
        <f>C29</f>
        <v>0</v>
      </c>
      <c r="E6" s="32">
        <f>D29</f>
        <v>0</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224</v>
      </c>
      <c r="C13" s="34"/>
      <c r="D13" s="30"/>
      <c r="E13" s="30"/>
    </row>
    <row r="14" spans="2:5" ht="15.75">
      <c r="B14" s="39" t="s">
        <v>225</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224</v>
      </c>
      <c r="C26" s="34"/>
      <c r="D26" s="30"/>
      <c r="E26" s="30"/>
    </row>
    <row r="27" spans="2:5" ht="15.75">
      <c r="B27" s="35" t="s">
        <v>645</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0</v>
      </c>
      <c r="D29" s="46">
        <f>D16-D28</f>
        <v>0</v>
      </c>
      <c r="E29" s="46">
        <f>E16-E28</f>
        <v>0</v>
      </c>
    </row>
    <row r="30" spans="2:5" ht="15.75">
      <c r="B30" s="48" t="str">
        <f>CONCATENATE("",E1-2,"/",E1-1," Budget Authority Amount:")</f>
        <v>2012/2013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2012</v>
      </c>
      <c r="D36" s="26" t="str">
        <f>D5</f>
        <v>Estimate 2013</v>
      </c>
      <c r="E36" s="26" t="str">
        <f>E5</f>
        <v>Year 2014</v>
      </c>
    </row>
    <row r="37" spans="2:5" ht="15.75">
      <c r="B37" s="94" t="s">
        <v>148</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224</v>
      </c>
      <c r="C44" s="34"/>
      <c r="D44" s="30"/>
      <c r="E44" s="30"/>
    </row>
    <row r="45" spans="2:5" ht="15.75">
      <c r="B45" s="39" t="s">
        <v>225</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224</v>
      </c>
      <c r="C57" s="34"/>
      <c r="D57" s="30"/>
      <c r="E57" s="30"/>
    </row>
    <row r="58" spans="2:5" ht="15.75">
      <c r="B58" s="35" t="s">
        <v>645</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2012/2013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LONDON TOWNSHIP</v>
      </c>
      <c r="B1" s="100"/>
      <c r="C1" s="101"/>
      <c r="D1" s="101"/>
      <c r="E1" s="101"/>
      <c r="F1" s="102" t="s">
        <v>338</v>
      </c>
      <c r="G1" s="101"/>
      <c r="H1" s="101"/>
      <c r="I1" s="101"/>
      <c r="J1" s="101"/>
      <c r="K1" s="101">
        <f>inputPrYr!$D$5</f>
        <v>2014</v>
      </c>
    </row>
    <row r="2" spans="1:11" ht="15.75">
      <c r="A2" s="101"/>
      <c r="B2" s="101"/>
      <c r="C2" s="101"/>
      <c r="D2" s="101"/>
      <c r="E2" s="101"/>
      <c r="F2" s="103" t="str">
        <f>CONCATENATE("(Only the actual budget year for ",K1-2," is to be shown)")</f>
        <v>(Only the actual budget year for 2012 is to be shown)</v>
      </c>
      <c r="G2" s="101"/>
      <c r="H2" s="101"/>
      <c r="I2" s="101"/>
      <c r="J2" s="101"/>
      <c r="K2" s="101"/>
    </row>
    <row r="3" spans="1:11" ht="15.75">
      <c r="A3" s="101" t="s">
        <v>339</v>
      </c>
      <c r="B3" s="101"/>
      <c r="C3" s="101"/>
      <c r="D3" s="101"/>
      <c r="E3" s="101"/>
      <c r="F3" s="100"/>
      <c r="G3" s="101"/>
      <c r="H3" s="101"/>
      <c r="I3" s="101"/>
      <c r="J3" s="101"/>
      <c r="K3" s="101"/>
    </row>
    <row r="4" spans="1:11" ht="15.75">
      <c r="A4" s="101" t="s">
        <v>340</v>
      </c>
      <c r="B4" s="101"/>
      <c r="C4" s="101" t="s">
        <v>341</v>
      </c>
      <c r="D4" s="101"/>
      <c r="E4" s="101" t="s">
        <v>342</v>
      </c>
      <c r="F4" s="100"/>
      <c r="G4" s="101" t="s">
        <v>343</v>
      </c>
      <c r="H4" s="101"/>
      <c r="I4" s="101" t="s">
        <v>344</v>
      </c>
      <c r="J4" s="101"/>
      <c r="K4" s="101"/>
    </row>
    <row r="5" spans="1:11" ht="15.75">
      <c r="A5" s="645">
        <f>inputPrYr!B33</f>
        <v>0</v>
      </c>
      <c r="B5" s="646"/>
      <c r="C5" s="645">
        <f>inputPrYr!B34</f>
        <v>0</v>
      </c>
      <c r="D5" s="646"/>
      <c r="E5" s="645">
        <f>inputPrYr!B35</f>
        <v>0</v>
      </c>
      <c r="F5" s="646"/>
      <c r="G5" s="647">
        <f>inputPrYr!B36</f>
        <v>0</v>
      </c>
      <c r="H5" s="646"/>
      <c r="I5" s="647">
        <f>inputPrYr!B37</f>
        <v>0</v>
      </c>
      <c r="J5" s="646"/>
      <c r="K5" s="105"/>
    </row>
    <row r="6" spans="1:11" ht="15.75">
      <c r="A6" s="106" t="s">
        <v>345</v>
      </c>
      <c r="B6" s="107"/>
      <c r="C6" s="108" t="s">
        <v>345</v>
      </c>
      <c r="D6" s="109"/>
      <c r="E6" s="108" t="s">
        <v>345</v>
      </c>
      <c r="F6" s="110"/>
      <c r="G6" s="108" t="s">
        <v>345</v>
      </c>
      <c r="H6" s="104"/>
      <c r="I6" s="108" t="s">
        <v>345</v>
      </c>
      <c r="J6" s="101"/>
      <c r="K6" s="111" t="s">
        <v>288</v>
      </c>
    </row>
    <row r="7" spans="1:11" ht="15.75">
      <c r="A7" s="112" t="s">
        <v>346</v>
      </c>
      <c r="B7" s="113"/>
      <c r="C7" s="114" t="s">
        <v>346</v>
      </c>
      <c r="D7" s="113"/>
      <c r="E7" s="114" t="s">
        <v>346</v>
      </c>
      <c r="F7" s="113"/>
      <c r="G7" s="114" t="s">
        <v>346</v>
      </c>
      <c r="H7" s="113"/>
      <c r="I7" s="114" t="s">
        <v>346</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347</v>
      </c>
      <c r="B29" s="115">
        <f>SUM(B18-B28)</f>
        <v>0</v>
      </c>
      <c r="C29" s="116" t="s">
        <v>347</v>
      </c>
      <c r="D29" s="115">
        <f>SUM(D18-D28)</f>
        <v>0</v>
      </c>
      <c r="E29" s="116" t="s">
        <v>347</v>
      </c>
      <c r="F29" s="115">
        <f>SUM(F18-F28)</f>
        <v>0</v>
      </c>
      <c r="G29" s="116" t="s">
        <v>347</v>
      </c>
      <c r="H29" s="115">
        <f>SUM(H18-H28)</f>
        <v>0</v>
      </c>
      <c r="I29" s="116" t="s">
        <v>347</v>
      </c>
      <c r="J29" s="115">
        <f>SUM(J18-J28)</f>
        <v>0</v>
      </c>
      <c r="K29" s="130">
        <f>SUM(B29+D29+F29+H29+J29)</f>
        <v>0</v>
      </c>
      <c r="L29" s="91" t="s">
        <v>348</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348</v>
      </c>
    </row>
    <row r="31" spans="1:11" ht="15.75">
      <c r="A31" s="101"/>
      <c r="B31" s="131"/>
      <c r="C31" s="101"/>
      <c r="D31" s="100"/>
      <c r="E31" s="101"/>
      <c r="F31" s="101"/>
      <c r="G31" s="132" t="s">
        <v>349</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357</v>
      </c>
    </row>
    <row r="2" ht="54.75" customHeight="1">
      <c r="A2" s="176" t="s">
        <v>358</v>
      </c>
    </row>
    <row r="3" ht="15.75">
      <c r="A3" s="177"/>
    </row>
    <row r="4" ht="56.25" customHeight="1">
      <c r="A4" s="176" t="s">
        <v>359</v>
      </c>
    </row>
    <row r="5" ht="15.75">
      <c r="A5" s="91"/>
    </row>
    <row r="6" ht="50.25" customHeight="1">
      <c r="A6" s="176" t="s">
        <v>360</v>
      </c>
    </row>
    <row r="7" ht="16.5" customHeight="1">
      <c r="A7" s="176"/>
    </row>
    <row r="8" ht="50.25" customHeight="1">
      <c r="A8" s="532" t="s">
        <v>743</v>
      </c>
    </row>
    <row r="9" ht="15.75">
      <c r="A9" s="177"/>
    </row>
    <row r="10" ht="40.5" customHeight="1">
      <c r="A10" s="176" t="s">
        <v>361</v>
      </c>
    </row>
    <row r="11" ht="15.75">
      <c r="A11" s="91"/>
    </row>
    <row r="12" ht="40.5" customHeight="1">
      <c r="A12" s="176" t="s">
        <v>362</v>
      </c>
    </row>
    <row r="13" ht="15.75">
      <c r="A13" s="177"/>
    </row>
    <row r="14" ht="71.25" customHeight="1">
      <c r="A14" s="176" t="s">
        <v>363</v>
      </c>
    </row>
    <row r="15" ht="15.75">
      <c r="A15" s="177"/>
    </row>
    <row r="16" ht="40.5" customHeight="1">
      <c r="A16" s="176" t="s">
        <v>364</v>
      </c>
    </row>
    <row r="17" ht="15.75">
      <c r="A17" s="91"/>
    </row>
    <row r="18" ht="49.5" customHeight="1">
      <c r="A18" s="176" t="s">
        <v>365</v>
      </c>
    </row>
    <row r="19" ht="15.75">
      <c r="A19" s="177"/>
    </row>
    <row r="20" ht="52.5" customHeight="1">
      <c r="A20" s="176" t="s">
        <v>366</v>
      </c>
    </row>
    <row r="21" ht="15.75">
      <c r="A21" s="177"/>
    </row>
    <row r="22" ht="48.75" customHeight="1">
      <c r="A22" s="176" t="s">
        <v>367</v>
      </c>
    </row>
    <row r="23" ht="15.75">
      <c r="A23" s="177"/>
    </row>
    <row r="24" ht="15.75">
      <c r="A24" s="91"/>
    </row>
    <row r="25" ht="51.75" customHeight="1">
      <c r="A25" s="176" t="s">
        <v>368</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25">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282</v>
      </c>
      <c r="B1" s="14"/>
      <c r="C1" s="14"/>
      <c r="D1" s="14"/>
      <c r="E1" s="14"/>
    </row>
    <row r="2" spans="1:5" ht="15.75">
      <c r="A2" s="79" t="s">
        <v>238</v>
      </c>
      <c r="B2" s="14"/>
      <c r="C2" s="14"/>
      <c r="D2" s="408" t="s">
        <v>816</v>
      </c>
      <c r="E2" s="19"/>
    </row>
    <row r="3" spans="1:5" ht="15.75">
      <c r="A3" s="79" t="s">
        <v>237</v>
      </c>
      <c r="B3" s="14"/>
      <c r="C3" s="14"/>
      <c r="D3" s="409" t="s">
        <v>815</v>
      </c>
      <c r="E3" s="19"/>
    </row>
    <row r="4" spans="1:5" ht="15.75">
      <c r="A4" s="14"/>
      <c r="B4" s="14"/>
      <c r="C4" s="14"/>
      <c r="D4" s="14"/>
      <c r="E4" s="14"/>
    </row>
    <row r="5" spans="1:5" ht="15.75">
      <c r="A5" s="17" t="s">
        <v>150</v>
      </c>
      <c r="B5" s="14"/>
      <c r="C5" s="14"/>
      <c r="D5" s="332">
        <v>2014</v>
      </c>
      <c r="E5" s="14"/>
    </row>
    <row r="6" spans="1:5" ht="15.75">
      <c r="A6" s="14"/>
      <c r="B6" s="14"/>
      <c r="C6" s="14"/>
      <c r="D6" s="14"/>
      <c r="E6" s="14"/>
    </row>
    <row r="7" spans="1:5" ht="15.75">
      <c r="A7" s="155" t="s">
        <v>152</v>
      </c>
      <c r="B7" s="159"/>
      <c r="C7" s="159"/>
      <c r="D7" s="159"/>
      <c r="E7" s="159"/>
    </row>
    <row r="8" spans="1:5" ht="15.75">
      <c r="A8" s="155" t="s">
        <v>209</v>
      </c>
      <c r="B8" s="159"/>
      <c r="C8" s="159"/>
      <c r="D8" s="159"/>
      <c r="E8" s="159"/>
    </row>
    <row r="9" spans="1:5" ht="15.75">
      <c r="A9" s="14"/>
      <c r="B9" s="14"/>
      <c r="C9" s="14"/>
      <c r="D9" s="14"/>
      <c r="E9" s="14"/>
    </row>
    <row r="10" spans="1:5" ht="15.75">
      <c r="A10" s="593" t="s">
        <v>163</v>
      </c>
      <c r="B10" s="594"/>
      <c r="C10" s="594"/>
      <c r="D10" s="594"/>
      <c r="E10" s="594"/>
    </row>
    <row r="11" spans="1:5" ht="15.75">
      <c r="A11" s="79"/>
      <c r="B11" s="14"/>
      <c r="C11" s="14"/>
      <c r="D11" s="14"/>
      <c r="E11" s="14"/>
    </row>
    <row r="12" spans="1:5" ht="15.75">
      <c r="A12" s="333" t="s">
        <v>151</v>
      </c>
      <c r="B12" s="319"/>
      <c r="C12" s="14"/>
      <c r="D12" s="49"/>
      <c r="E12" s="334"/>
    </row>
    <row r="13" spans="1:5" ht="15.75">
      <c r="A13" s="335" t="str">
        <f>CONCATENATE("the ",D5-1," Budget, Certificate Page:")</f>
        <v>the 2013 Budget, Certificate Page:</v>
      </c>
      <c r="B13" s="336"/>
      <c r="C13" s="49"/>
      <c r="D13" s="14"/>
      <c r="E13" s="14"/>
    </row>
    <row r="14" spans="1:5" ht="15.75">
      <c r="A14" s="335" t="s">
        <v>328</v>
      </c>
      <c r="B14" s="336"/>
      <c r="C14" s="49"/>
      <c r="D14" s="337">
        <f>$D$5-1</f>
        <v>2013</v>
      </c>
      <c r="E14" s="338">
        <f>$D$5-2</f>
        <v>2012</v>
      </c>
    </row>
    <row r="15" spans="1:5" ht="15.75">
      <c r="A15" s="22" t="s">
        <v>284</v>
      </c>
      <c r="B15" s="14"/>
      <c r="C15" s="339" t="s">
        <v>283</v>
      </c>
      <c r="D15" s="340" t="s">
        <v>356</v>
      </c>
      <c r="E15" s="341" t="s">
        <v>16</v>
      </c>
    </row>
    <row r="16" spans="1:5" ht="15.75">
      <c r="A16" s="14"/>
      <c r="B16" s="83" t="s">
        <v>285</v>
      </c>
      <c r="C16" s="172" t="s">
        <v>286</v>
      </c>
      <c r="D16" s="200"/>
      <c r="E16" s="200"/>
    </row>
    <row r="17" spans="1:5" ht="15.75">
      <c r="A17" s="14"/>
      <c r="B17" s="83" t="s">
        <v>312</v>
      </c>
      <c r="C17" s="172" t="s">
        <v>157</v>
      </c>
      <c r="D17" s="200"/>
      <c r="E17" s="200"/>
    </row>
    <row r="18" spans="1:5" ht="15.75">
      <c r="A18" s="14"/>
      <c r="B18" s="83" t="s">
        <v>287</v>
      </c>
      <c r="C18" s="192" t="s">
        <v>327</v>
      </c>
      <c r="D18" s="200">
        <v>190741</v>
      </c>
      <c r="E18" s="200">
        <v>162348</v>
      </c>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2013 Budgeted Year</v>
      </c>
      <c r="B25" s="20"/>
      <c r="C25" s="291"/>
      <c r="D25" s="343"/>
      <c r="E25" s="344">
        <f>SUM(E16:E24)</f>
        <v>162348</v>
      </c>
    </row>
    <row r="26" spans="1:5" ht="15.75">
      <c r="A26" s="19"/>
      <c r="B26" s="19"/>
      <c r="C26" s="19"/>
      <c r="D26" s="24"/>
      <c r="E26" s="151"/>
    </row>
    <row r="27" spans="1:5" ht="15.75">
      <c r="A27" s="14" t="s">
        <v>146</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2013</v>
      </c>
      <c r="B30" s="345"/>
      <c r="C30" s="283"/>
      <c r="D30" s="169">
        <f>SUM(D16:D24,D28:D29)</f>
        <v>190741</v>
      </c>
      <c r="E30" s="14"/>
    </row>
    <row r="31" spans="1:5" ht="15.75">
      <c r="A31" s="14"/>
      <c r="B31" s="14"/>
      <c r="C31" s="14"/>
      <c r="D31" s="14"/>
      <c r="E31" s="14"/>
    </row>
    <row r="32" spans="1:5" ht="15.75">
      <c r="A32" s="300" t="s">
        <v>350</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151</v>
      </c>
      <c r="B39" s="319"/>
      <c r="C39" s="14"/>
      <c r="D39" s="591" t="str">
        <f>CONCATENATE("",D5-3," Tax Rate                    (",D5-2," Column)")</f>
        <v>2011 Tax Rate                    (2012 Column)</v>
      </c>
      <c r="E39" s="14"/>
    </row>
    <row r="40" spans="1:5" ht="15.75">
      <c r="A40" s="335" t="str">
        <f>CONCATENATE("the ",D5-1," Budget, Budget Summary Page:")</f>
        <v>the 2013 Budget, Budget Summary Page:</v>
      </c>
      <c r="B40" s="307"/>
      <c r="C40" s="14"/>
      <c r="D40" s="592"/>
      <c r="E40" s="14"/>
    </row>
    <row r="41" spans="1:5" ht="15.75">
      <c r="A41" s="14"/>
      <c r="B41" s="96" t="str">
        <f aca="true" t="shared" si="0" ref="B41:B49">B16</f>
        <v>General</v>
      </c>
      <c r="C41" s="14"/>
      <c r="D41" s="347"/>
      <c r="E41" s="14"/>
    </row>
    <row r="42" spans="1:5" ht="15.75">
      <c r="A42" s="14"/>
      <c r="B42" s="96" t="str">
        <f t="shared" si="0"/>
        <v>Debt Service</v>
      </c>
      <c r="C42" s="14"/>
      <c r="D42" s="348"/>
      <c r="E42" s="14"/>
    </row>
    <row r="43" spans="1:5" ht="15.75">
      <c r="A43" s="14"/>
      <c r="B43" s="96" t="str">
        <f t="shared" si="0"/>
        <v>Road</v>
      </c>
      <c r="C43" s="14"/>
      <c r="D43" s="348">
        <v>28.659</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2011 Tax Levy Rate</v>
      </c>
      <c r="B50" s="349"/>
      <c r="C50" s="283"/>
      <c r="D50" s="350">
        <f>SUM(D41:D49)</f>
        <v>28.659</v>
      </c>
      <c r="E50" s="14"/>
    </row>
    <row r="51" spans="1:5" ht="16.5" thickTop="1">
      <c r="A51" s="14"/>
      <c r="B51" s="14"/>
      <c r="C51" s="14"/>
      <c r="D51" s="14"/>
      <c r="E51" s="14"/>
    </row>
    <row r="52" spans="1:5" ht="15.75">
      <c r="A52" s="351" t="str">
        <f>CONCATENATE("Total Tax Levied (",D5-2," budget column)")</f>
        <v>Total Tax Levied (2012 budget column)</v>
      </c>
      <c r="B52" s="352"/>
      <c r="C52" s="20"/>
      <c r="D52" s="283"/>
      <c r="E52" s="200">
        <v>160971</v>
      </c>
    </row>
    <row r="53" spans="1:5" ht="15.75">
      <c r="A53" s="353" t="str">
        <f>CONCATENATE("Assessed Valuation (",D5-2," budget column)")</f>
        <v>Assessed Valuation (2012 budget column)</v>
      </c>
      <c r="B53" s="354"/>
      <c r="C53" s="291"/>
      <c r="D53" s="28"/>
      <c r="E53" s="200">
        <v>5616751</v>
      </c>
    </row>
    <row r="54" spans="1:5" ht="15.75">
      <c r="A54" s="300"/>
      <c r="B54" s="19"/>
      <c r="C54" s="19"/>
      <c r="D54" s="19"/>
      <c r="E54" s="310"/>
    </row>
    <row r="55" spans="1:5" ht="15.75">
      <c r="A55" s="14"/>
      <c r="B55" s="14"/>
      <c r="C55" s="14"/>
      <c r="D55" s="14"/>
      <c r="E55" s="55"/>
    </row>
    <row r="56" spans="1:5" ht="15.75">
      <c r="A56" s="319" t="s">
        <v>210</v>
      </c>
      <c r="B56" s="319"/>
      <c r="C56" s="140"/>
      <c r="D56" s="355">
        <f>D5-3</f>
        <v>2011</v>
      </c>
      <c r="E56" s="355">
        <f>D5-2</f>
        <v>2012</v>
      </c>
    </row>
    <row r="57" spans="1:5" ht="15.75">
      <c r="A57" s="352" t="s">
        <v>172</v>
      </c>
      <c r="B57" s="352"/>
      <c r="C57" s="356"/>
      <c r="D57" s="36"/>
      <c r="E57" s="36"/>
    </row>
    <row r="58" spans="1:5" ht="15.75">
      <c r="A58" s="354" t="s">
        <v>173</v>
      </c>
      <c r="B58" s="354"/>
      <c r="C58" s="357"/>
      <c r="D58" s="36"/>
      <c r="E58" s="36"/>
    </row>
    <row r="59" spans="1:5" ht="15.75">
      <c r="A59" s="354" t="s">
        <v>174</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J106"/>
  <sheetViews>
    <sheetView tabSelected="1" zoomScale="75" zoomScaleNormal="75" zoomScalePageLayoutView="0" workbookViewId="0" topLeftCell="B1">
      <selection activeCell="I38" activeCellId="1" sqref="O16 I38"/>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2014</v>
      </c>
    </row>
    <row r="2" spans="2:9" ht="15.75">
      <c r="B2" s="14"/>
      <c r="C2" s="14"/>
      <c r="D2" s="14"/>
      <c r="E2" s="14"/>
      <c r="F2" s="14"/>
      <c r="G2" s="22" t="s">
        <v>37</v>
      </c>
      <c r="H2" s="22" t="s">
        <v>38</v>
      </c>
      <c r="I2" s="14"/>
    </row>
    <row r="3" spans="2:9" ht="15.75">
      <c r="B3" s="615" t="s">
        <v>39</v>
      </c>
      <c r="C3" s="615"/>
      <c r="D3" s="615"/>
      <c r="E3" s="615"/>
      <c r="F3" s="615"/>
      <c r="G3" s="615"/>
      <c r="H3" s="615"/>
      <c r="I3" s="615"/>
    </row>
    <row r="4" spans="2:9" ht="15.75">
      <c r="B4" s="652" t="str">
        <f>inputPrYr!D2</f>
        <v>LONDON TOWNSHIP</v>
      </c>
      <c r="C4" s="652"/>
      <c r="D4" s="652"/>
      <c r="E4" s="652"/>
      <c r="F4" s="652"/>
      <c r="G4" s="652"/>
      <c r="H4" s="652"/>
      <c r="I4" s="652"/>
    </row>
    <row r="5" spans="2:9" ht="15.75">
      <c r="B5" s="652" t="str">
        <f>inputPrYr!D3</f>
        <v>SUMNER COUNTY</v>
      </c>
      <c r="C5" s="652"/>
      <c r="D5" s="652"/>
      <c r="E5" s="652"/>
      <c r="F5" s="652"/>
      <c r="G5" s="652"/>
      <c r="H5" s="652"/>
      <c r="I5" s="652"/>
    </row>
    <row r="6" spans="2:9" ht="15.75">
      <c r="B6" s="651" t="str">
        <f>CONCATENATE("will meet on ",inputBudSum!B5," at ",inputBudSum!B7," at ",inputBudSum!B9," for the purpose of hearing and")</f>
        <v>will meet on September 11, 2013 at 7:00 P.M. at Peck Community Center, Peck, KS 67120 for the purpose of hearing and</v>
      </c>
      <c r="C6" s="651"/>
      <c r="D6" s="651"/>
      <c r="E6" s="651"/>
      <c r="F6" s="651"/>
      <c r="G6" s="651"/>
      <c r="H6" s="651"/>
      <c r="I6" s="651"/>
    </row>
    <row r="7" spans="2:9" ht="15.75">
      <c r="B7" s="158" t="s">
        <v>626</v>
      </c>
      <c r="C7" s="156"/>
      <c r="D7" s="156"/>
      <c r="E7" s="156"/>
      <c r="F7" s="156"/>
      <c r="G7" s="156"/>
      <c r="H7" s="156"/>
      <c r="I7" s="156"/>
    </row>
    <row r="8" spans="2:9" ht="15.75">
      <c r="B8" s="382" t="str">
        <f>CONCATENATE("Detailed budget information is available at ",inputBudSum!B12," and will be available at this hearing.")</f>
        <v>Detailed budget information is available at Peck Community Center, Peck, KS 67120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2014 Expenditures and Amount of 2013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2014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2012</v>
      </c>
      <c r="D13" s="162"/>
      <c r="E13" s="161" t="str">
        <f>CONCATENATE("Current Year Estimate ",I1-1,"")</f>
        <v>Current Year Estimate 2013</v>
      </c>
      <c r="F13" s="163"/>
      <c r="G13" s="164" t="str">
        <f>CONCATENATE("Proposed Budget ",I1,"")</f>
        <v>Proposed Budget 2014</v>
      </c>
      <c r="H13" s="165"/>
      <c r="I13" s="163"/>
      <c r="J13" s="160"/>
    </row>
    <row r="14" spans="2:10" ht="22.5" customHeight="1">
      <c r="B14" s="14"/>
      <c r="C14" s="80"/>
      <c r="D14" s="23" t="s">
        <v>32</v>
      </c>
      <c r="E14" s="23"/>
      <c r="F14" s="23" t="s">
        <v>32</v>
      </c>
      <c r="G14" s="166"/>
      <c r="H14" s="607" t="str">
        <f>CONCATENATE("Amount of ",I1-1," Ad Valorem Tax")</f>
        <v>Amount of 2013 Ad Valorem Tax</v>
      </c>
      <c r="I14" s="23" t="s">
        <v>40</v>
      </c>
      <c r="J14" s="160"/>
    </row>
    <row r="15" spans="2:10" ht="15.75">
      <c r="B15" s="14"/>
      <c r="C15" s="167"/>
      <c r="D15" s="167" t="s">
        <v>41</v>
      </c>
      <c r="E15" s="167"/>
      <c r="F15" s="167" t="s">
        <v>41</v>
      </c>
      <c r="G15" s="167" t="s">
        <v>220</v>
      </c>
      <c r="H15" s="649"/>
      <c r="I15" s="167" t="s">
        <v>41</v>
      </c>
      <c r="J15" s="160"/>
    </row>
    <row r="16" spans="2:10" ht="15.75">
      <c r="B16" s="25" t="s">
        <v>298</v>
      </c>
      <c r="C16" s="26" t="s">
        <v>42</v>
      </c>
      <c r="D16" s="26" t="s">
        <v>43</v>
      </c>
      <c r="E16" s="26" t="s">
        <v>42</v>
      </c>
      <c r="F16" s="26" t="s">
        <v>43</v>
      </c>
      <c r="G16" s="26" t="s">
        <v>746</v>
      </c>
      <c r="H16" s="650"/>
      <c r="I16" s="26" t="s">
        <v>43</v>
      </c>
      <c r="J16" s="160"/>
    </row>
    <row r="17" spans="2:10" ht="15.75">
      <c r="B17" s="96" t="s">
        <v>290</v>
      </c>
      <c r="C17" s="67" t="str">
        <f>IF(' '!$C$50&lt;&gt;0,' '!$C$50,"  ")</f>
        <v>  </v>
      </c>
      <c r="D17" s="572" t="str">
        <f>IF(inputPrYr!D41&gt;0,inputPrYr!D41,"  ")</f>
        <v>  </v>
      </c>
      <c r="E17" s="32" t="str">
        <f>IF(' '!$D$50&lt;&gt;0,' '!$D$50,"  ")</f>
        <v>  </v>
      </c>
      <c r="F17" s="253" t="str">
        <f>IF(inputOth!D17&gt;0,inputOth!D17,"  ")</f>
        <v>  </v>
      </c>
      <c r="G17" s="32" t="str">
        <f>IF(' '!$E$50&lt;&gt;0,' '!$E$50,"  ")</f>
        <v>  </v>
      </c>
      <c r="H17" s="32" t="str">
        <f>IF(' '!$E$57&lt;&gt;0,' '!$E$57," ")</f>
        <v> </v>
      </c>
      <c r="I17" s="574" t="str">
        <f>IF(' '!E57&gt;0,ROUND(H17/$G$35*1000,3)," ")</f>
        <v> </v>
      </c>
      <c r="J17" s="160"/>
    </row>
    <row r="18" spans="2:10" ht="15.75">
      <c r="B18" s="96" t="s">
        <v>290</v>
      </c>
      <c r="C18" s="32" t="str">
        <f>IF(DebtService!$C$53&lt;&gt;0,DebtService!$C$53,"  ")</f>
        <v>  </v>
      </c>
      <c r="D18" s="57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74" t="str">
        <f>IF(DebtService!E60&gt;0,ROUND(H18/$G$35*1000,3)," ")</f>
        <v> </v>
      </c>
      <c r="J18" s="160"/>
    </row>
    <row r="19" spans="2:9" ht="15.75">
      <c r="B19" s="96" t="str">
        <f>IF(inputPrYr!$B18&gt;"  ",inputPrYr!$B18,"  ")</f>
        <v>Road</v>
      </c>
      <c r="C19" s="32">
        <f>IF(road!$C$43&lt;&gt;0,road!$C$43,"  ")</f>
        <v>168570</v>
      </c>
      <c r="D19" s="572">
        <f>IF(inputPrYr!D43&gt;0,inputPrYr!D43,"  ")</f>
        <v>28.659</v>
      </c>
      <c r="E19" s="32">
        <f>IF(road!$D$43&lt;&gt;0,road!$D$43,"  ")</f>
        <v>190741</v>
      </c>
      <c r="F19" s="253">
        <f>IF(inputOth!D19&gt;0,inputOth!D19,"  ")</f>
        <v>28.635</v>
      </c>
      <c r="G19" s="32">
        <f>IF(road!$E$43&lt;&gt;0,road!$E$43,"  ")</f>
        <v>200976</v>
      </c>
      <c r="H19" s="32">
        <f>IF(road!$E$50&lt;&gt;0,road!$E$50,"  ")</f>
        <v>157470.35</v>
      </c>
      <c r="I19" s="574">
        <f>IF(road!E50&gt;0,ROUND(H19/$G$35*1000,3)," ")</f>
        <v>26.887</v>
      </c>
    </row>
    <row r="20" spans="2:9" ht="15.75">
      <c r="B20" s="96" t="str">
        <f>IF(inputPrYr!$B19&gt;"  ",inputPrYr!$B19,"  ")</f>
        <v>  </v>
      </c>
      <c r="C20" s="32" t="str">
        <f>IF(levypage9!$C$32&lt;&gt;0,levypage9!$C$32,"  ")</f>
        <v>  </v>
      </c>
      <c r="D20" s="572" t="str">
        <f>IF(inputPrYr!D44&gt;0,inputPrYr!D44,"  ")</f>
        <v>  </v>
      </c>
      <c r="E20" s="32" t="str">
        <f>IF(levypage9!$D$32&lt;&gt;0,levypage9!$D$32,"  ")</f>
        <v>  </v>
      </c>
      <c r="F20" s="253" t="str">
        <f>IF(inputOth!D20&gt;0,inputOth!D20,"  ")</f>
        <v>  </v>
      </c>
      <c r="G20" s="32" t="str">
        <f>IF(levypage9!$E$32&lt;&gt;0,levypage9!$E$32,"  ")</f>
        <v>  </v>
      </c>
      <c r="H20" s="32" t="str">
        <f>IF(levypage9!$E$39&lt;&gt;0,levypage9!$E$39,"  ")</f>
        <v>  </v>
      </c>
      <c r="I20" s="574" t="str">
        <f>IF(levypage9!E39&gt;0,ROUND(H20/$G$35*1000,3)," ")</f>
        <v> </v>
      </c>
    </row>
    <row r="21" spans="2:9" ht="15.75">
      <c r="B21" s="96" t="str">
        <f>IF(inputPrYr!$B20&gt;"  ",inputPrYr!$B20,"  ")</f>
        <v>  </v>
      </c>
      <c r="C21" s="32" t="str">
        <f>IF(levypage9!$C$69&lt;&gt;0,levypage9!$C$69,"  ")</f>
        <v>  </v>
      </c>
      <c r="D21" s="572" t="str">
        <f>IF(inputPrYr!D45&gt;0,inputPrYr!D45,"  ")</f>
        <v>  </v>
      </c>
      <c r="E21" s="32" t="str">
        <f>IF(levypage9!$D$69&lt;&gt;0,levypage9!$D$69,"  ")</f>
        <v>  </v>
      </c>
      <c r="F21" s="253" t="str">
        <f>IF(inputOth!D21&gt;0,inputOth!D21,"  ")</f>
        <v>  </v>
      </c>
      <c r="G21" s="32" t="str">
        <f>IF(levypage9!$E$69&lt;&gt;0,levypage9!$E$69,"  ")</f>
        <v>  </v>
      </c>
      <c r="H21" s="32" t="str">
        <f>IF(levypage9!$E$76&lt;&gt;0,levypage9!$E$76,"  ")</f>
        <v>  </v>
      </c>
      <c r="I21" s="574" t="str">
        <f>IF(levypage9!E76&gt;0,ROUND(H21/$G$35*1000,3)," ")</f>
        <v> </v>
      </c>
    </row>
    <row r="22" spans="2:9" ht="15.75">
      <c r="B22" s="96" t="str">
        <f>IF(inputPrYr!$B21&gt;"  ",inputPrYr!$B21,"  ")</f>
        <v>  </v>
      </c>
      <c r="C22" s="32" t="str">
        <f>IF(levypage10!$C$32&lt;&gt;0,levypage10!$C$32,"  ")</f>
        <v>  </v>
      </c>
      <c r="D22" s="57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74" t="str">
        <f>IF(levypage10!E39&gt;0,ROUND(H22/$G$35*1000,3)," ")</f>
        <v> </v>
      </c>
    </row>
    <row r="23" spans="2:9" ht="15.75">
      <c r="B23" s="96" t="str">
        <f>IF(inputPrYr!$B22&gt;"  ",inputPrYr!$B22,"  ")</f>
        <v>  </v>
      </c>
      <c r="C23" s="32" t="str">
        <f>IF(levypage10!$C$69&lt;&gt;0,levypage10!$C$69,"  ")</f>
        <v>  </v>
      </c>
      <c r="D23" s="57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74" t="str">
        <f>IF(levypage10!E76&gt;0,ROUND(H23/$G$35*1000,3)," ")</f>
        <v> </v>
      </c>
    </row>
    <row r="24" spans="2:9" ht="15.75">
      <c r="B24" s="96" t="str">
        <f>IF(inputPrYr!$B23&gt;"  ",inputPrYr!$B23,"  ")</f>
        <v>  </v>
      </c>
      <c r="C24" s="32" t="str">
        <f>IF(levypage11!$C$32&lt;&gt;0,levypage11!$C$32,"  ")</f>
        <v>  </v>
      </c>
      <c r="D24" s="57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74" t="str">
        <f>IF(levypage11!E39&gt;0,ROUND(H24/$G$35*1000,3)," ")</f>
        <v> </v>
      </c>
    </row>
    <row r="25" spans="2:9" ht="15.75">
      <c r="B25" s="96" t="str">
        <f>IF(inputPrYr!$B24&gt;"  ",inputPrYr!$B24,"  ")</f>
        <v>  </v>
      </c>
      <c r="C25" s="32" t="str">
        <f>IF(levypage11!$C$69&lt;&gt;0,levypage11!$C$69,"  ")</f>
        <v>  </v>
      </c>
      <c r="D25" s="57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74" t="str">
        <f>IF(levypage11!E76&gt;0,ROUND(H25/$G$35*1000,3)," ")</f>
        <v> </v>
      </c>
    </row>
    <row r="26" spans="2:9"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row>
    <row r="27" spans="2:9"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row>
    <row r="28" spans="2:9" ht="15.75">
      <c r="B28" s="96" t="str">
        <f>IF((inputPrYr!$B33&gt;"  "),(nonbud!$A3),"  ")</f>
        <v>  </v>
      </c>
      <c r="C28" s="67" t="str">
        <f>IF((nonbud!$K$28)&lt;&gt;0,(nonbud!$K$28),"  ")</f>
        <v>  </v>
      </c>
      <c r="D28" s="168"/>
      <c r="E28" s="32"/>
      <c r="F28" s="168"/>
      <c r="G28" s="32"/>
      <c r="H28" s="32"/>
      <c r="I28" s="168"/>
    </row>
    <row r="29" spans="2:9" ht="16.5" thickBot="1">
      <c r="B29" s="83" t="s">
        <v>300</v>
      </c>
      <c r="C29" s="530">
        <f>IF(road!C64&lt;&gt;0,road!C64,"  ")</f>
        <v>248</v>
      </c>
      <c r="D29" s="531"/>
      <c r="E29" s="573"/>
      <c r="F29" s="531"/>
      <c r="G29" s="573"/>
      <c r="H29" s="573"/>
      <c r="I29" s="531"/>
    </row>
    <row r="30" spans="2:9" ht="15.75">
      <c r="B30" s="83" t="s">
        <v>301</v>
      </c>
      <c r="C30" s="575">
        <f aca="true" t="shared" si="0" ref="C30:I30">SUM(C17:C29)</f>
        <v>168818</v>
      </c>
      <c r="D30" s="529">
        <f t="shared" si="0"/>
        <v>28.659</v>
      </c>
      <c r="E30" s="575">
        <f t="shared" si="0"/>
        <v>190741</v>
      </c>
      <c r="F30" s="529">
        <f t="shared" si="0"/>
        <v>28.635</v>
      </c>
      <c r="G30" s="575">
        <f t="shared" si="0"/>
        <v>200976</v>
      </c>
      <c r="H30" s="575">
        <f t="shared" si="0"/>
        <v>157470.35</v>
      </c>
      <c r="I30" s="578">
        <f t="shared" si="0"/>
        <v>26.887</v>
      </c>
    </row>
    <row r="31" spans="2:9" ht="15.75">
      <c r="B31" s="83" t="s">
        <v>44</v>
      </c>
      <c r="C31" s="32">
        <f>transfer!C29</f>
        <v>0</v>
      </c>
      <c r="D31" s="14"/>
      <c r="E31" s="32">
        <f>transfer!D29</f>
        <v>0</v>
      </c>
      <c r="F31" s="62"/>
      <c r="G31" s="32">
        <f>transfer!E29</f>
        <v>0</v>
      </c>
      <c r="H31" s="14"/>
      <c r="I31" s="14"/>
    </row>
    <row r="32" spans="2:9" ht="16.5" thickBot="1">
      <c r="B32" s="83" t="s">
        <v>45</v>
      </c>
      <c r="C32" s="576">
        <f>C30-C31</f>
        <v>168818</v>
      </c>
      <c r="D32" s="14"/>
      <c r="E32" s="576">
        <f>E30-E31</f>
        <v>190741</v>
      </c>
      <c r="F32" s="14"/>
      <c r="G32" s="576">
        <f>G30-G31</f>
        <v>200976</v>
      </c>
      <c r="H32" s="14"/>
      <c r="I32" s="14"/>
    </row>
    <row r="33" spans="2:9" ht="16.5" thickTop="1">
      <c r="B33" s="83" t="s">
        <v>46</v>
      </c>
      <c r="C33" s="577">
        <f>inputPrYr!E52</f>
        <v>160971</v>
      </c>
      <c r="D33" s="62"/>
      <c r="E33" s="577">
        <f>inputPrYr!E25</f>
        <v>162348</v>
      </c>
      <c r="F33" s="14"/>
      <c r="G33" s="568" t="s">
        <v>302</v>
      </c>
      <c r="H33" s="14"/>
      <c r="I33" s="14"/>
    </row>
    <row r="34" spans="2:9" ht="15.75">
      <c r="B34" s="279" t="s">
        <v>47</v>
      </c>
      <c r="C34" s="55"/>
      <c r="D34" s="62"/>
      <c r="E34" s="55"/>
      <c r="F34" s="62"/>
      <c r="G34" s="14"/>
      <c r="H34" s="14"/>
      <c r="I34" s="14"/>
    </row>
    <row r="35" spans="2:9" ht="15.75">
      <c r="B35" s="586" t="s">
        <v>48</v>
      </c>
      <c r="C35" s="31">
        <f>inputPrYr!E53</f>
        <v>5616751</v>
      </c>
      <c r="D35" s="14"/>
      <c r="E35" s="32">
        <f>inputOth!E28</f>
        <v>5669617</v>
      </c>
      <c r="F35" s="14"/>
      <c r="G35" s="32">
        <f>inputOth!E7</f>
        <v>5856711</v>
      </c>
      <c r="H35" s="14"/>
      <c r="I35" s="14"/>
    </row>
    <row r="36" spans="2:9" ht="15.75">
      <c r="B36" s="22" t="s">
        <v>49</v>
      </c>
      <c r="C36" s="14"/>
      <c r="D36" s="14"/>
      <c r="E36" s="14"/>
      <c r="F36" s="14"/>
      <c r="G36" s="14"/>
      <c r="H36" s="14"/>
      <c r="I36" s="14"/>
    </row>
    <row r="37" spans="2:9" ht="15.75">
      <c r="B37" s="22" t="s">
        <v>50</v>
      </c>
      <c r="C37" s="171">
        <f>I1-3</f>
        <v>2011</v>
      </c>
      <c r="D37" s="14"/>
      <c r="E37" s="171">
        <f>I1-2</f>
        <v>2012</v>
      </c>
      <c r="F37" s="14"/>
      <c r="G37" s="171">
        <f>I1-1</f>
        <v>2013</v>
      </c>
      <c r="H37" s="14"/>
      <c r="I37" s="14"/>
    </row>
    <row r="38" spans="2:9" ht="15.75">
      <c r="B38" s="22" t="s">
        <v>51</v>
      </c>
      <c r="C38" s="172">
        <f>inputPrYr!D57</f>
        <v>0</v>
      </c>
      <c r="D38" s="59"/>
      <c r="E38" s="172">
        <f>inputPrYr!E57</f>
        <v>0</v>
      </c>
      <c r="F38" s="59"/>
      <c r="G38" s="172">
        <f>'debt-lease'!E11</f>
        <v>0</v>
      </c>
      <c r="H38" s="14"/>
      <c r="I38" s="14"/>
    </row>
    <row r="39" spans="2:9" ht="15.75">
      <c r="B39" s="22" t="s">
        <v>21</v>
      </c>
      <c r="C39" s="172">
        <f>inputPrYr!D58</f>
        <v>0</v>
      </c>
      <c r="D39" s="59"/>
      <c r="E39" s="172">
        <f>inputPrYr!E58</f>
        <v>0</v>
      </c>
      <c r="F39" s="59"/>
      <c r="G39" s="172">
        <f>'debt-lease'!E15</f>
        <v>0</v>
      </c>
      <c r="H39" s="14"/>
      <c r="I39" s="14"/>
    </row>
    <row r="40" spans="2:9" ht="15.75">
      <c r="B40" s="22" t="s">
        <v>796</v>
      </c>
      <c r="C40" s="172">
        <f>inputPrYr!D59</f>
        <v>0</v>
      </c>
      <c r="D40" s="59"/>
      <c r="E40" s="172">
        <f>inputPrYr!E59</f>
        <v>0</v>
      </c>
      <c r="F40" s="59"/>
      <c r="G40" s="172">
        <f>'debt-lease'!F36</f>
        <v>0</v>
      </c>
      <c r="H40" s="14"/>
      <c r="I40" s="14"/>
    </row>
    <row r="41" spans="2:9" ht="16.5" thickBot="1">
      <c r="B41" s="22" t="s">
        <v>52</v>
      </c>
      <c r="C41" s="173">
        <f>SUM(C38:C40)</f>
        <v>0</v>
      </c>
      <c r="D41" s="59"/>
      <c r="E41" s="173">
        <f>SUM(E38:E40)</f>
        <v>0</v>
      </c>
      <c r="F41" s="59"/>
      <c r="G41" s="173">
        <f>SUM(G38:G40)</f>
        <v>0</v>
      </c>
      <c r="H41" s="14"/>
      <c r="I41" s="14"/>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48"/>
      <c r="C44" s="648"/>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v>5</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6">
    <mergeCell ref="B44:C44"/>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tabSelected="1" zoomScalePageLayoutView="0" workbookViewId="0" topLeftCell="A1">
      <selection activeCell="I38" activeCellId="1" sqref="O16 I38"/>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LONDON TOWNSHIP</v>
      </c>
      <c r="B1" s="14"/>
      <c r="C1" s="14"/>
      <c r="D1" s="14"/>
      <c r="E1" s="14"/>
      <c r="F1" s="14">
        <f>inputPrYr!D5</f>
        <v>2014</v>
      </c>
    </row>
    <row r="2" spans="1:6" ht="15.75">
      <c r="A2" s="14"/>
      <c r="B2" s="14"/>
      <c r="C2" s="14"/>
      <c r="D2" s="14"/>
      <c r="E2" s="14"/>
      <c r="F2" s="14"/>
    </row>
    <row r="3" spans="1:6" ht="15.75">
      <c r="A3" s="14"/>
      <c r="B3" s="606" t="str">
        <f>CONCATENATE("",F1," Neighborhood Revitalization Rebate")</f>
        <v>2014 Neighborhood Revitalization Rebate</v>
      </c>
      <c r="C3" s="614"/>
      <c r="D3" s="614"/>
      <c r="E3" s="614"/>
      <c r="F3" s="14"/>
    </row>
    <row r="4" spans="1:6" ht="15.75">
      <c r="A4" s="14"/>
      <c r="B4" s="14"/>
      <c r="C4" s="14"/>
      <c r="D4" s="14"/>
      <c r="E4" s="14"/>
      <c r="F4" s="14"/>
    </row>
    <row r="5" spans="1:6" ht="51" customHeight="1">
      <c r="A5" s="14"/>
      <c r="B5" s="137" t="str">
        <f>CONCATENATE("Budgeted Funds                            for ",F1,"")</f>
        <v>Budgeted Funds                            for 2014</v>
      </c>
      <c r="C5" s="137" t="str">
        <f>CONCATENATE("",F1-1," Ad Valorem before Rebate**")</f>
        <v>2013 Ad Valorem before Rebate**</v>
      </c>
      <c r="D5" s="138" t="str">
        <f>CONCATENATE("",F1-1," Mil Rate before Rebate")</f>
        <v>2013 Mil Rate before Rebate</v>
      </c>
      <c r="E5" s="139" t="str">
        <f>CONCATENATE("Estimate ",F1," NR Rebate")</f>
        <v>Estimate 2014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v>157470</v>
      </c>
      <c r="D8" s="142">
        <f t="shared" si="0"/>
        <v>26.887104383330506</v>
      </c>
      <c r="E8" s="143">
        <f t="shared" si="1"/>
        <v>795</v>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223</v>
      </c>
      <c r="C15" s="145">
        <f>SUM(C6:C14)</f>
        <v>157470</v>
      </c>
      <c r="D15" s="146">
        <f>SUM(D6:D14)</f>
        <v>26.887104383330506</v>
      </c>
      <c r="E15" s="145">
        <f>SUM(E6:E14)</f>
        <v>795</v>
      </c>
      <c r="F15" s="140"/>
    </row>
    <row r="16" spans="1:6" ht="16.5" thickTop="1">
      <c r="A16" s="14"/>
      <c r="B16" s="14"/>
      <c r="C16" s="14"/>
      <c r="D16" s="14"/>
      <c r="E16" s="14"/>
      <c r="F16" s="140"/>
    </row>
    <row r="17" spans="1:6" ht="15.75">
      <c r="A17" s="14"/>
      <c r="B17" s="14"/>
      <c r="C17" s="14"/>
      <c r="D17" s="14"/>
      <c r="E17" s="14"/>
      <c r="F17" s="140"/>
    </row>
    <row r="18" spans="1:6" ht="15.75">
      <c r="A18" s="655" t="str">
        <f>CONCATENATE("",F1-1," July 1 Valuation:")</f>
        <v>2013 July 1 Valuation:</v>
      </c>
      <c r="B18" s="654"/>
      <c r="C18" s="655"/>
      <c r="D18" s="147">
        <f>inputOth!E7</f>
        <v>5856711</v>
      </c>
      <c r="E18" s="14"/>
      <c r="F18" s="140"/>
    </row>
    <row r="19" spans="1:6" ht="15.75">
      <c r="A19" s="14"/>
      <c r="B19" s="14"/>
      <c r="C19" s="14"/>
      <c r="D19" s="14"/>
      <c r="E19" s="14"/>
      <c r="F19" s="140"/>
    </row>
    <row r="20" spans="1:6" ht="15.75">
      <c r="A20" s="14"/>
      <c r="B20" s="655" t="s">
        <v>379</v>
      </c>
      <c r="C20" s="655"/>
      <c r="D20" s="148">
        <f>IF(D18&gt;0,(D18*0.001),"")</f>
        <v>5856.711</v>
      </c>
      <c r="E20" s="14"/>
      <c r="F20" s="140"/>
    </row>
    <row r="21" spans="1:6" ht="15.75">
      <c r="A21" s="14"/>
      <c r="B21" s="48"/>
      <c r="C21" s="48"/>
      <c r="D21" s="149"/>
      <c r="E21" s="14"/>
      <c r="F21" s="140"/>
    </row>
    <row r="22" spans="1:6" ht="15.75">
      <c r="A22" s="653" t="s">
        <v>381</v>
      </c>
      <c r="B22" s="605"/>
      <c r="C22" s="605"/>
      <c r="D22" s="150">
        <f>inputOth!E13</f>
        <v>29576</v>
      </c>
      <c r="E22" s="151"/>
      <c r="F22" s="151"/>
    </row>
    <row r="23" spans="1:6" ht="15.75">
      <c r="A23" s="151"/>
      <c r="B23" s="151"/>
      <c r="C23" s="151"/>
      <c r="D23" s="152"/>
      <c r="E23" s="151"/>
      <c r="F23" s="151"/>
    </row>
    <row r="24" spans="1:6" ht="15.75">
      <c r="A24" s="151"/>
      <c r="B24" s="653" t="s">
        <v>382</v>
      </c>
      <c r="C24" s="654"/>
      <c r="D24" s="153">
        <f>IF(D22&gt;0,(D22*0.001),"")</f>
        <v>29.576</v>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2014 Budget Summary page.  See instructions tab #11 for completing</v>
      </c>
      <c r="B28" s="151"/>
      <c r="C28" s="151"/>
      <c r="D28" s="151"/>
      <c r="E28" s="151"/>
      <c r="F28" s="151"/>
    </row>
    <row r="29" spans="1:6" ht="15.75">
      <c r="A29" s="403" t="s">
        <v>627</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v>6</v>
      </c>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59" t="s">
        <v>133</v>
      </c>
      <c r="B1" s="659"/>
      <c r="C1" s="659"/>
      <c r="D1" s="659"/>
      <c r="E1" s="659"/>
      <c r="F1" s="659"/>
      <c r="G1" s="659"/>
    </row>
    <row r="2" ht="15.75">
      <c r="A2" s="1"/>
    </row>
    <row r="3" spans="1:7" ht="15.75">
      <c r="A3" s="660" t="s">
        <v>134</v>
      </c>
      <c r="B3" s="660"/>
      <c r="C3" s="660"/>
      <c r="D3" s="660"/>
      <c r="E3" s="660"/>
      <c r="F3" s="660"/>
      <c r="G3" s="660"/>
    </row>
    <row r="4" ht="15.75">
      <c r="A4" s="2"/>
    </row>
    <row r="5" ht="15.75">
      <c r="A5" s="2"/>
    </row>
    <row r="6" spans="1:9" ht="15.75">
      <c r="A6" s="8" t="str">
        <f>CONCATENATE("A resolution expressing the property taxation policy of the Board of ",(inputPrYr!D2)," ")</f>
        <v>A resolution expressing the property taxation policy of the Board of LONDON TOWNSHIP </v>
      </c>
      <c r="I6">
        <f>CONCATENATE(I7)</f>
      </c>
    </row>
    <row r="7" spans="1:7" ht="15.75">
      <c r="A7" s="661" t="str">
        <f>CONCATENATE("   with respect to financing the ",inputPrYr!D5," annual budget for ",(inputPrYr!D2)," , ",(inputPrYr!D3)," , Kansas.")</f>
        <v>   with respect to financing the 2014 annual budget for LONDON TOWNSHIP , SUMNER COUNTY , Kansas.</v>
      </c>
      <c r="B7" s="657"/>
      <c r="C7" s="657"/>
      <c r="D7" s="657"/>
      <c r="E7" s="657"/>
      <c r="F7" s="657"/>
      <c r="G7" s="657"/>
    </row>
    <row r="8" spans="1:7" ht="15.75">
      <c r="A8" s="657"/>
      <c r="B8" s="657"/>
      <c r="C8" s="657"/>
      <c r="D8" s="657"/>
      <c r="E8" s="657"/>
      <c r="F8" s="657"/>
      <c r="G8" s="657"/>
    </row>
    <row r="9" ht="15.75">
      <c r="A9" s="1"/>
    </row>
    <row r="10" ht="15.75">
      <c r="A10" s="9" t="s">
        <v>135</v>
      </c>
    </row>
    <row r="11" ht="15.75">
      <c r="A11" s="7" t="str">
        <f>CONCATENATE("to finance the ",inputPrYr!D5," ",(inputPrYr!D2)," budget exceed the amount levied to finance the ",inputPrYr!D5-1,"")</f>
        <v>to finance the 2014 LONDON TOWNSHIP budget exceed the amount levied to finance the 2013</v>
      </c>
    </row>
    <row r="12" spans="1:7" ht="15.75">
      <c r="A12" s="656" t="str">
        <f>CONCATENATE((inputPrYr!D2)," Township budget, except with regard to revenue produced and attributable to the taxation of 1) new improvements to real property; 2) increased personal property valuation, other than increased")</f>
        <v>LONDON TOWNSHIP Township budget, except with regard to revenue produced and attributable to the taxation of 1) new improvements to real property; 2) increased personal property valuation, other than increased</v>
      </c>
      <c r="B12" s="657"/>
      <c r="C12" s="657"/>
      <c r="D12" s="657"/>
      <c r="E12" s="657"/>
      <c r="F12" s="657"/>
      <c r="G12" s="657"/>
    </row>
    <row r="13" spans="1:7" ht="15.75">
      <c r="A13" s="657"/>
      <c r="B13" s="657"/>
      <c r="C13" s="657"/>
      <c r="D13" s="657"/>
      <c r="E13" s="657"/>
      <c r="F13" s="657"/>
      <c r="G13" s="657"/>
    </row>
    <row r="14" spans="1:7" ht="15.75">
      <c r="A14" s="656" t="s">
        <v>140</v>
      </c>
      <c r="B14" s="657"/>
      <c r="C14" s="657"/>
      <c r="D14" s="657"/>
      <c r="E14" s="657"/>
      <c r="F14" s="657"/>
      <c r="G14" s="657"/>
    </row>
    <row r="15" spans="1:7" ht="15.75">
      <c r="A15" s="657"/>
      <c r="B15" s="657"/>
      <c r="C15" s="657"/>
      <c r="D15" s="657"/>
      <c r="E15" s="657"/>
      <c r="F15" s="657"/>
      <c r="G15" s="657"/>
    </row>
    <row r="16" spans="1:7" ht="15.75">
      <c r="A16" s="658"/>
      <c r="B16" s="658"/>
      <c r="C16" s="658"/>
      <c r="D16" s="658"/>
      <c r="E16" s="658"/>
      <c r="F16" s="658"/>
      <c r="G16" s="658"/>
    </row>
    <row r="17" ht="15.75">
      <c r="A17" s="2"/>
    </row>
    <row r="18" spans="1:7" ht="15.75">
      <c r="A18" s="662" t="s">
        <v>136</v>
      </c>
      <c r="B18" s="657"/>
      <c r="C18" s="657"/>
      <c r="D18" s="657"/>
      <c r="E18" s="657"/>
      <c r="F18" s="657"/>
      <c r="G18" s="657"/>
    </row>
    <row r="19" spans="1:7" ht="15.75">
      <c r="A19" s="657"/>
      <c r="B19" s="657"/>
      <c r="C19" s="657"/>
      <c r="D19" s="657"/>
      <c r="E19" s="657"/>
      <c r="F19" s="657"/>
      <c r="G19" s="657"/>
    </row>
    <row r="20" ht="15.75">
      <c r="A20" s="2"/>
    </row>
    <row r="21" spans="1:7" ht="15.75">
      <c r="A21" s="662" t="str">
        <f>CONCATENATE("Whereas, ",(inputPrYr!D2)," provides essential services to protect the safety and well being of the citizens of the township; and")</f>
        <v>Whereas, LONDON TOWNSHIP provides essential services to protect the safety and well being of the citizens of the township; and</v>
      </c>
      <c r="B21" s="657"/>
      <c r="C21" s="657"/>
      <c r="D21" s="657"/>
      <c r="E21" s="657"/>
      <c r="F21" s="657"/>
      <c r="G21" s="657"/>
    </row>
    <row r="22" spans="1:7" ht="15.75">
      <c r="A22" s="657"/>
      <c r="B22" s="657"/>
      <c r="C22" s="657"/>
      <c r="D22" s="657"/>
      <c r="E22" s="657"/>
      <c r="F22" s="657"/>
      <c r="G22" s="657"/>
    </row>
    <row r="23" ht="15.75">
      <c r="A23" s="4"/>
    </row>
    <row r="24" ht="15.75">
      <c r="A24" s="3" t="s">
        <v>137</v>
      </c>
    </row>
    <row r="25" ht="15.75">
      <c r="A25" s="4"/>
    </row>
    <row r="26" spans="1:7" ht="15.75">
      <c r="A26" s="662" t="str">
        <f>CONCATENATE("NOW, THEREFORE, BE IT RESOLVED by the Board of ",(inputPrYr!D2)," of ",(inputPrYr!D3),", Kansas that is our desire to notify the public of increased property taxes to finance the ",inputPrYr!D5," ",(inputPrYr!D2),"  budget as defined above.")</f>
        <v>NOW, THEREFORE, BE IT RESOLVED by the Board of LONDON TOWNSHIP of SUMNER COUNTY, Kansas that is our desire to notify the public of increased property taxes to finance the 2014 LONDON TOWNSHIP  budget as defined above.</v>
      </c>
      <c r="B26" s="657"/>
      <c r="C26" s="657"/>
      <c r="D26" s="657"/>
      <c r="E26" s="657"/>
      <c r="F26" s="657"/>
      <c r="G26" s="657"/>
    </row>
    <row r="27" spans="1:7" ht="15.75">
      <c r="A27" s="657"/>
      <c r="B27" s="657"/>
      <c r="C27" s="657"/>
      <c r="D27" s="657"/>
      <c r="E27" s="657"/>
      <c r="F27" s="657"/>
      <c r="G27" s="657"/>
    </row>
    <row r="28" spans="1:7" ht="15.75">
      <c r="A28" s="657"/>
      <c r="B28" s="657"/>
      <c r="C28" s="657"/>
      <c r="D28" s="657"/>
      <c r="E28" s="657"/>
      <c r="F28" s="657"/>
      <c r="G28" s="657"/>
    </row>
    <row r="29" ht="15.75">
      <c r="A29" s="4"/>
    </row>
    <row r="30" spans="1:7" ht="15.75">
      <c r="A30" s="665" t="str">
        <f>CONCATENATE("Adopted this _________ day of ___________, ",inputPrYr!D5-1," by the ",(inputPrYr!D2)," Board, ",(inputPrYr!D3),", Kansas.")</f>
        <v>Adopted this _________ day of ___________, 2013 by the LONDON TOWNSHIP Board, SUMNER COUNTY, Kansas.</v>
      </c>
      <c r="B30" s="657"/>
      <c r="C30" s="657"/>
      <c r="D30" s="657"/>
      <c r="E30" s="657"/>
      <c r="F30" s="657"/>
      <c r="G30" s="657"/>
    </row>
    <row r="31" spans="1:7" ht="15.75">
      <c r="A31" s="657"/>
      <c r="B31" s="657"/>
      <c r="C31" s="657"/>
      <c r="D31" s="657"/>
      <c r="E31" s="657"/>
      <c r="F31" s="657"/>
      <c r="G31" s="657"/>
    </row>
    <row r="32" ht="15.75">
      <c r="A32" s="4"/>
    </row>
    <row r="33" spans="4:7" ht="15.75">
      <c r="D33" s="663" t="str">
        <f>CONCATENATE((inputPrYr!D2)," Board")</f>
        <v>LONDON TOWNSHIP Board</v>
      </c>
      <c r="E33" s="663"/>
      <c r="F33" s="663"/>
      <c r="G33" s="663"/>
    </row>
    <row r="35" spans="4:7" ht="15.75">
      <c r="D35" s="664" t="s">
        <v>138</v>
      </c>
      <c r="E35" s="664"/>
      <c r="F35" s="664"/>
      <c r="G35" s="664"/>
    </row>
    <row r="36" spans="1:7" ht="15.75">
      <c r="A36" s="5"/>
      <c r="D36" s="664" t="s">
        <v>142</v>
      </c>
      <c r="E36" s="664"/>
      <c r="F36" s="664"/>
      <c r="G36" s="664"/>
    </row>
    <row r="37" spans="4:7" ht="15.75">
      <c r="D37" s="664"/>
      <c r="E37" s="664"/>
      <c r="F37" s="664"/>
      <c r="G37" s="664"/>
    </row>
    <row r="38" spans="4:7" ht="15.75">
      <c r="D38" s="664" t="s">
        <v>138</v>
      </c>
      <c r="E38" s="664"/>
      <c r="F38" s="664"/>
      <c r="G38" s="664"/>
    </row>
    <row r="39" spans="1:7" ht="15.75">
      <c r="A39" s="4"/>
      <c r="D39" s="664" t="s">
        <v>143</v>
      </c>
      <c r="E39" s="664"/>
      <c r="F39" s="664"/>
      <c r="G39" s="664"/>
    </row>
    <row r="40" spans="4:7" ht="15.75">
      <c r="D40" s="664"/>
      <c r="E40" s="664"/>
      <c r="F40" s="664"/>
      <c r="G40" s="664"/>
    </row>
    <row r="41" spans="4:7" ht="15.75">
      <c r="D41" s="664" t="s">
        <v>141</v>
      </c>
      <c r="E41" s="664"/>
      <c r="F41" s="664"/>
      <c r="G41" s="664"/>
    </row>
    <row r="42" spans="1:7" ht="15.75">
      <c r="A42" s="4"/>
      <c r="D42" s="664" t="s">
        <v>144</v>
      </c>
      <c r="E42" s="664"/>
      <c r="F42" s="664"/>
      <c r="G42" s="664"/>
    </row>
    <row r="43" ht="15.75">
      <c r="A43" s="6"/>
    </row>
    <row r="44" ht="15.75">
      <c r="A44" s="6"/>
    </row>
    <row r="45" ht="15.75">
      <c r="A45" s="6" t="s">
        <v>139</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395</v>
      </c>
      <c r="B3" s="380"/>
      <c r="C3" s="380"/>
      <c r="D3" s="380"/>
      <c r="E3" s="380"/>
      <c r="F3" s="380"/>
      <c r="G3" s="380"/>
      <c r="H3" s="380"/>
      <c r="I3" s="380"/>
      <c r="J3" s="380"/>
      <c r="K3" s="380"/>
      <c r="L3" s="380"/>
    </row>
    <row r="5" ht="15.75">
      <c r="A5" s="379" t="s">
        <v>396</v>
      </c>
    </row>
    <row r="6" ht="15.75">
      <c r="A6" s="379" t="str">
        <f>CONCATENATE(inputPrYr!D5-2," 'total expenditures' exceed your ",inputPrYr!D5-2," 'budget authority.'")</f>
        <v>2012 'total expenditures' exceed your 2012 'budget authority.'</v>
      </c>
    </row>
    <row r="7" ht="15.75">
      <c r="A7" s="379"/>
    </row>
    <row r="8" ht="15.75">
      <c r="A8" s="379" t="s">
        <v>397</v>
      </c>
    </row>
    <row r="9" ht="15.75">
      <c r="A9" s="379" t="s">
        <v>398</v>
      </c>
    </row>
    <row r="10" ht="15.75">
      <c r="A10" s="379" t="s">
        <v>399</v>
      </c>
    </row>
    <row r="11" ht="15.75">
      <c r="A11" s="379"/>
    </row>
    <row r="12" ht="15.75">
      <c r="A12" s="379"/>
    </row>
    <row r="13" ht="15.75">
      <c r="A13" s="378" t="s">
        <v>400</v>
      </c>
    </row>
    <row r="15" ht="15.75">
      <c r="A15" s="379" t="s">
        <v>401</v>
      </c>
    </row>
    <row r="16" ht="15.75">
      <c r="A16" s="379" t="str">
        <f>CONCATENATE("(i.e. an audit has not been completed, or the ",inputPrYr!D5," adopted")</f>
        <v>(i.e. an audit has not been completed, or the 2014 adopted</v>
      </c>
    </row>
    <row r="17" ht="15.75">
      <c r="A17" s="379" t="s">
        <v>402</v>
      </c>
    </row>
    <row r="18" ht="15.75">
      <c r="A18" s="379" t="s">
        <v>403</v>
      </c>
    </row>
    <row r="19" ht="15.75">
      <c r="A19" s="379" t="s">
        <v>404</v>
      </c>
    </row>
    <row r="21" ht="15.75">
      <c r="A21" s="378" t="s">
        <v>405</v>
      </c>
    </row>
    <row r="22" ht="15.75">
      <c r="A22" s="378"/>
    </row>
    <row r="23" ht="15.75">
      <c r="A23" s="379" t="s">
        <v>406</v>
      </c>
    </row>
    <row r="24" ht="15.75">
      <c r="A24" s="379" t="s">
        <v>407</v>
      </c>
    </row>
    <row r="25" ht="15.75">
      <c r="A25" s="379" t="str">
        <f>CONCATENATE("particular fund.  If your ",inputPrYr!D5-2," budget was amended, did you")</f>
        <v>particular fund.  If your 2012 budget was amended, did you</v>
      </c>
    </row>
    <row r="26" ht="15.75">
      <c r="A26" s="379" t="s">
        <v>408</v>
      </c>
    </row>
    <row r="27" ht="15.75">
      <c r="A27" s="379"/>
    </row>
    <row r="28" ht="15.75">
      <c r="A28" s="379" t="str">
        <f>CONCATENATE("Next, look to see if any of your ",inputPrYr!D5-2," expenditures can be")</f>
        <v>Next, look to see if any of your 2012 expenditures can be</v>
      </c>
    </row>
    <row r="29" ht="15.75">
      <c r="A29" s="379" t="s">
        <v>409</v>
      </c>
    </row>
    <row r="30" ht="15.75">
      <c r="A30" s="379" t="s">
        <v>410</v>
      </c>
    </row>
    <row r="31" ht="15.75">
      <c r="A31" s="379" t="s">
        <v>411</v>
      </c>
    </row>
    <row r="32" ht="15.75">
      <c r="A32" s="379"/>
    </row>
    <row r="33" ht="15.75">
      <c r="A33" s="379" t="str">
        <f>CONCATENATE("Additionally, do your ",inputPrYr!D5-2," receipts contain a reimbursement")</f>
        <v>Additionally, do your 2012 receipts contain a reimbursement</v>
      </c>
    </row>
    <row r="34" ht="15.75">
      <c r="A34" s="379" t="s">
        <v>412</v>
      </c>
    </row>
    <row r="35" ht="15.75">
      <c r="A35" s="379" t="s">
        <v>413</v>
      </c>
    </row>
    <row r="36" ht="15.75">
      <c r="A36" s="379"/>
    </row>
    <row r="37" ht="15.75">
      <c r="A37" s="379" t="s">
        <v>414</v>
      </c>
    </row>
    <row r="38" ht="15.75">
      <c r="A38" s="379" t="s">
        <v>600</v>
      </c>
    </row>
    <row r="39" ht="15.75">
      <c r="A39" s="379" t="s">
        <v>601</v>
      </c>
    </row>
    <row r="40" ht="15.75">
      <c r="A40" s="379" t="s">
        <v>415</v>
      </c>
    </row>
    <row r="41" ht="15.75">
      <c r="A41" s="379" t="s">
        <v>416</v>
      </c>
    </row>
    <row r="42" ht="15.75">
      <c r="A42" s="379" t="s">
        <v>417</v>
      </c>
    </row>
    <row r="43" ht="15.75">
      <c r="A43" s="379" t="s">
        <v>418</v>
      </c>
    </row>
    <row r="44" ht="15.75">
      <c r="A44" s="379" t="s">
        <v>419</v>
      </c>
    </row>
    <row r="45" ht="15.75">
      <c r="A45" s="379"/>
    </row>
    <row r="46" ht="15.75">
      <c r="A46" s="379" t="s">
        <v>420</v>
      </c>
    </row>
    <row r="47" ht="15.75">
      <c r="A47" s="379" t="s">
        <v>421</v>
      </c>
    </row>
    <row r="48" ht="15.75">
      <c r="A48" s="379" t="s">
        <v>422</v>
      </c>
    </row>
    <row r="49" ht="15.75">
      <c r="A49" s="379"/>
    </row>
    <row r="50" ht="15.75">
      <c r="A50" s="379" t="s">
        <v>423</v>
      </c>
    </row>
    <row r="51" ht="15.75">
      <c r="A51" s="379" t="s">
        <v>424</v>
      </c>
    </row>
    <row r="52" ht="15.75">
      <c r="A52" s="379" t="s">
        <v>425</v>
      </c>
    </row>
    <row r="53" ht="15.75">
      <c r="A53" s="379"/>
    </row>
    <row r="54" ht="15.75">
      <c r="A54" s="378" t="s">
        <v>426</v>
      </c>
    </row>
    <row r="55" ht="15.75">
      <c r="A55" s="379"/>
    </row>
    <row r="56" ht="15.75">
      <c r="A56" s="379" t="s">
        <v>427</v>
      </c>
    </row>
    <row r="57" ht="15.75">
      <c r="A57" s="379" t="s">
        <v>428</v>
      </c>
    </row>
    <row r="58" ht="15.75">
      <c r="A58" s="379" t="s">
        <v>429</v>
      </c>
    </row>
    <row r="59" ht="15.75">
      <c r="A59" s="379" t="s">
        <v>430</v>
      </c>
    </row>
    <row r="60" ht="15.75">
      <c r="A60" s="379" t="s">
        <v>431</v>
      </c>
    </row>
    <row r="61" ht="15.75">
      <c r="A61" s="379" t="s">
        <v>432</v>
      </c>
    </row>
    <row r="62" ht="15.75">
      <c r="A62" s="379" t="s">
        <v>433</v>
      </c>
    </row>
    <row r="63" ht="15.75">
      <c r="A63" s="379" t="s">
        <v>434</v>
      </c>
    </row>
    <row r="64" ht="15.75">
      <c r="A64" s="379" t="s">
        <v>435</v>
      </c>
    </row>
    <row r="65" ht="15.75">
      <c r="A65" s="379" t="s">
        <v>436</v>
      </c>
    </row>
    <row r="66" ht="15.75">
      <c r="A66" s="379" t="s">
        <v>437</v>
      </c>
    </row>
    <row r="67" ht="15.75">
      <c r="A67" s="379" t="s">
        <v>438</v>
      </c>
    </row>
    <row r="68" ht="15.75">
      <c r="A68" s="379" t="s">
        <v>439</v>
      </c>
    </row>
    <row r="69" ht="15.75">
      <c r="A69" s="379"/>
    </row>
    <row r="70" ht="15.75">
      <c r="A70" s="379" t="s">
        <v>440</v>
      </c>
    </row>
    <row r="71" ht="15.75">
      <c r="A71" s="379" t="s">
        <v>441</v>
      </c>
    </row>
    <row r="72" ht="15.75">
      <c r="A72" s="379" t="s">
        <v>442</v>
      </c>
    </row>
    <row r="73" ht="15.75">
      <c r="A73" s="379"/>
    </row>
    <row r="74" ht="15.75">
      <c r="A74" s="378" t="str">
        <f>CONCATENATE("What if the ",inputPrYr!D5-2," financial records have been closed?")</f>
        <v>What if the 2012 financial records have been closed?</v>
      </c>
    </row>
    <row r="76" ht="15.75">
      <c r="A76" s="379" t="s">
        <v>443</v>
      </c>
    </row>
    <row r="77" ht="15.75">
      <c r="A77" s="379" t="str">
        <f>CONCATENATE("(i.e. an audit for ",inputPrYr!D5-2," has been completed, or the ",inputPrYr!D5)</f>
        <v>(i.e. an audit for 2012 has been completed, or the 2014</v>
      </c>
    </row>
    <row r="78" ht="15.75">
      <c r="A78" s="379" t="s">
        <v>444</v>
      </c>
    </row>
    <row r="79" ht="15.75">
      <c r="A79" s="379" t="s">
        <v>445</v>
      </c>
    </row>
    <row r="80" ht="15.75">
      <c r="A80" s="379"/>
    </row>
    <row r="81" ht="15.75">
      <c r="A81" s="379" t="s">
        <v>446</v>
      </c>
    </row>
    <row r="82" ht="15.75">
      <c r="A82" s="379" t="s">
        <v>447</v>
      </c>
    </row>
    <row r="83" ht="15.75">
      <c r="A83" s="379" t="s">
        <v>448</v>
      </c>
    </row>
    <row r="84" ht="15.75">
      <c r="A84" s="379"/>
    </row>
    <row r="85" ht="15.75">
      <c r="A85" s="379" t="s">
        <v>449</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450</v>
      </c>
      <c r="B3" s="380"/>
      <c r="C3" s="380"/>
      <c r="D3" s="380"/>
      <c r="E3" s="380"/>
      <c r="F3" s="380"/>
      <c r="G3" s="380"/>
      <c r="H3" s="377"/>
      <c r="I3" s="377"/>
      <c r="J3" s="377"/>
    </row>
    <row r="5" ht="15.75">
      <c r="A5" s="379" t="s">
        <v>451</v>
      </c>
    </row>
    <row r="6" ht="15.75">
      <c r="A6" t="str">
        <f>CONCATENATE(inputPrYr!D5-2," expenditures show that you finished the year with a ")</f>
        <v>2012 expenditures show that you finished the year with a </v>
      </c>
    </row>
    <row r="7" ht="15.75">
      <c r="A7" t="s">
        <v>452</v>
      </c>
    </row>
    <row r="9" ht="15.75">
      <c r="A9" t="s">
        <v>453</v>
      </c>
    </row>
    <row r="10" ht="15.75">
      <c r="A10" t="s">
        <v>454</v>
      </c>
    </row>
    <row r="11" ht="15.75">
      <c r="A11" t="s">
        <v>455</v>
      </c>
    </row>
    <row r="13" ht="15.75">
      <c r="A13" s="378" t="s">
        <v>456</v>
      </c>
    </row>
    <row r="14" ht="15.75">
      <c r="A14" s="378"/>
    </row>
    <row r="15" ht="15.75">
      <c r="A15" s="379" t="s">
        <v>457</v>
      </c>
    </row>
    <row r="16" ht="15.75">
      <c r="A16" s="379" t="s">
        <v>458</v>
      </c>
    </row>
    <row r="17" ht="15.75">
      <c r="A17" s="379" t="s">
        <v>459</v>
      </c>
    </row>
    <row r="18" ht="15.75">
      <c r="A18" s="379"/>
    </row>
    <row r="19" ht="15.75">
      <c r="A19" s="378" t="s">
        <v>460</v>
      </c>
    </row>
    <row r="20" ht="15.75">
      <c r="A20" s="378"/>
    </row>
    <row r="21" ht="15.75">
      <c r="A21" s="379" t="s">
        <v>461</v>
      </c>
    </row>
    <row r="22" ht="15.75">
      <c r="A22" s="379" t="s">
        <v>462</v>
      </c>
    </row>
    <row r="23" ht="15.75">
      <c r="A23" s="379" t="s">
        <v>463</v>
      </c>
    </row>
    <row r="24" ht="15.75">
      <c r="A24" s="379"/>
    </row>
    <row r="25" ht="15.75">
      <c r="A25" s="378" t="s">
        <v>464</v>
      </c>
    </row>
    <row r="26" ht="15.75">
      <c r="A26" s="378"/>
    </row>
    <row r="27" ht="15.75">
      <c r="A27" s="379" t="s">
        <v>465</v>
      </c>
    </row>
    <row r="28" ht="15.75">
      <c r="A28" s="379" t="s">
        <v>466</v>
      </c>
    </row>
    <row r="29" ht="15.75">
      <c r="A29" s="379" t="s">
        <v>467</v>
      </c>
    </row>
    <row r="30" ht="15.75">
      <c r="A30" s="379"/>
    </row>
    <row r="31" ht="15.75">
      <c r="A31" s="378" t="s">
        <v>468</v>
      </c>
    </row>
    <row r="32" ht="15.75">
      <c r="A32" s="378"/>
    </row>
    <row r="33" spans="1:8" ht="15.75">
      <c r="A33" s="379" t="str">
        <f>CONCATENATE("If your financial records for ",inputPrYr!D5-2," are not closed")</f>
        <v>If your financial records for 2012 are not closed</v>
      </c>
      <c r="B33" s="379"/>
      <c r="C33" s="379"/>
      <c r="D33" s="379"/>
      <c r="E33" s="379"/>
      <c r="F33" s="379"/>
      <c r="G33" s="379"/>
      <c r="H33" s="379"/>
    </row>
    <row r="34" spans="1:8" ht="15.75">
      <c r="A34" s="379" t="str">
        <f>CONCATENATE("(i.e. an audit has not been completed, or the ",inputPrYr!D5," adopted ")</f>
        <v>(i.e. an audit has not been completed, or the 2014 adopted </v>
      </c>
      <c r="B34" s="379"/>
      <c r="C34" s="379"/>
      <c r="D34" s="379"/>
      <c r="E34" s="379"/>
      <c r="F34" s="379"/>
      <c r="G34" s="379"/>
      <c r="H34" s="379"/>
    </row>
    <row r="35" spans="1:8" ht="15.75">
      <c r="A35" s="379" t="s">
        <v>469</v>
      </c>
      <c r="B35" s="379"/>
      <c r="C35" s="379"/>
      <c r="D35" s="379"/>
      <c r="E35" s="379"/>
      <c r="F35" s="379"/>
      <c r="G35" s="379"/>
      <c r="H35" s="379"/>
    </row>
    <row r="36" spans="1:8" ht="15.75">
      <c r="A36" s="379" t="s">
        <v>470</v>
      </c>
      <c r="B36" s="379"/>
      <c r="C36" s="379"/>
      <c r="D36" s="379"/>
      <c r="E36" s="379"/>
      <c r="F36" s="379"/>
      <c r="G36" s="379"/>
      <c r="H36" s="379"/>
    </row>
    <row r="37" spans="1:8" ht="15.75">
      <c r="A37" s="379" t="s">
        <v>471</v>
      </c>
      <c r="B37" s="379"/>
      <c r="C37" s="379"/>
      <c r="D37" s="379"/>
      <c r="E37" s="379"/>
      <c r="F37" s="379"/>
      <c r="G37" s="379"/>
      <c r="H37" s="379"/>
    </row>
    <row r="38" spans="1:8" ht="15.75">
      <c r="A38" s="379" t="s">
        <v>472</v>
      </c>
      <c r="B38" s="379"/>
      <c r="C38" s="379"/>
      <c r="D38" s="379"/>
      <c r="E38" s="379"/>
      <c r="F38" s="379"/>
      <c r="G38" s="379"/>
      <c r="H38" s="379"/>
    </row>
    <row r="39" spans="1:8" ht="15.75">
      <c r="A39" s="379" t="s">
        <v>473</v>
      </c>
      <c r="B39" s="379"/>
      <c r="C39" s="379"/>
      <c r="D39" s="379"/>
      <c r="E39" s="379"/>
      <c r="F39" s="379"/>
      <c r="G39" s="379"/>
      <c r="H39" s="379"/>
    </row>
    <row r="40" spans="1:8" ht="15.75">
      <c r="A40" s="379"/>
      <c r="B40" s="379"/>
      <c r="C40" s="379"/>
      <c r="D40" s="379"/>
      <c r="E40" s="379"/>
      <c r="F40" s="379"/>
      <c r="G40" s="379"/>
      <c r="H40" s="379"/>
    </row>
    <row r="41" spans="1:8" ht="15.75">
      <c r="A41" s="379" t="s">
        <v>474</v>
      </c>
      <c r="B41" s="379"/>
      <c r="C41" s="379"/>
      <c r="D41" s="379"/>
      <c r="E41" s="379"/>
      <c r="F41" s="379"/>
      <c r="G41" s="379"/>
      <c r="H41" s="379"/>
    </row>
    <row r="42" spans="1:8" ht="15.75">
      <c r="A42" s="379" t="s">
        <v>475</v>
      </c>
      <c r="B42" s="379"/>
      <c r="C42" s="379"/>
      <c r="D42" s="379"/>
      <c r="E42" s="379"/>
      <c r="F42" s="379"/>
      <c r="G42" s="379"/>
      <c r="H42" s="379"/>
    </row>
    <row r="43" spans="1:8" ht="15.75">
      <c r="A43" s="379" t="s">
        <v>476</v>
      </c>
      <c r="B43" s="379"/>
      <c r="C43" s="379"/>
      <c r="D43" s="379"/>
      <c r="E43" s="379"/>
      <c r="F43" s="379"/>
      <c r="G43" s="379"/>
      <c r="H43" s="379"/>
    </row>
    <row r="44" spans="1:8" ht="15.75">
      <c r="A44" s="379" t="s">
        <v>477</v>
      </c>
      <c r="B44" s="379"/>
      <c r="C44" s="379"/>
      <c r="D44" s="379"/>
      <c r="E44" s="379"/>
      <c r="F44" s="379"/>
      <c r="G44" s="379"/>
      <c r="H44" s="379"/>
    </row>
    <row r="45" spans="1:8" ht="15.75">
      <c r="A45" s="379"/>
      <c r="B45" s="379"/>
      <c r="C45" s="379"/>
      <c r="D45" s="379"/>
      <c r="E45" s="379"/>
      <c r="F45" s="379"/>
      <c r="G45" s="379"/>
      <c r="H45" s="379"/>
    </row>
    <row r="46" spans="1:8" ht="15.75">
      <c r="A46" s="379" t="s">
        <v>478</v>
      </c>
      <c r="B46" s="379"/>
      <c r="C46" s="379"/>
      <c r="D46" s="379"/>
      <c r="E46" s="379"/>
      <c r="F46" s="379"/>
      <c r="G46" s="379"/>
      <c r="H46" s="379"/>
    </row>
    <row r="47" spans="1:8" ht="15.75">
      <c r="A47" s="379" t="s">
        <v>479</v>
      </c>
      <c r="B47" s="379"/>
      <c r="C47" s="379"/>
      <c r="D47" s="379"/>
      <c r="E47" s="379"/>
      <c r="F47" s="379"/>
      <c r="G47" s="379"/>
      <c r="H47" s="379"/>
    </row>
    <row r="48" spans="1:8" ht="15.75">
      <c r="A48" s="379" t="s">
        <v>480</v>
      </c>
      <c r="B48" s="379"/>
      <c r="C48" s="379"/>
      <c r="D48" s="379"/>
      <c r="E48" s="379"/>
      <c r="F48" s="379"/>
      <c r="G48" s="379"/>
      <c r="H48" s="379"/>
    </row>
    <row r="49" spans="1:8" ht="15.75">
      <c r="A49" s="379" t="s">
        <v>481</v>
      </c>
      <c r="B49" s="379"/>
      <c r="C49" s="379"/>
      <c r="D49" s="379"/>
      <c r="E49" s="379"/>
      <c r="F49" s="379"/>
      <c r="G49" s="379"/>
      <c r="H49" s="379"/>
    </row>
    <row r="50" spans="1:8" ht="15.75">
      <c r="A50" s="379" t="s">
        <v>482</v>
      </c>
      <c r="B50" s="379"/>
      <c r="C50" s="379"/>
      <c r="D50" s="379"/>
      <c r="E50" s="379"/>
      <c r="F50" s="379"/>
      <c r="G50" s="379"/>
      <c r="H50" s="379"/>
    </row>
    <row r="51" spans="1:8" ht="15.75">
      <c r="A51" s="379"/>
      <c r="B51" s="379"/>
      <c r="C51" s="379"/>
      <c r="D51" s="379"/>
      <c r="E51" s="379"/>
      <c r="F51" s="379"/>
      <c r="G51" s="379"/>
      <c r="H51" s="379"/>
    </row>
    <row r="52" spans="1:8" ht="15.75">
      <c r="A52" s="378" t="s">
        <v>483</v>
      </c>
      <c r="B52" s="378"/>
      <c r="C52" s="378"/>
      <c r="D52" s="378"/>
      <c r="E52" s="378"/>
      <c r="F52" s="378"/>
      <c r="G52" s="378"/>
      <c r="H52" s="379"/>
    </row>
    <row r="53" spans="1:8" ht="15.75">
      <c r="A53" s="378" t="s">
        <v>484</v>
      </c>
      <c r="B53" s="378"/>
      <c r="C53" s="378"/>
      <c r="D53" s="378"/>
      <c r="E53" s="378"/>
      <c r="F53" s="378"/>
      <c r="G53" s="378"/>
      <c r="H53" s="379"/>
    </row>
    <row r="54" spans="1:8" ht="15.75">
      <c r="A54" s="379"/>
      <c r="B54" s="379"/>
      <c r="C54" s="379"/>
      <c r="D54" s="379"/>
      <c r="E54" s="379"/>
      <c r="F54" s="379"/>
      <c r="G54" s="379"/>
      <c r="H54" s="379"/>
    </row>
    <row r="55" spans="1:8" ht="15.75">
      <c r="A55" s="379" t="s">
        <v>485</v>
      </c>
      <c r="B55" s="379"/>
      <c r="C55" s="379"/>
      <c r="D55" s="379"/>
      <c r="E55" s="379"/>
      <c r="F55" s="379"/>
      <c r="G55" s="379"/>
      <c r="H55" s="379"/>
    </row>
    <row r="56" spans="1:8" ht="15.75">
      <c r="A56" s="379" t="s">
        <v>486</v>
      </c>
      <c r="B56" s="379"/>
      <c r="C56" s="379"/>
      <c r="D56" s="379"/>
      <c r="E56" s="379"/>
      <c r="F56" s="379"/>
      <c r="G56" s="379"/>
      <c r="H56" s="379"/>
    </row>
    <row r="57" spans="1:8" ht="15.75">
      <c r="A57" s="379" t="s">
        <v>487</v>
      </c>
      <c r="B57" s="379"/>
      <c r="C57" s="379"/>
      <c r="D57" s="379"/>
      <c r="E57" s="379"/>
      <c r="F57" s="379"/>
      <c r="G57" s="379"/>
      <c r="H57" s="379"/>
    </row>
    <row r="58" spans="1:8" ht="15.75">
      <c r="A58" s="379" t="s">
        <v>488</v>
      </c>
      <c r="B58" s="379"/>
      <c r="C58" s="379"/>
      <c r="D58" s="379"/>
      <c r="E58" s="379"/>
      <c r="F58" s="379"/>
      <c r="G58" s="379"/>
      <c r="H58" s="379"/>
    </row>
    <row r="59" spans="1:8" ht="15.75">
      <c r="A59" s="379"/>
      <c r="B59" s="379"/>
      <c r="C59" s="379"/>
      <c r="D59" s="379"/>
      <c r="E59" s="379"/>
      <c r="F59" s="379"/>
      <c r="G59" s="379"/>
      <c r="H59" s="379"/>
    </row>
    <row r="60" spans="1:8" ht="15.75">
      <c r="A60" s="379" t="s">
        <v>489</v>
      </c>
      <c r="B60" s="379"/>
      <c r="C60" s="379"/>
      <c r="D60" s="379"/>
      <c r="E60" s="379"/>
      <c r="F60" s="379"/>
      <c r="G60" s="379"/>
      <c r="H60" s="379"/>
    </row>
    <row r="61" spans="1:8" ht="15.75">
      <c r="A61" s="379" t="s">
        <v>490</v>
      </c>
      <c r="B61" s="379"/>
      <c r="C61" s="379"/>
      <c r="D61" s="379"/>
      <c r="E61" s="379"/>
      <c r="F61" s="379"/>
      <c r="G61" s="379"/>
      <c r="H61" s="379"/>
    </row>
    <row r="62" spans="1:8" ht="15.75">
      <c r="A62" s="379" t="s">
        <v>491</v>
      </c>
      <c r="B62" s="379"/>
      <c r="C62" s="379"/>
      <c r="D62" s="379"/>
      <c r="E62" s="379"/>
      <c r="F62" s="379"/>
      <c r="G62" s="379"/>
      <c r="H62" s="379"/>
    </row>
    <row r="63" spans="1:8" ht="15.75">
      <c r="A63" s="379" t="s">
        <v>492</v>
      </c>
      <c r="B63" s="379"/>
      <c r="C63" s="379"/>
      <c r="D63" s="379"/>
      <c r="E63" s="379"/>
      <c r="F63" s="379"/>
      <c r="G63" s="379"/>
      <c r="H63" s="379"/>
    </row>
    <row r="64" spans="1:8" ht="15.75">
      <c r="A64" s="379" t="s">
        <v>493</v>
      </c>
      <c r="B64" s="379"/>
      <c r="C64" s="379"/>
      <c r="D64" s="379"/>
      <c r="E64" s="379"/>
      <c r="F64" s="379"/>
      <c r="G64" s="379"/>
      <c r="H64" s="379"/>
    </row>
    <row r="65" spans="1:8" ht="15.75">
      <c r="A65" s="379" t="s">
        <v>494</v>
      </c>
      <c r="B65" s="379"/>
      <c r="C65" s="379"/>
      <c r="D65" s="379"/>
      <c r="E65" s="379"/>
      <c r="F65" s="379"/>
      <c r="G65" s="379"/>
      <c r="H65" s="379"/>
    </row>
    <row r="66" spans="1:8" ht="15.75">
      <c r="A66" s="379"/>
      <c r="B66" s="379"/>
      <c r="C66" s="379"/>
      <c r="D66" s="379"/>
      <c r="E66" s="379"/>
      <c r="F66" s="379"/>
      <c r="G66" s="379"/>
      <c r="H66" s="379"/>
    </row>
    <row r="67" spans="1:8" ht="15.75">
      <c r="A67" s="379" t="s">
        <v>495</v>
      </c>
      <c r="B67" s="379"/>
      <c r="C67" s="379"/>
      <c r="D67" s="379"/>
      <c r="E67" s="379"/>
      <c r="F67" s="379"/>
      <c r="G67" s="379"/>
      <c r="H67" s="379"/>
    </row>
    <row r="68" spans="1:8" ht="15.75">
      <c r="A68" s="379" t="s">
        <v>496</v>
      </c>
      <c r="B68" s="379"/>
      <c r="C68" s="379"/>
      <c r="D68" s="379"/>
      <c r="E68" s="379"/>
      <c r="F68" s="379"/>
      <c r="G68" s="379"/>
      <c r="H68" s="379"/>
    </row>
    <row r="69" spans="1:8" ht="15.75">
      <c r="A69" s="379" t="s">
        <v>497</v>
      </c>
      <c r="B69" s="379"/>
      <c r="C69" s="379"/>
      <c r="D69" s="379"/>
      <c r="E69" s="379"/>
      <c r="F69" s="379"/>
      <c r="G69" s="379"/>
      <c r="H69" s="379"/>
    </row>
    <row r="70" spans="1:8" ht="15.75">
      <c r="A70" s="379" t="s">
        <v>498</v>
      </c>
      <c r="B70" s="379"/>
      <c r="C70" s="379"/>
      <c r="D70" s="379"/>
      <c r="E70" s="379"/>
      <c r="F70" s="379"/>
      <c r="G70" s="379"/>
      <c r="H70" s="379"/>
    </row>
    <row r="71" spans="1:8" ht="15.75">
      <c r="A71" s="379" t="s">
        <v>499</v>
      </c>
      <c r="B71" s="379"/>
      <c r="C71" s="379"/>
      <c r="D71" s="379"/>
      <c r="E71" s="379"/>
      <c r="F71" s="379"/>
      <c r="G71" s="379"/>
      <c r="H71" s="379"/>
    </row>
    <row r="72" spans="1:8" ht="15.75">
      <c r="A72" s="379" t="s">
        <v>500</v>
      </c>
      <c r="B72" s="379"/>
      <c r="C72" s="379"/>
      <c r="D72" s="379"/>
      <c r="E72" s="379"/>
      <c r="F72" s="379"/>
      <c r="G72" s="379"/>
      <c r="H72" s="379"/>
    </row>
    <row r="73" spans="1:8" ht="15.75">
      <c r="A73" s="379" t="s">
        <v>501</v>
      </c>
      <c r="B73" s="379"/>
      <c r="C73" s="379"/>
      <c r="D73" s="379"/>
      <c r="E73" s="379"/>
      <c r="F73" s="379"/>
      <c r="G73" s="379"/>
      <c r="H73" s="379"/>
    </row>
    <row r="74" spans="1:8" ht="15.75">
      <c r="A74" s="379"/>
      <c r="B74" s="379"/>
      <c r="C74" s="379"/>
      <c r="D74" s="379"/>
      <c r="E74" s="379"/>
      <c r="F74" s="379"/>
      <c r="G74" s="379"/>
      <c r="H74" s="379"/>
    </row>
    <row r="75" spans="1:8" ht="15.75">
      <c r="A75" s="379" t="s">
        <v>502</v>
      </c>
      <c r="B75" s="379"/>
      <c r="C75" s="379"/>
      <c r="D75" s="379"/>
      <c r="E75" s="379"/>
      <c r="F75" s="379"/>
      <c r="G75" s="379"/>
      <c r="H75" s="379"/>
    </row>
    <row r="76" spans="1:8" ht="15.75">
      <c r="A76" s="379" t="s">
        <v>503</v>
      </c>
      <c r="B76" s="379"/>
      <c r="C76" s="379"/>
      <c r="D76" s="379"/>
      <c r="E76" s="379"/>
      <c r="F76" s="379"/>
      <c r="G76" s="379"/>
      <c r="H76" s="379"/>
    </row>
    <row r="77" spans="1:8" ht="15.75">
      <c r="A77" s="379" t="s">
        <v>504</v>
      </c>
      <c r="B77" s="379"/>
      <c r="C77" s="379"/>
      <c r="D77" s="379"/>
      <c r="E77" s="379"/>
      <c r="F77" s="379"/>
      <c r="G77" s="379"/>
      <c r="H77" s="379"/>
    </row>
    <row r="78" spans="1:8" ht="15.75">
      <c r="A78" s="379"/>
      <c r="B78" s="379"/>
      <c r="C78" s="379"/>
      <c r="D78" s="379"/>
      <c r="E78" s="379"/>
      <c r="F78" s="379"/>
      <c r="G78" s="379"/>
      <c r="H78" s="379"/>
    </row>
    <row r="79" ht="15.75">
      <c r="A79" s="379" t="s">
        <v>449</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505</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396</v>
      </c>
      <c r="I5" s="380"/>
      <c r="J5" s="380"/>
      <c r="K5" s="380"/>
      <c r="L5" s="380"/>
    </row>
    <row r="6" spans="1:12" ht="15.75">
      <c r="A6" s="379" t="str">
        <f>CONCATENATE("estimated ",inputPrYr!D5-1," 'total expenditures' exceed your ",inputPrYr!D5-1,"")</f>
        <v>estimated 2013 'total expenditures' exceed your 2013</v>
      </c>
      <c r="I6" s="380"/>
      <c r="J6" s="380"/>
      <c r="K6" s="380"/>
      <c r="L6" s="380"/>
    </row>
    <row r="7" spans="1:12" ht="15.75">
      <c r="A7" s="396" t="s">
        <v>506</v>
      </c>
      <c r="I7" s="380"/>
      <c r="J7" s="380"/>
      <c r="K7" s="380"/>
      <c r="L7" s="380"/>
    </row>
    <row r="8" spans="1:12" ht="15.75">
      <c r="A8" s="379"/>
      <c r="I8" s="380"/>
      <c r="J8" s="380"/>
      <c r="K8" s="380"/>
      <c r="L8" s="380"/>
    </row>
    <row r="9" spans="1:12" ht="15.75">
      <c r="A9" s="379" t="s">
        <v>507</v>
      </c>
      <c r="I9" s="380"/>
      <c r="J9" s="380"/>
      <c r="K9" s="380"/>
      <c r="L9" s="380"/>
    </row>
    <row r="10" spans="1:12" ht="15.75">
      <c r="A10" s="379" t="s">
        <v>508</v>
      </c>
      <c r="I10" s="380"/>
      <c r="J10" s="380"/>
      <c r="K10" s="380"/>
      <c r="L10" s="380"/>
    </row>
    <row r="11" spans="1:12" ht="15.75">
      <c r="A11" s="379" t="s">
        <v>509</v>
      </c>
      <c r="I11" s="380"/>
      <c r="J11" s="380"/>
      <c r="K11" s="380"/>
      <c r="L11" s="380"/>
    </row>
    <row r="12" spans="1:12" ht="15.75">
      <c r="A12" s="379" t="s">
        <v>510</v>
      </c>
      <c r="I12" s="380"/>
      <c r="J12" s="380"/>
      <c r="K12" s="380"/>
      <c r="L12" s="380"/>
    </row>
    <row r="13" spans="1:12" ht="15.75">
      <c r="A13" s="379" t="s">
        <v>511</v>
      </c>
      <c r="I13" s="380"/>
      <c r="J13" s="380"/>
      <c r="K13" s="380"/>
      <c r="L13" s="380"/>
    </row>
    <row r="14" spans="1:12" ht="15.75">
      <c r="A14" s="380"/>
      <c r="B14" s="380"/>
      <c r="C14" s="380"/>
      <c r="D14" s="380"/>
      <c r="E14" s="380"/>
      <c r="F14" s="380"/>
      <c r="G14" s="380"/>
      <c r="H14" s="380"/>
      <c r="I14" s="380"/>
      <c r="J14" s="380"/>
      <c r="K14" s="380"/>
      <c r="L14" s="380"/>
    </row>
    <row r="15" ht="15.75">
      <c r="A15" s="378" t="s">
        <v>512</v>
      </c>
    </row>
    <row r="16" ht="15.75">
      <c r="A16" s="378" t="s">
        <v>513</v>
      </c>
    </row>
    <row r="17" ht="15.75">
      <c r="A17" s="378"/>
    </row>
    <row r="18" spans="1:7" ht="15.75">
      <c r="A18" s="379" t="s">
        <v>514</v>
      </c>
      <c r="B18" s="379"/>
      <c r="C18" s="379"/>
      <c r="D18" s="379"/>
      <c r="E18" s="379"/>
      <c r="F18" s="379"/>
      <c r="G18" s="379"/>
    </row>
    <row r="19" spans="1:7" ht="15.75">
      <c r="A19" s="379" t="str">
        <f>CONCATENATE("your ",inputPrYr!D5-1," numbers to see what steps might be necessary to")</f>
        <v>your 2013 numbers to see what steps might be necessary to</v>
      </c>
      <c r="B19" s="379"/>
      <c r="C19" s="379"/>
      <c r="D19" s="379"/>
      <c r="E19" s="379"/>
      <c r="F19" s="379"/>
      <c r="G19" s="379"/>
    </row>
    <row r="20" spans="1:7" ht="15.75">
      <c r="A20" s="379" t="s">
        <v>515</v>
      </c>
      <c r="B20" s="379"/>
      <c r="C20" s="379"/>
      <c r="D20" s="379"/>
      <c r="E20" s="379"/>
      <c r="F20" s="379"/>
      <c r="G20" s="379"/>
    </row>
    <row r="21" spans="1:7" ht="15.75">
      <c r="A21" s="379" t="s">
        <v>516</v>
      </c>
      <c r="B21" s="379"/>
      <c r="C21" s="379"/>
      <c r="D21" s="379"/>
      <c r="E21" s="379"/>
      <c r="F21" s="379"/>
      <c r="G21" s="379"/>
    </row>
    <row r="22" ht="15.75">
      <c r="A22" s="379"/>
    </row>
    <row r="23" ht="15.75">
      <c r="A23" s="378" t="s">
        <v>517</v>
      </c>
    </row>
    <row r="24" ht="15.75">
      <c r="A24" s="378"/>
    </row>
    <row r="25" ht="15.75">
      <c r="A25" s="379" t="s">
        <v>518</v>
      </c>
    </row>
    <row r="26" spans="1:6" ht="15.75">
      <c r="A26" s="379" t="s">
        <v>519</v>
      </c>
      <c r="B26" s="379"/>
      <c r="C26" s="379"/>
      <c r="D26" s="379"/>
      <c r="E26" s="379"/>
      <c r="F26" s="379"/>
    </row>
    <row r="27" spans="1:6" ht="15.75">
      <c r="A27" s="379" t="s">
        <v>520</v>
      </c>
      <c r="B27" s="379"/>
      <c r="C27" s="379"/>
      <c r="D27" s="379"/>
      <c r="E27" s="379"/>
      <c r="F27" s="379"/>
    </row>
    <row r="28" spans="1:6" ht="15.75">
      <c r="A28" s="379" t="s">
        <v>521</v>
      </c>
      <c r="B28" s="379"/>
      <c r="C28" s="379"/>
      <c r="D28" s="379"/>
      <c r="E28" s="379"/>
      <c r="F28" s="379"/>
    </row>
    <row r="29" spans="1:6" ht="15.75">
      <c r="A29" s="379"/>
      <c r="B29" s="379"/>
      <c r="C29" s="379"/>
      <c r="D29" s="379"/>
      <c r="E29" s="379"/>
      <c r="F29" s="379"/>
    </row>
    <row r="30" spans="1:7" ht="15.75">
      <c r="A30" s="378" t="s">
        <v>522</v>
      </c>
      <c r="B30" s="378"/>
      <c r="C30" s="378"/>
      <c r="D30" s="378"/>
      <c r="E30" s="378"/>
      <c r="F30" s="378"/>
      <c r="G30" s="378"/>
    </row>
    <row r="31" spans="1:7" ht="15.75">
      <c r="A31" s="378" t="s">
        <v>523</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2013 expenditures can</v>
      </c>
      <c r="B33" s="379"/>
      <c r="C33" s="379"/>
      <c r="D33" s="379"/>
      <c r="E33" s="379"/>
      <c r="F33" s="379"/>
    </row>
    <row r="34" spans="1:6" ht="15.75">
      <c r="A34" s="393" t="s">
        <v>524</v>
      </c>
      <c r="B34" s="379"/>
      <c r="C34" s="379"/>
      <c r="D34" s="379"/>
      <c r="E34" s="379"/>
      <c r="F34" s="379"/>
    </row>
    <row r="35" spans="1:6" ht="15.75">
      <c r="A35" s="393" t="s">
        <v>410</v>
      </c>
      <c r="B35" s="379"/>
      <c r="C35" s="379"/>
      <c r="D35" s="379"/>
      <c r="E35" s="379"/>
      <c r="F35" s="379"/>
    </row>
    <row r="36" spans="1:6" ht="15.75">
      <c r="A36" s="393" t="s">
        <v>411</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2013 receipts contain a reimbursement</v>
      </c>
      <c r="B38" s="379"/>
      <c r="C38" s="379"/>
      <c r="D38" s="379"/>
      <c r="E38" s="379"/>
      <c r="F38" s="379"/>
    </row>
    <row r="39" spans="1:6" ht="15.75">
      <c r="A39" s="393" t="s">
        <v>412</v>
      </c>
      <c r="B39" s="379"/>
      <c r="C39" s="379"/>
      <c r="D39" s="379"/>
      <c r="E39" s="379"/>
      <c r="F39" s="379"/>
    </row>
    <row r="40" spans="1:6" ht="15.75">
      <c r="A40" s="393" t="s">
        <v>413</v>
      </c>
      <c r="B40" s="379"/>
      <c r="C40" s="379"/>
      <c r="D40" s="379"/>
      <c r="E40" s="379"/>
      <c r="F40" s="379"/>
    </row>
    <row r="41" spans="1:6" ht="15.75">
      <c r="A41" s="393"/>
      <c r="B41" s="379"/>
      <c r="C41" s="379"/>
      <c r="D41" s="379"/>
      <c r="E41" s="379"/>
      <c r="F41" s="379"/>
    </row>
    <row r="42" spans="1:6" ht="15.75">
      <c r="A42" s="393" t="s">
        <v>414</v>
      </c>
      <c r="B42" s="379"/>
      <c r="C42" s="379"/>
      <c r="D42" s="379"/>
      <c r="E42" s="379"/>
      <c r="F42" s="379"/>
    </row>
    <row r="43" spans="1:6" ht="15.75">
      <c r="A43" s="393" t="s">
        <v>600</v>
      </c>
      <c r="B43" s="379"/>
      <c r="C43" s="379"/>
      <c r="D43" s="379"/>
      <c r="E43" s="379"/>
      <c r="F43" s="379"/>
    </row>
    <row r="44" spans="1:6" ht="15.75">
      <c r="A44" s="393" t="s">
        <v>601</v>
      </c>
      <c r="B44" s="379"/>
      <c r="C44" s="379"/>
      <c r="D44" s="379"/>
      <c r="E44" s="379"/>
      <c r="F44" s="379"/>
    </row>
    <row r="45" spans="1:6" ht="15.75">
      <c r="A45" s="393" t="s">
        <v>525</v>
      </c>
      <c r="B45" s="379"/>
      <c r="C45" s="379"/>
      <c r="D45" s="379"/>
      <c r="E45" s="379"/>
      <c r="F45" s="379"/>
    </row>
    <row r="46" spans="1:6" ht="15.75">
      <c r="A46" s="393" t="s">
        <v>416</v>
      </c>
      <c r="B46" s="379"/>
      <c r="C46" s="379"/>
      <c r="D46" s="379"/>
      <c r="E46" s="379"/>
      <c r="F46" s="379"/>
    </row>
    <row r="47" spans="1:6" ht="15.75">
      <c r="A47" s="393" t="s">
        <v>526</v>
      </c>
      <c r="B47" s="379"/>
      <c r="C47" s="379"/>
      <c r="D47" s="379"/>
      <c r="E47" s="379"/>
      <c r="F47" s="379"/>
    </row>
    <row r="48" spans="1:6" ht="15.75">
      <c r="A48" s="393" t="s">
        <v>527</v>
      </c>
      <c r="B48" s="379"/>
      <c r="C48" s="379"/>
      <c r="D48" s="379"/>
      <c r="E48" s="379"/>
      <c r="F48" s="379"/>
    </row>
    <row r="49" spans="1:6" ht="15.75">
      <c r="A49" s="393" t="s">
        <v>419</v>
      </c>
      <c r="B49" s="379"/>
      <c r="C49" s="379"/>
      <c r="D49" s="379"/>
      <c r="E49" s="379"/>
      <c r="F49" s="379"/>
    </row>
    <row r="50" spans="1:6" ht="15.75">
      <c r="A50" s="393"/>
      <c r="B50" s="379"/>
      <c r="C50" s="379"/>
      <c r="D50" s="379"/>
      <c r="E50" s="379"/>
      <c r="F50" s="379"/>
    </row>
    <row r="51" spans="1:6" ht="15.75">
      <c r="A51" s="393" t="s">
        <v>420</v>
      </c>
      <c r="B51" s="379"/>
      <c r="C51" s="379"/>
      <c r="D51" s="379"/>
      <c r="E51" s="379"/>
      <c r="F51" s="379"/>
    </row>
    <row r="52" spans="1:6" ht="15.75">
      <c r="A52" s="393" t="s">
        <v>421</v>
      </c>
      <c r="B52" s="379"/>
      <c r="C52" s="379"/>
      <c r="D52" s="379"/>
      <c r="E52" s="379"/>
      <c r="F52" s="379"/>
    </row>
    <row r="53" spans="1:6" ht="15.75">
      <c r="A53" s="393" t="s">
        <v>422</v>
      </c>
      <c r="B53" s="379"/>
      <c r="C53" s="379"/>
      <c r="D53" s="379"/>
      <c r="E53" s="379"/>
      <c r="F53" s="379"/>
    </row>
    <row r="54" spans="1:6" ht="15.75">
      <c r="A54" s="393"/>
      <c r="B54" s="379"/>
      <c r="C54" s="379"/>
      <c r="D54" s="379"/>
      <c r="E54" s="379"/>
      <c r="F54" s="379"/>
    </row>
    <row r="55" spans="1:6" ht="15.75">
      <c r="A55" s="393" t="s">
        <v>528</v>
      </c>
      <c r="B55" s="379"/>
      <c r="C55" s="379"/>
      <c r="D55" s="379"/>
      <c r="E55" s="379"/>
      <c r="F55" s="379"/>
    </row>
    <row r="56" spans="1:6" ht="15.75">
      <c r="A56" s="393" t="s">
        <v>529</v>
      </c>
      <c r="B56" s="379"/>
      <c r="C56" s="379"/>
      <c r="D56" s="379"/>
      <c r="E56" s="379"/>
      <c r="F56" s="379"/>
    </row>
    <row r="57" spans="1:6" ht="15.75">
      <c r="A57" s="393" t="s">
        <v>530</v>
      </c>
      <c r="B57" s="379"/>
      <c r="C57" s="379"/>
      <c r="D57" s="379"/>
      <c r="E57" s="379"/>
      <c r="F57" s="379"/>
    </row>
    <row r="58" spans="1:6" ht="15.75">
      <c r="A58" s="393" t="s">
        <v>531</v>
      </c>
      <c r="B58" s="379"/>
      <c r="C58" s="379"/>
      <c r="D58" s="379"/>
      <c r="E58" s="379"/>
      <c r="F58" s="379"/>
    </row>
    <row r="59" spans="1:6" ht="15.75">
      <c r="A59" s="393" t="s">
        <v>532</v>
      </c>
      <c r="B59" s="379"/>
      <c r="C59" s="379"/>
      <c r="D59" s="379"/>
      <c r="E59" s="379"/>
      <c r="F59" s="379"/>
    </row>
    <row r="60" spans="1:6" ht="15.75">
      <c r="A60" s="393"/>
      <c r="B60" s="379"/>
      <c r="C60" s="379"/>
      <c r="D60" s="379"/>
      <c r="E60" s="379"/>
      <c r="F60" s="379"/>
    </row>
    <row r="61" spans="1:6" ht="15.75">
      <c r="A61" s="394" t="s">
        <v>533</v>
      </c>
      <c r="B61" s="379"/>
      <c r="C61" s="379"/>
      <c r="D61" s="379"/>
      <c r="E61" s="379"/>
      <c r="F61" s="379"/>
    </row>
    <row r="62" spans="1:6" ht="15.75">
      <c r="A62" s="394" t="s">
        <v>534</v>
      </c>
      <c r="B62" s="379"/>
      <c r="C62" s="379"/>
      <c r="D62" s="379"/>
      <c r="E62" s="379"/>
      <c r="F62" s="379"/>
    </row>
    <row r="63" spans="1:6" ht="15.75">
      <c r="A63" s="394" t="s">
        <v>535</v>
      </c>
      <c r="B63" s="379"/>
      <c r="C63" s="379"/>
      <c r="D63" s="379"/>
      <c r="E63" s="379"/>
      <c r="F63" s="379"/>
    </row>
    <row r="64" ht="15.75">
      <c r="A64" s="394" t="s">
        <v>536</v>
      </c>
    </row>
    <row r="65" ht="15.75">
      <c r="A65" s="394" t="s">
        <v>537</v>
      </c>
    </row>
    <row r="66" ht="15.75">
      <c r="A66" s="394" t="s">
        <v>538</v>
      </c>
    </row>
    <row r="68" ht="15.75">
      <c r="A68" s="379" t="s">
        <v>539</v>
      </c>
    </row>
    <row r="69" ht="15.75">
      <c r="A69" s="379" t="s">
        <v>540</v>
      </c>
    </row>
    <row r="70" ht="15.75">
      <c r="A70" s="379" t="s">
        <v>541</v>
      </c>
    </row>
    <row r="71" ht="15.75">
      <c r="A71" s="379" t="s">
        <v>542</v>
      </c>
    </row>
    <row r="72" ht="15.75">
      <c r="A72" s="379" t="s">
        <v>543</v>
      </c>
    </row>
    <row r="73" ht="15.75">
      <c r="A73" s="379" t="s">
        <v>544</v>
      </c>
    </row>
    <row r="75" ht="15.75">
      <c r="A75" s="379" t="s">
        <v>449</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545</v>
      </c>
      <c r="B3" s="380"/>
      <c r="C3" s="380"/>
      <c r="D3" s="380"/>
      <c r="E3" s="380"/>
      <c r="F3" s="380"/>
      <c r="G3" s="380"/>
    </row>
    <row r="4" spans="1:7" ht="15.75">
      <c r="A4" s="380"/>
      <c r="B4" s="380"/>
      <c r="C4" s="380"/>
      <c r="D4" s="380"/>
      <c r="E4" s="380"/>
      <c r="F4" s="380"/>
      <c r="G4" s="380"/>
    </row>
    <row r="5" ht="15.75">
      <c r="A5" s="379" t="s">
        <v>451</v>
      </c>
    </row>
    <row r="6" ht="15.75">
      <c r="A6" s="379" t="str">
        <f>CONCATENATE(inputPrYr!D5," estimated expenditures show that at the end of this year")</f>
        <v>2014 estimated expenditures show that at the end of this year</v>
      </c>
    </row>
    <row r="7" ht="15.75">
      <c r="A7" s="379" t="s">
        <v>546</v>
      </c>
    </row>
    <row r="8" ht="15.75">
      <c r="A8" s="379" t="s">
        <v>547</v>
      </c>
    </row>
    <row r="10" ht="15.75">
      <c r="A10" t="s">
        <v>453</v>
      </c>
    </row>
    <row r="11" ht="15.75">
      <c r="A11" t="s">
        <v>454</v>
      </c>
    </row>
    <row r="12" ht="15.75">
      <c r="A12" t="s">
        <v>455</v>
      </c>
    </row>
    <row r="13" spans="1:7" ht="15.75">
      <c r="A13" s="380"/>
      <c r="B13" s="380"/>
      <c r="C13" s="380"/>
      <c r="D13" s="380"/>
      <c r="E13" s="380"/>
      <c r="F13" s="380"/>
      <c r="G13" s="380"/>
    </row>
    <row r="14" ht="15.75">
      <c r="A14" s="378" t="s">
        <v>548</v>
      </c>
    </row>
    <row r="15" ht="15.75">
      <c r="A15" s="379"/>
    </row>
    <row r="16" ht="15.75">
      <c r="A16" s="379" t="s">
        <v>549</v>
      </c>
    </row>
    <row r="17" ht="15.75">
      <c r="A17" s="379" t="s">
        <v>550</v>
      </c>
    </row>
    <row r="18" ht="15.75">
      <c r="A18" s="379" t="s">
        <v>551</v>
      </c>
    </row>
    <row r="19" ht="15.75">
      <c r="A19" s="379"/>
    </row>
    <row r="20" ht="15.75">
      <c r="A20" s="379" t="s">
        <v>552</v>
      </c>
    </row>
    <row r="21" ht="15.75">
      <c r="A21" s="379" t="s">
        <v>553</v>
      </c>
    </row>
    <row r="22" ht="15.75">
      <c r="A22" s="379" t="s">
        <v>554</v>
      </c>
    </row>
    <row r="23" ht="15.75">
      <c r="A23" s="379" t="s">
        <v>555</v>
      </c>
    </row>
    <row r="24" ht="15.75">
      <c r="A24" s="379"/>
    </row>
    <row r="25" ht="15.75">
      <c r="A25" s="378" t="s">
        <v>517</v>
      </c>
    </row>
    <row r="26" ht="15.75">
      <c r="A26" s="378"/>
    </row>
    <row r="27" ht="15.75">
      <c r="A27" s="379" t="s">
        <v>518</v>
      </c>
    </row>
    <row r="28" spans="1:6" ht="15.75">
      <c r="A28" s="379" t="s">
        <v>519</v>
      </c>
      <c r="B28" s="379"/>
      <c r="C28" s="379"/>
      <c r="D28" s="379"/>
      <c r="E28" s="379"/>
      <c r="F28" s="379"/>
    </row>
    <row r="29" spans="1:6" ht="15.75">
      <c r="A29" s="379" t="s">
        <v>520</v>
      </c>
      <c r="B29" s="379"/>
      <c r="C29" s="379"/>
      <c r="D29" s="379"/>
      <c r="E29" s="379"/>
      <c r="F29" s="379"/>
    </row>
    <row r="30" spans="1:6" ht="15.75">
      <c r="A30" s="379" t="s">
        <v>521</v>
      </c>
      <c r="B30" s="379"/>
      <c r="C30" s="379"/>
      <c r="D30" s="379"/>
      <c r="E30" s="379"/>
      <c r="F30" s="379"/>
    </row>
    <row r="31" ht="15.75">
      <c r="A31" s="379"/>
    </row>
    <row r="32" spans="1:7" ht="15.75">
      <c r="A32" s="378" t="s">
        <v>522</v>
      </c>
      <c r="B32" s="378"/>
      <c r="C32" s="378"/>
      <c r="D32" s="378"/>
      <c r="E32" s="378"/>
      <c r="F32" s="378"/>
      <c r="G32" s="378"/>
    </row>
    <row r="33" spans="1:7" ht="15.75">
      <c r="A33" s="378" t="s">
        <v>523</v>
      </c>
      <c r="B33" s="378"/>
      <c r="C33" s="378"/>
      <c r="D33" s="378"/>
      <c r="E33" s="378"/>
      <c r="F33" s="378"/>
      <c r="G33" s="378"/>
    </row>
    <row r="34" spans="1:7" ht="15.75">
      <c r="A34" s="378"/>
      <c r="B34" s="378"/>
      <c r="C34" s="378"/>
      <c r="D34" s="378"/>
      <c r="E34" s="378"/>
      <c r="F34" s="378"/>
      <c r="G34" s="378"/>
    </row>
    <row r="35" spans="1:7" ht="15.75">
      <c r="A35" s="379" t="s">
        <v>556</v>
      </c>
      <c r="B35" s="379"/>
      <c r="C35" s="379"/>
      <c r="D35" s="379"/>
      <c r="E35" s="379"/>
      <c r="F35" s="379"/>
      <c r="G35" s="379"/>
    </row>
    <row r="36" spans="1:7" ht="15.75">
      <c r="A36" s="379" t="s">
        <v>557</v>
      </c>
      <c r="B36" s="379"/>
      <c r="C36" s="379"/>
      <c r="D36" s="379"/>
      <c r="E36" s="379"/>
      <c r="F36" s="379"/>
      <c r="G36" s="379"/>
    </row>
    <row r="37" spans="1:7" ht="15.75">
      <c r="A37" s="379" t="s">
        <v>558</v>
      </c>
      <c r="B37" s="379"/>
      <c r="C37" s="379"/>
      <c r="D37" s="379"/>
      <c r="E37" s="379"/>
      <c r="F37" s="379"/>
      <c r="G37" s="379"/>
    </row>
    <row r="38" spans="1:7" ht="15.75">
      <c r="A38" s="379" t="s">
        <v>559</v>
      </c>
      <c r="B38" s="379"/>
      <c r="C38" s="379"/>
      <c r="D38" s="379"/>
      <c r="E38" s="379"/>
      <c r="F38" s="379"/>
      <c r="G38" s="379"/>
    </row>
    <row r="39" spans="1:7" ht="15.75">
      <c r="A39" s="379" t="s">
        <v>560</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2013 expenditures can</v>
      </c>
      <c r="B41" s="379"/>
      <c r="C41" s="379"/>
      <c r="D41" s="379"/>
      <c r="E41" s="379"/>
      <c r="F41" s="379"/>
    </row>
    <row r="42" spans="1:6" ht="15.75">
      <c r="A42" s="393" t="s">
        <v>524</v>
      </c>
      <c r="B42" s="379"/>
      <c r="C42" s="379"/>
      <c r="D42" s="379"/>
      <c r="E42" s="379"/>
      <c r="F42" s="379"/>
    </row>
    <row r="43" spans="1:6" ht="15.75">
      <c r="A43" s="393" t="s">
        <v>410</v>
      </c>
      <c r="B43" s="379"/>
      <c r="C43" s="379"/>
      <c r="D43" s="379"/>
      <c r="E43" s="379"/>
      <c r="F43" s="379"/>
    </row>
    <row r="44" spans="1:6" ht="15.75">
      <c r="A44" s="393" t="s">
        <v>411</v>
      </c>
      <c r="B44" s="379"/>
      <c r="C44" s="379"/>
      <c r="D44" s="379"/>
      <c r="E44" s="379"/>
      <c r="F44" s="379"/>
    </row>
    <row r="45" ht="15.75">
      <c r="A45" s="379"/>
    </row>
    <row r="46" spans="1:6" ht="15.75">
      <c r="A46" s="393" t="str">
        <f>CONCATENATE("Additionally, do your ",inputPrYr!D5-1," receipts contain a reimbursement")</f>
        <v>Additionally, do your 2013 receipts contain a reimbursement</v>
      </c>
      <c r="B46" s="379"/>
      <c r="C46" s="379"/>
      <c r="D46" s="379"/>
      <c r="E46" s="379"/>
      <c r="F46" s="379"/>
    </row>
    <row r="47" spans="1:6" ht="15.75">
      <c r="A47" s="393" t="s">
        <v>412</v>
      </c>
      <c r="B47" s="379"/>
      <c r="C47" s="379"/>
      <c r="D47" s="379"/>
      <c r="E47" s="379"/>
      <c r="F47" s="379"/>
    </row>
    <row r="48" spans="1:6" ht="15.75">
      <c r="A48" s="393" t="s">
        <v>413</v>
      </c>
      <c r="B48" s="379"/>
      <c r="C48" s="379"/>
      <c r="D48" s="379"/>
      <c r="E48" s="379"/>
      <c r="F48" s="379"/>
    </row>
    <row r="49" spans="1:7" ht="15.75">
      <c r="A49" s="379"/>
      <c r="B49" s="379"/>
      <c r="C49" s="379"/>
      <c r="D49" s="379"/>
      <c r="E49" s="379"/>
      <c r="F49" s="379"/>
      <c r="G49" s="379"/>
    </row>
    <row r="50" spans="1:7" ht="15.75">
      <c r="A50" s="379" t="s">
        <v>478</v>
      </c>
      <c r="B50" s="379"/>
      <c r="C50" s="379"/>
      <c r="D50" s="379"/>
      <c r="E50" s="379"/>
      <c r="F50" s="379"/>
      <c r="G50" s="379"/>
    </row>
    <row r="51" spans="1:7" ht="15.75">
      <c r="A51" s="379" t="s">
        <v>479</v>
      </c>
      <c r="B51" s="379"/>
      <c r="C51" s="379"/>
      <c r="D51" s="379"/>
      <c r="E51" s="379"/>
      <c r="F51" s="379"/>
      <c r="G51" s="379"/>
    </row>
    <row r="52" spans="1:7" ht="15.75">
      <c r="A52" s="379" t="s">
        <v>480</v>
      </c>
      <c r="B52" s="379"/>
      <c r="C52" s="379"/>
      <c r="D52" s="379"/>
      <c r="E52" s="379"/>
      <c r="F52" s="379"/>
      <c r="G52" s="379"/>
    </row>
    <row r="53" spans="1:7" ht="15.75">
      <c r="A53" s="379" t="s">
        <v>481</v>
      </c>
      <c r="B53" s="379"/>
      <c r="C53" s="379"/>
      <c r="D53" s="379"/>
      <c r="E53" s="379"/>
      <c r="F53" s="379"/>
      <c r="G53" s="379"/>
    </row>
    <row r="54" spans="1:7" ht="15.75">
      <c r="A54" s="379" t="s">
        <v>482</v>
      </c>
      <c r="B54" s="379"/>
      <c r="C54" s="379"/>
      <c r="D54" s="379"/>
      <c r="E54" s="379"/>
      <c r="F54" s="379"/>
      <c r="G54" s="379"/>
    </row>
    <row r="55" spans="1:7" ht="15.75">
      <c r="A55" s="379"/>
      <c r="B55" s="379"/>
      <c r="C55" s="379"/>
      <c r="D55" s="379"/>
      <c r="E55" s="379"/>
      <c r="F55" s="379"/>
      <c r="G55" s="379"/>
    </row>
    <row r="56" spans="1:6" ht="15.75">
      <c r="A56" s="393" t="s">
        <v>420</v>
      </c>
      <c r="B56" s="379"/>
      <c r="C56" s="379"/>
      <c r="D56" s="379"/>
      <c r="E56" s="379"/>
      <c r="F56" s="379"/>
    </row>
    <row r="57" spans="1:6" ht="15.75">
      <c r="A57" s="393" t="s">
        <v>421</v>
      </c>
      <c r="B57" s="379"/>
      <c r="C57" s="379"/>
      <c r="D57" s="379"/>
      <c r="E57" s="379"/>
      <c r="F57" s="379"/>
    </row>
    <row r="58" spans="1:6" ht="15.75">
      <c r="A58" s="393" t="s">
        <v>422</v>
      </c>
      <c r="B58" s="379"/>
      <c r="C58" s="379"/>
      <c r="D58" s="379"/>
      <c r="E58" s="379"/>
      <c r="F58" s="379"/>
    </row>
    <row r="59" spans="1:6" ht="15.75">
      <c r="A59" s="393"/>
      <c r="B59" s="379"/>
      <c r="C59" s="379"/>
      <c r="D59" s="379"/>
      <c r="E59" s="379"/>
      <c r="F59" s="379"/>
    </row>
    <row r="60" spans="1:7" ht="15.75">
      <c r="A60" s="379" t="s">
        <v>561</v>
      </c>
      <c r="B60" s="379"/>
      <c r="C60" s="379"/>
      <c r="D60" s="379"/>
      <c r="E60" s="379"/>
      <c r="F60" s="379"/>
      <c r="G60" s="379"/>
    </row>
    <row r="61" spans="1:7" ht="15.75">
      <c r="A61" s="379" t="s">
        <v>562</v>
      </c>
      <c r="B61" s="379"/>
      <c r="C61" s="379"/>
      <c r="D61" s="379"/>
      <c r="E61" s="379"/>
      <c r="F61" s="379"/>
      <c r="G61" s="379"/>
    </row>
    <row r="62" spans="1:7" ht="15.75">
      <c r="A62" s="379" t="s">
        <v>563</v>
      </c>
      <c r="B62" s="379"/>
      <c r="C62" s="379"/>
      <c r="D62" s="379"/>
      <c r="E62" s="379"/>
      <c r="F62" s="379"/>
      <c r="G62" s="379"/>
    </row>
    <row r="63" spans="1:7" ht="15.75">
      <c r="A63" s="379" t="s">
        <v>564</v>
      </c>
      <c r="B63" s="379"/>
      <c r="C63" s="379"/>
      <c r="D63" s="379"/>
      <c r="E63" s="379"/>
      <c r="F63" s="379"/>
      <c r="G63" s="379"/>
    </row>
    <row r="64" spans="1:7" ht="15.75">
      <c r="A64" s="379" t="s">
        <v>565</v>
      </c>
      <c r="B64" s="379"/>
      <c r="C64" s="379"/>
      <c r="D64" s="379"/>
      <c r="E64" s="379"/>
      <c r="F64" s="379"/>
      <c r="G64" s="379"/>
    </row>
    <row r="66" spans="1:6" ht="15.75">
      <c r="A66" s="393" t="s">
        <v>528</v>
      </c>
      <c r="B66" s="379"/>
      <c r="C66" s="379"/>
      <c r="D66" s="379"/>
      <c r="E66" s="379"/>
      <c r="F66" s="379"/>
    </row>
    <row r="67" spans="1:6" ht="15.75">
      <c r="A67" s="393" t="s">
        <v>529</v>
      </c>
      <c r="B67" s="379"/>
      <c r="C67" s="379"/>
      <c r="D67" s="379"/>
      <c r="E67" s="379"/>
      <c r="F67" s="379"/>
    </row>
    <row r="68" spans="1:6" ht="15.75">
      <c r="A68" s="393" t="s">
        <v>530</v>
      </c>
      <c r="B68" s="379"/>
      <c r="C68" s="379"/>
      <c r="D68" s="379"/>
      <c r="E68" s="379"/>
      <c r="F68" s="379"/>
    </row>
    <row r="69" spans="1:6" ht="15.75">
      <c r="A69" s="393" t="s">
        <v>531</v>
      </c>
      <c r="B69" s="379"/>
      <c r="C69" s="379"/>
      <c r="D69" s="379"/>
      <c r="E69" s="379"/>
      <c r="F69" s="379"/>
    </row>
    <row r="70" spans="1:6" ht="15.75">
      <c r="A70" s="393" t="s">
        <v>532</v>
      </c>
      <c r="B70" s="379"/>
      <c r="C70" s="379"/>
      <c r="D70" s="379"/>
      <c r="E70" s="379"/>
      <c r="F70" s="379"/>
    </row>
    <row r="71" ht="15.75">
      <c r="A71" s="379"/>
    </row>
    <row r="72" ht="15.75">
      <c r="A72" s="379" t="s">
        <v>449</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566</v>
      </c>
      <c r="B3" s="380"/>
      <c r="C3" s="380"/>
      <c r="D3" s="380"/>
      <c r="E3" s="380"/>
      <c r="F3" s="380"/>
      <c r="G3" s="380"/>
    </row>
    <row r="4" spans="1:7" ht="15.75">
      <c r="A4" s="380" t="s">
        <v>567</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396</v>
      </c>
    </row>
    <row r="8" ht="15.75">
      <c r="A8" s="379" t="str">
        <f>CONCATENATE("estimated ",inputPrYr!D5," 'total expenditures' exceed your ",inputPrYr!D5,"")</f>
        <v>estimated 2014 'total expenditures' exceed your 2014</v>
      </c>
    </row>
    <row r="9" ht="15.75">
      <c r="A9" s="396" t="s">
        <v>568</v>
      </c>
    </row>
    <row r="10" ht="15.75">
      <c r="A10" s="379"/>
    </row>
    <row r="11" ht="15.75">
      <c r="A11" s="379" t="s">
        <v>569</v>
      </c>
    </row>
    <row r="12" ht="15.75">
      <c r="A12" s="379" t="s">
        <v>570</v>
      </c>
    </row>
    <row r="13" ht="15.75">
      <c r="A13" s="379" t="s">
        <v>571</v>
      </c>
    </row>
    <row r="14" ht="15.75">
      <c r="A14" s="379"/>
    </row>
    <row r="15" ht="15.75">
      <c r="A15" s="378" t="s">
        <v>572</v>
      </c>
    </row>
    <row r="16" spans="1:7" ht="15.75">
      <c r="A16" s="380"/>
      <c r="B16" s="380"/>
      <c r="C16" s="380"/>
      <c r="D16" s="380"/>
      <c r="E16" s="380"/>
      <c r="F16" s="380"/>
      <c r="G16" s="380"/>
    </row>
    <row r="17" spans="1:8" ht="15.75">
      <c r="A17" s="397" t="s">
        <v>573</v>
      </c>
      <c r="B17" s="374"/>
      <c r="C17" s="374"/>
      <c r="D17" s="374"/>
      <c r="E17" s="374"/>
      <c r="F17" s="374"/>
      <c r="G17" s="374"/>
      <c r="H17" s="374"/>
    </row>
    <row r="18" spans="1:7" ht="15.75">
      <c r="A18" s="379" t="s">
        <v>574</v>
      </c>
      <c r="B18" s="398"/>
      <c r="C18" s="398"/>
      <c r="D18" s="398"/>
      <c r="E18" s="398"/>
      <c r="F18" s="398"/>
      <c r="G18" s="398"/>
    </row>
    <row r="19" ht="15.75">
      <c r="A19" s="379" t="s">
        <v>575</v>
      </c>
    </row>
    <row r="20" ht="15.75">
      <c r="A20" s="379" t="s">
        <v>576</v>
      </c>
    </row>
    <row r="22" ht="15.75">
      <c r="A22" s="378" t="s">
        <v>577</v>
      </c>
    </row>
    <row r="24" ht="15.75">
      <c r="A24" s="379" t="s">
        <v>578</v>
      </c>
    </row>
    <row r="25" ht="15.75">
      <c r="A25" s="379" t="s">
        <v>579</v>
      </c>
    </row>
    <row r="26" ht="15.75">
      <c r="A26" s="379" t="s">
        <v>580</v>
      </c>
    </row>
    <row r="28" ht="15.75">
      <c r="A28" s="378" t="s">
        <v>581</v>
      </c>
    </row>
    <row r="30" ht="15.75">
      <c r="A30" t="s">
        <v>582</v>
      </c>
    </row>
    <row r="31" ht="15.75">
      <c r="A31" t="s">
        <v>583</v>
      </c>
    </row>
    <row r="32" ht="15.75">
      <c r="A32" t="s">
        <v>584</v>
      </c>
    </row>
    <row r="33" ht="15.75">
      <c r="A33" s="379" t="s">
        <v>585</v>
      </c>
    </row>
    <row r="35" ht="15.75">
      <c r="A35" t="s">
        <v>586</v>
      </c>
    </row>
    <row r="36" ht="15.75">
      <c r="A36" t="s">
        <v>587</v>
      </c>
    </row>
    <row r="37" ht="15.75">
      <c r="A37" t="s">
        <v>588</v>
      </c>
    </row>
    <row r="38" ht="15.75">
      <c r="A38" t="s">
        <v>589</v>
      </c>
    </row>
    <row r="40" ht="15.75">
      <c r="A40" t="s">
        <v>590</v>
      </c>
    </row>
    <row r="41" ht="15.75">
      <c r="A41" t="s">
        <v>591</v>
      </c>
    </row>
    <row r="42" ht="15.75">
      <c r="A42" t="s">
        <v>592</v>
      </c>
    </row>
    <row r="43" ht="15.75">
      <c r="A43" t="s">
        <v>593</v>
      </c>
    </row>
    <row r="44" ht="15.75">
      <c r="A44" t="s">
        <v>594</v>
      </c>
    </row>
    <row r="45" ht="15.75">
      <c r="A45" t="s">
        <v>595</v>
      </c>
    </row>
    <row r="47" ht="15.75">
      <c r="A47" t="s">
        <v>596</v>
      </c>
    </row>
    <row r="48" ht="15.75">
      <c r="A48" t="s">
        <v>597</v>
      </c>
    </row>
    <row r="49" ht="15.75">
      <c r="A49" s="379" t="s">
        <v>598</v>
      </c>
    </row>
    <row r="50" ht="15.75">
      <c r="A50" s="379" t="s">
        <v>599</v>
      </c>
    </row>
    <row r="52" ht="15.75">
      <c r="A52" t="s">
        <v>449</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66" t="s">
        <v>650</v>
      </c>
      <c r="C6" s="667"/>
      <c r="D6" s="667"/>
      <c r="E6" s="667"/>
      <c r="F6" s="667"/>
      <c r="G6" s="667"/>
      <c r="H6" s="667"/>
      <c r="I6" s="667"/>
      <c r="J6" s="667"/>
      <c r="K6" s="667"/>
      <c r="L6" s="446"/>
    </row>
    <row r="7" spans="1:12" ht="40.5" customHeight="1">
      <c r="A7" s="443"/>
      <c r="B7" s="668" t="s">
        <v>651</v>
      </c>
      <c r="C7" s="669"/>
      <c r="D7" s="669"/>
      <c r="E7" s="669"/>
      <c r="F7" s="669"/>
      <c r="G7" s="669"/>
      <c r="H7" s="669"/>
      <c r="I7" s="669"/>
      <c r="J7" s="669"/>
      <c r="K7" s="669"/>
      <c r="L7" s="443"/>
    </row>
    <row r="8" spans="1:12" ht="14.25">
      <c r="A8" s="443"/>
      <c r="B8" s="670" t="s">
        <v>652</v>
      </c>
      <c r="C8" s="670"/>
      <c r="D8" s="670"/>
      <c r="E8" s="670"/>
      <c r="F8" s="670"/>
      <c r="G8" s="670"/>
      <c r="H8" s="670"/>
      <c r="I8" s="670"/>
      <c r="J8" s="670"/>
      <c r="K8" s="670"/>
      <c r="L8" s="443"/>
    </row>
    <row r="9" spans="1:12" ht="14.25">
      <c r="A9" s="443"/>
      <c r="L9" s="443"/>
    </row>
    <row r="10" spans="1:12" ht="14.25">
      <c r="A10" s="443"/>
      <c r="B10" s="670" t="s">
        <v>653</v>
      </c>
      <c r="C10" s="670"/>
      <c r="D10" s="670"/>
      <c r="E10" s="670"/>
      <c r="F10" s="670"/>
      <c r="G10" s="670"/>
      <c r="H10" s="670"/>
      <c r="I10" s="670"/>
      <c r="J10" s="670"/>
      <c r="K10" s="670"/>
      <c r="L10" s="443"/>
    </row>
    <row r="11" spans="1:12" ht="14.25">
      <c r="A11" s="443"/>
      <c r="B11" s="447"/>
      <c r="C11" s="447"/>
      <c r="D11" s="447"/>
      <c r="E11" s="447"/>
      <c r="F11" s="447"/>
      <c r="G11" s="447"/>
      <c r="H11" s="447"/>
      <c r="I11" s="447"/>
      <c r="J11" s="447"/>
      <c r="K11" s="447"/>
      <c r="L11" s="443"/>
    </row>
    <row r="12" spans="1:12" ht="32.25" customHeight="1">
      <c r="A12" s="443"/>
      <c r="B12" s="671" t="s">
        <v>654</v>
      </c>
      <c r="C12" s="671"/>
      <c r="D12" s="671"/>
      <c r="E12" s="671"/>
      <c r="F12" s="671"/>
      <c r="G12" s="671"/>
      <c r="H12" s="671"/>
      <c r="I12" s="671"/>
      <c r="J12" s="671"/>
      <c r="K12" s="671"/>
      <c r="L12" s="443"/>
    </row>
    <row r="13" spans="1:12" ht="14.25">
      <c r="A13" s="443"/>
      <c r="L13" s="443"/>
    </row>
    <row r="14" spans="1:12" ht="14.25">
      <c r="A14" s="443"/>
      <c r="B14" s="448" t="s">
        <v>655</v>
      </c>
      <c r="L14" s="443"/>
    </row>
    <row r="15" spans="1:12" ht="14.25">
      <c r="A15" s="443"/>
      <c r="L15" s="443"/>
    </row>
    <row r="16" spans="1:12" ht="14.25">
      <c r="A16" s="443"/>
      <c r="B16" s="445" t="s">
        <v>656</v>
      </c>
      <c r="L16" s="443"/>
    </row>
    <row r="17" spans="1:12" ht="14.25">
      <c r="A17" s="443"/>
      <c r="B17" s="445" t="s">
        <v>657</v>
      </c>
      <c r="L17" s="443"/>
    </row>
    <row r="18" spans="1:12" ht="14.25">
      <c r="A18" s="443"/>
      <c r="L18" s="443"/>
    </row>
    <row r="19" spans="1:12" ht="14.25">
      <c r="A19" s="443"/>
      <c r="B19" s="448" t="s">
        <v>658</v>
      </c>
      <c r="L19" s="443"/>
    </row>
    <row r="20" spans="1:12" ht="14.25">
      <c r="A20" s="443"/>
      <c r="B20" s="448"/>
      <c r="L20" s="443"/>
    </row>
    <row r="21" spans="1:12" ht="14.25">
      <c r="A21" s="443"/>
      <c r="B21" s="445" t="s">
        <v>659</v>
      </c>
      <c r="L21" s="443"/>
    </row>
    <row r="22" spans="1:12" ht="14.25">
      <c r="A22" s="443"/>
      <c r="L22" s="443"/>
    </row>
    <row r="23" spans="1:12" ht="14.25">
      <c r="A23" s="443"/>
      <c r="B23" s="445" t="s">
        <v>660</v>
      </c>
      <c r="E23" s="445" t="s">
        <v>661</v>
      </c>
      <c r="F23" s="672">
        <v>133685008</v>
      </c>
      <c r="G23" s="672"/>
      <c r="L23" s="443"/>
    </row>
    <row r="24" spans="1:12" ht="14.25">
      <c r="A24" s="443"/>
      <c r="L24" s="443"/>
    </row>
    <row r="25" spans="1:12" ht="14.25">
      <c r="A25" s="443"/>
      <c r="C25" s="673">
        <f>F23</f>
        <v>133685008</v>
      </c>
      <c r="D25" s="673"/>
      <c r="E25" s="445" t="s">
        <v>662</v>
      </c>
      <c r="F25" s="449">
        <v>1000</v>
      </c>
      <c r="G25" s="449" t="s">
        <v>661</v>
      </c>
      <c r="H25" s="450">
        <f>F23/F25</f>
        <v>133685.008</v>
      </c>
      <c r="L25" s="443"/>
    </row>
    <row r="26" spans="1:12" ht="15" thickBot="1">
      <c r="A26" s="443"/>
      <c r="L26" s="443"/>
    </row>
    <row r="27" spans="1:12" ht="14.25">
      <c r="A27" s="443"/>
      <c r="B27" s="451" t="s">
        <v>655</v>
      </c>
      <c r="C27" s="452"/>
      <c r="D27" s="452"/>
      <c r="E27" s="452"/>
      <c r="F27" s="452"/>
      <c r="G27" s="452"/>
      <c r="H27" s="452"/>
      <c r="I27" s="452"/>
      <c r="J27" s="452"/>
      <c r="K27" s="453"/>
      <c r="L27" s="443"/>
    </row>
    <row r="28" spans="1:12" ht="14.25">
      <c r="A28" s="443"/>
      <c r="B28" s="454">
        <f>F23</f>
        <v>133685008</v>
      </c>
      <c r="C28" s="455" t="s">
        <v>663</v>
      </c>
      <c r="D28" s="455"/>
      <c r="E28" s="455" t="s">
        <v>662</v>
      </c>
      <c r="F28" s="456">
        <v>1000</v>
      </c>
      <c r="G28" s="456" t="s">
        <v>661</v>
      </c>
      <c r="H28" s="457">
        <f>B28/F28</f>
        <v>133685.008</v>
      </c>
      <c r="I28" s="455" t="s">
        <v>664</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674" t="s">
        <v>651</v>
      </c>
      <c r="C30" s="674"/>
      <c r="D30" s="674"/>
      <c r="E30" s="674"/>
      <c r="F30" s="674"/>
      <c r="G30" s="674"/>
      <c r="H30" s="674"/>
      <c r="I30" s="674"/>
      <c r="J30" s="674"/>
      <c r="K30" s="674"/>
      <c r="L30" s="443"/>
    </row>
    <row r="31" spans="1:12" ht="14.25">
      <c r="A31" s="443"/>
      <c r="B31" s="670" t="s">
        <v>665</v>
      </c>
      <c r="C31" s="670"/>
      <c r="D31" s="670"/>
      <c r="E31" s="670"/>
      <c r="F31" s="670"/>
      <c r="G31" s="670"/>
      <c r="H31" s="670"/>
      <c r="I31" s="670"/>
      <c r="J31" s="670"/>
      <c r="K31" s="670"/>
      <c r="L31" s="443"/>
    </row>
    <row r="32" spans="1:12" ht="14.25">
      <c r="A32" s="443"/>
      <c r="L32" s="443"/>
    </row>
    <row r="33" spans="1:12" ht="14.25">
      <c r="A33" s="443"/>
      <c r="B33" s="670" t="s">
        <v>666</v>
      </c>
      <c r="C33" s="670"/>
      <c r="D33" s="670"/>
      <c r="E33" s="670"/>
      <c r="F33" s="670"/>
      <c r="G33" s="670"/>
      <c r="H33" s="670"/>
      <c r="I33" s="670"/>
      <c r="J33" s="670"/>
      <c r="K33" s="670"/>
      <c r="L33" s="443"/>
    </row>
    <row r="34" spans="1:12" ht="14.25">
      <c r="A34" s="443"/>
      <c r="L34" s="443"/>
    </row>
    <row r="35" spans="1:12" ht="89.25" customHeight="1">
      <c r="A35" s="443"/>
      <c r="B35" s="671" t="s">
        <v>667</v>
      </c>
      <c r="C35" s="675"/>
      <c r="D35" s="675"/>
      <c r="E35" s="675"/>
      <c r="F35" s="675"/>
      <c r="G35" s="675"/>
      <c r="H35" s="675"/>
      <c r="I35" s="675"/>
      <c r="J35" s="675"/>
      <c r="K35" s="675"/>
      <c r="L35" s="443"/>
    </row>
    <row r="36" spans="1:12" ht="14.25">
      <c r="A36" s="443"/>
      <c r="L36" s="443"/>
    </row>
    <row r="37" spans="1:12" ht="14.25">
      <c r="A37" s="443"/>
      <c r="B37" s="448" t="s">
        <v>668</v>
      </c>
      <c r="L37" s="443"/>
    </row>
    <row r="38" spans="1:12" ht="14.25">
      <c r="A38" s="443"/>
      <c r="L38" s="443"/>
    </row>
    <row r="39" spans="1:12" ht="14.25">
      <c r="A39" s="443"/>
      <c r="B39" s="445" t="s">
        <v>669</v>
      </c>
      <c r="L39" s="443"/>
    </row>
    <row r="40" spans="1:12" ht="14.25">
      <c r="A40" s="443"/>
      <c r="L40" s="443"/>
    </row>
    <row r="41" spans="1:12" ht="14.25">
      <c r="A41" s="443"/>
      <c r="C41" s="676">
        <v>3120000</v>
      </c>
      <c r="D41" s="676"/>
      <c r="E41" s="445" t="s">
        <v>662</v>
      </c>
      <c r="F41" s="449">
        <v>1000</v>
      </c>
      <c r="G41" s="449" t="s">
        <v>661</v>
      </c>
      <c r="H41" s="462">
        <f>C41/F41</f>
        <v>3120</v>
      </c>
      <c r="L41" s="443"/>
    </row>
    <row r="42" spans="1:12" ht="14.25">
      <c r="A42" s="443"/>
      <c r="L42" s="443"/>
    </row>
    <row r="43" spans="1:12" ht="14.25">
      <c r="A43" s="443"/>
      <c r="B43" s="445" t="s">
        <v>670</v>
      </c>
      <c r="L43" s="443"/>
    </row>
    <row r="44" spans="1:12" ht="14.25">
      <c r="A44" s="443"/>
      <c r="L44" s="443"/>
    </row>
    <row r="45" spans="1:12" ht="14.25">
      <c r="A45" s="443"/>
      <c r="B45" s="445" t="s">
        <v>671</v>
      </c>
      <c r="L45" s="443"/>
    </row>
    <row r="46" spans="1:12" ht="15" thickBot="1">
      <c r="A46" s="443"/>
      <c r="L46" s="443"/>
    </row>
    <row r="47" spans="1:12" ht="14.25">
      <c r="A47" s="443"/>
      <c r="B47" s="463" t="s">
        <v>655</v>
      </c>
      <c r="C47" s="452"/>
      <c r="D47" s="452"/>
      <c r="E47" s="452"/>
      <c r="F47" s="452"/>
      <c r="G47" s="452"/>
      <c r="H47" s="452"/>
      <c r="I47" s="452"/>
      <c r="J47" s="452"/>
      <c r="K47" s="453"/>
      <c r="L47" s="443"/>
    </row>
    <row r="48" spans="1:12" ht="14.25">
      <c r="A48" s="443"/>
      <c r="B48" s="672">
        <v>133685008</v>
      </c>
      <c r="C48" s="672"/>
      <c r="D48" s="455" t="s">
        <v>672</v>
      </c>
      <c r="E48" s="455" t="s">
        <v>662</v>
      </c>
      <c r="F48" s="456">
        <v>1000</v>
      </c>
      <c r="G48" s="456" t="s">
        <v>661</v>
      </c>
      <c r="H48" s="457">
        <f>B48/F48</f>
        <v>133685.008</v>
      </c>
      <c r="I48" s="455" t="s">
        <v>673</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674</v>
      </c>
      <c r="D50" s="455"/>
      <c r="E50" s="455" t="s">
        <v>662</v>
      </c>
      <c r="F50" s="457">
        <f>H48</f>
        <v>133685.008</v>
      </c>
      <c r="G50" s="677" t="s">
        <v>675</v>
      </c>
      <c r="H50" s="678"/>
      <c r="I50" s="456" t="s">
        <v>661</v>
      </c>
      <c r="J50" s="466">
        <f>B50/F50</f>
        <v>52.8690023342034</v>
      </c>
      <c r="K50" s="458"/>
      <c r="L50" s="443"/>
    </row>
    <row r="51" spans="1:15" ht="15" thickBot="1">
      <c r="A51" s="443"/>
      <c r="B51" s="459"/>
      <c r="C51" s="460"/>
      <c r="D51" s="460"/>
      <c r="E51" s="460"/>
      <c r="F51" s="460"/>
      <c r="G51" s="460"/>
      <c r="H51" s="460"/>
      <c r="I51" s="679" t="s">
        <v>676</v>
      </c>
      <c r="J51" s="679"/>
      <c r="K51" s="680"/>
      <c r="L51" s="443"/>
      <c r="O51" s="467"/>
    </row>
    <row r="52" spans="1:12" ht="40.5" customHeight="1">
      <c r="A52" s="443"/>
      <c r="B52" s="674" t="s">
        <v>651</v>
      </c>
      <c r="C52" s="674"/>
      <c r="D52" s="674"/>
      <c r="E52" s="674"/>
      <c r="F52" s="674"/>
      <c r="G52" s="674"/>
      <c r="H52" s="674"/>
      <c r="I52" s="674"/>
      <c r="J52" s="674"/>
      <c r="K52" s="674"/>
      <c r="L52" s="443"/>
    </row>
    <row r="53" spans="1:12" ht="14.25">
      <c r="A53" s="443"/>
      <c r="B53" s="670" t="s">
        <v>677</v>
      </c>
      <c r="C53" s="670"/>
      <c r="D53" s="670"/>
      <c r="E53" s="670"/>
      <c r="F53" s="670"/>
      <c r="G53" s="670"/>
      <c r="H53" s="670"/>
      <c r="I53" s="670"/>
      <c r="J53" s="670"/>
      <c r="K53" s="670"/>
      <c r="L53" s="443"/>
    </row>
    <row r="54" spans="1:12" ht="14.25">
      <c r="A54" s="443"/>
      <c r="B54" s="447"/>
      <c r="C54" s="447"/>
      <c r="D54" s="447"/>
      <c r="E54" s="447"/>
      <c r="F54" s="447"/>
      <c r="G54" s="447"/>
      <c r="H54" s="447"/>
      <c r="I54" s="447"/>
      <c r="J54" s="447"/>
      <c r="K54" s="447"/>
      <c r="L54" s="443"/>
    </row>
    <row r="55" spans="1:12" ht="14.25">
      <c r="A55" s="443"/>
      <c r="B55" s="666" t="s">
        <v>678</v>
      </c>
      <c r="C55" s="666"/>
      <c r="D55" s="666"/>
      <c r="E55" s="666"/>
      <c r="F55" s="666"/>
      <c r="G55" s="666"/>
      <c r="H55" s="666"/>
      <c r="I55" s="666"/>
      <c r="J55" s="666"/>
      <c r="K55" s="666"/>
      <c r="L55" s="443"/>
    </row>
    <row r="56" spans="1:12" ht="15" customHeight="1">
      <c r="A56" s="443"/>
      <c r="L56" s="443"/>
    </row>
    <row r="57" spans="1:24" ht="74.25" customHeight="1">
      <c r="A57" s="443"/>
      <c r="B57" s="671" t="s">
        <v>679</v>
      </c>
      <c r="C57" s="675"/>
      <c r="D57" s="675"/>
      <c r="E57" s="675"/>
      <c r="F57" s="675"/>
      <c r="G57" s="675"/>
      <c r="H57" s="675"/>
      <c r="I57" s="675"/>
      <c r="J57" s="675"/>
      <c r="K57" s="675"/>
      <c r="L57" s="443"/>
      <c r="M57" s="468"/>
      <c r="N57" s="469"/>
      <c r="O57" s="469"/>
      <c r="P57" s="469"/>
      <c r="Q57" s="469"/>
      <c r="R57" s="469"/>
      <c r="S57" s="469"/>
      <c r="T57" s="469"/>
      <c r="U57" s="469"/>
      <c r="V57" s="469"/>
      <c r="W57" s="469"/>
      <c r="X57" s="469"/>
    </row>
    <row r="58" spans="1:24" ht="15" customHeight="1">
      <c r="A58" s="443"/>
      <c r="B58" s="671"/>
      <c r="C58" s="675"/>
      <c r="D58" s="675"/>
      <c r="E58" s="675"/>
      <c r="F58" s="675"/>
      <c r="G58" s="675"/>
      <c r="H58" s="675"/>
      <c r="I58" s="675"/>
      <c r="J58" s="675"/>
      <c r="K58" s="675"/>
      <c r="L58" s="443"/>
      <c r="M58" s="468"/>
      <c r="N58" s="469"/>
      <c r="O58" s="469"/>
      <c r="P58" s="469"/>
      <c r="Q58" s="469"/>
      <c r="R58" s="469"/>
      <c r="S58" s="469"/>
      <c r="T58" s="469"/>
      <c r="U58" s="469"/>
      <c r="V58" s="469"/>
      <c r="W58" s="469"/>
      <c r="X58" s="469"/>
    </row>
    <row r="59" spans="1:24" ht="14.25">
      <c r="A59" s="443"/>
      <c r="B59" s="448" t="s">
        <v>668</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680</v>
      </c>
      <c r="L61" s="443"/>
      <c r="M61" s="469"/>
      <c r="N61" s="469"/>
      <c r="O61" s="469"/>
      <c r="P61" s="469"/>
      <c r="Q61" s="469"/>
      <c r="R61" s="469"/>
      <c r="S61" s="469"/>
      <c r="T61" s="469"/>
      <c r="U61" s="469"/>
      <c r="V61" s="469"/>
      <c r="W61" s="469"/>
      <c r="X61" s="469"/>
    </row>
    <row r="62" spans="1:24" ht="14.25">
      <c r="A62" s="443"/>
      <c r="B62" s="445" t="s">
        <v>681</v>
      </c>
      <c r="L62" s="443"/>
      <c r="M62" s="469"/>
      <c r="N62" s="469"/>
      <c r="O62" s="469"/>
      <c r="P62" s="469"/>
      <c r="Q62" s="469"/>
      <c r="R62" s="469"/>
      <c r="S62" s="469"/>
      <c r="T62" s="469"/>
      <c r="U62" s="469"/>
      <c r="V62" s="469"/>
      <c r="W62" s="469"/>
      <c r="X62" s="469"/>
    </row>
    <row r="63" spans="1:24" ht="14.25">
      <c r="A63" s="443"/>
      <c r="B63" s="445" t="s">
        <v>682</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683</v>
      </c>
      <c r="L65" s="443"/>
      <c r="M65" s="469"/>
      <c r="N65" s="469"/>
      <c r="O65" s="469"/>
      <c r="P65" s="469"/>
      <c r="Q65" s="469"/>
      <c r="R65" s="469"/>
      <c r="S65" s="469"/>
      <c r="T65" s="469"/>
      <c r="U65" s="469"/>
      <c r="V65" s="469"/>
      <c r="W65" s="469"/>
      <c r="X65" s="469"/>
    </row>
    <row r="66" spans="1:24" ht="14.25">
      <c r="A66" s="443"/>
      <c r="B66" s="445" t="s">
        <v>684</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685</v>
      </c>
      <c r="L68" s="443"/>
      <c r="M68" s="470"/>
      <c r="N68" s="471"/>
      <c r="O68" s="471"/>
      <c r="P68" s="471"/>
      <c r="Q68" s="471"/>
      <c r="R68" s="471"/>
      <c r="S68" s="471"/>
      <c r="T68" s="471"/>
      <c r="U68" s="471"/>
      <c r="V68" s="471"/>
      <c r="W68" s="471"/>
      <c r="X68" s="469"/>
    </row>
    <row r="69" spans="1:24" ht="14.25">
      <c r="A69" s="443"/>
      <c r="B69" s="445" t="s">
        <v>686</v>
      </c>
      <c r="L69" s="443"/>
      <c r="M69" s="469"/>
      <c r="N69" s="469"/>
      <c r="O69" s="469"/>
      <c r="P69" s="469"/>
      <c r="Q69" s="469"/>
      <c r="R69" s="469"/>
      <c r="S69" s="469"/>
      <c r="T69" s="469"/>
      <c r="U69" s="469"/>
      <c r="V69" s="469"/>
      <c r="W69" s="469"/>
      <c r="X69" s="469"/>
    </row>
    <row r="70" spans="1:24" ht="14.25">
      <c r="A70" s="443"/>
      <c r="B70" s="445" t="s">
        <v>687</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655</v>
      </c>
      <c r="C72" s="452"/>
      <c r="D72" s="452"/>
      <c r="E72" s="452"/>
      <c r="F72" s="452"/>
      <c r="G72" s="452"/>
      <c r="H72" s="452"/>
      <c r="I72" s="452"/>
      <c r="J72" s="452"/>
      <c r="K72" s="453"/>
      <c r="L72" s="472"/>
    </row>
    <row r="73" spans="1:12" ht="14.25">
      <c r="A73" s="443"/>
      <c r="B73" s="464"/>
      <c r="C73" s="455" t="s">
        <v>663</v>
      </c>
      <c r="D73" s="455"/>
      <c r="E73" s="455"/>
      <c r="F73" s="455"/>
      <c r="G73" s="455"/>
      <c r="H73" s="455"/>
      <c r="I73" s="455"/>
      <c r="J73" s="455"/>
      <c r="K73" s="458"/>
      <c r="L73" s="472"/>
    </row>
    <row r="74" spans="1:12" ht="14.25">
      <c r="A74" s="443"/>
      <c r="B74" s="464" t="s">
        <v>688</v>
      </c>
      <c r="C74" s="672">
        <v>133685008</v>
      </c>
      <c r="D74" s="672"/>
      <c r="E74" s="456" t="s">
        <v>662</v>
      </c>
      <c r="F74" s="456">
        <v>1000</v>
      </c>
      <c r="G74" s="456" t="s">
        <v>661</v>
      </c>
      <c r="H74" s="473">
        <f>C74/F74</f>
        <v>133685.008</v>
      </c>
      <c r="I74" s="455" t="s">
        <v>689</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690</v>
      </c>
      <c r="D76" s="455"/>
      <c r="E76" s="456"/>
      <c r="F76" s="455" t="s">
        <v>689</v>
      </c>
      <c r="G76" s="455"/>
      <c r="H76" s="455"/>
      <c r="I76" s="455"/>
      <c r="J76" s="455"/>
      <c r="K76" s="458"/>
      <c r="L76" s="472"/>
    </row>
    <row r="77" spans="1:12" ht="14.25">
      <c r="A77" s="443"/>
      <c r="B77" s="464" t="s">
        <v>691</v>
      </c>
      <c r="C77" s="672">
        <v>5000</v>
      </c>
      <c r="D77" s="672"/>
      <c r="E77" s="456" t="s">
        <v>662</v>
      </c>
      <c r="F77" s="473">
        <f>H74</f>
        <v>133685.008</v>
      </c>
      <c r="G77" s="456" t="s">
        <v>661</v>
      </c>
      <c r="H77" s="466">
        <f>C77/F77</f>
        <v>0.03740135169083432</v>
      </c>
      <c r="I77" s="455" t="s">
        <v>692</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693</v>
      </c>
      <c r="D79" s="475"/>
      <c r="E79" s="476"/>
      <c r="F79" s="475"/>
      <c r="G79" s="475"/>
      <c r="H79" s="475"/>
      <c r="I79" s="475"/>
      <c r="J79" s="475"/>
      <c r="K79" s="477"/>
      <c r="L79" s="472"/>
    </row>
    <row r="80" spans="1:12" ht="14.25">
      <c r="A80" s="443"/>
      <c r="B80" s="464" t="s">
        <v>694</v>
      </c>
      <c r="C80" s="672">
        <v>100000</v>
      </c>
      <c r="D80" s="672"/>
      <c r="E80" s="456" t="s">
        <v>302</v>
      </c>
      <c r="F80" s="456">
        <v>0.115</v>
      </c>
      <c r="G80" s="456" t="s">
        <v>661</v>
      </c>
      <c r="H80" s="473">
        <f>C80*F80</f>
        <v>11500</v>
      </c>
      <c r="I80" s="455" t="s">
        <v>695</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696</v>
      </c>
      <c r="D82" s="475"/>
      <c r="E82" s="476"/>
      <c r="F82" s="475" t="s">
        <v>692</v>
      </c>
      <c r="G82" s="475"/>
      <c r="H82" s="475"/>
      <c r="I82" s="475"/>
      <c r="J82" s="475" t="s">
        <v>697</v>
      </c>
      <c r="K82" s="477"/>
      <c r="L82" s="472"/>
    </row>
    <row r="83" spans="1:12" ht="14.25">
      <c r="A83" s="443"/>
      <c r="B83" s="464" t="s">
        <v>698</v>
      </c>
      <c r="C83" s="681">
        <f>H80</f>
        <v>11500</v>
      </c>
      <c r="D83" s="681"/>
      <c r="E83" s="456" t="s">
        <v>302</v>
      </c>
      <c r="F83" s="466">
        <f>H77</f>
        <v>0.03740135169083432</v>
      </c>
      <c r="G83" s="456" t="s">
        <v>662</v>
      </c>
      <c r="H83" s="456">
        <v>1000</v>
      </c>
      <c r="I83" s="456" t="s">
        <v>661</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674" t="s">
        <v>651</v>
      </c>
      <c r="C85" s="674"/>
      <c r="D85" s="674"/>
      <c r="E85" s="674"/>
      <c r="F85" s="674"/>
      <c r="G85" s="674"/>
      <c r="H85" s="674"/>
      <c r="I85" s="674"/>
      <c r="J85" s="674"/>
      <c r="K85" s="674"/>
      <c r="L85" s="443"/>
    </row>
    <row r="86" spans="1:12" ht="14.25">
      <c r="A86" s="443"/>
      <c r="B86" s="666" t="s">
        <v>699</v>
      </c>
      <c r="C86" s="666"/>
      <c r="D86" s="666"/>
      <c r="E86" s="666"/>
      <c r="F86" s="666"/>
      <c r="G86" s="666"/>
      <c r="H86" s="666"/>
      <c r="I86" s="666"/>
      <c r="J86" s="666"/>
      <c r="K86" s="666"/>
      <c r="L86" s="443"/>
    </row>
    <row r="87" spans="1:12" ht="14.25">
      <c r="A87" s="443"/>
      <c r="B87" s="483"/>
      <c r="C87" s="483"/>
      <c r="D87" s="483"/>
      <c r="E87" s="483"/>
      <c r="F87" s="483"/>
      <c r="G87" s="483"/>
      <c r="H87" s="483"/>
      <c r="I87" s="483"/>
      <c r="J87" s="483"/>
      <c r="K87" s="483"/>
      <c r="L87" s="443"/>
    </row>
    <row r="88" spans="1:12" ht="14.25">
      <c r="A88" s="443"/>
      <c r="B88" s="666" t="s">
        <v>700</v>
      </c>
      <c r="C88" s="666"/>
      <c r="D88" s="666"/>
      <c r="E88" s="666"/>
      <c r="F88" s="666"/>
      <c r="G88" s="666"/>
      <c r="H88" s="666"/>
      <c r="I88" s="666"/>
      <c r="J88" s="666"/>
      <c r="K88" s="666"/>
      <c r="L88" s="443"/>
    </row>
    <row r="89" spans="1:12" ht="14.25">
      <c r="A89" s="443"/>
      <c r="B89" s="484"/>
      <c r="C89" s="484"/>
      <c r="D89" s="484"/>
      <c r="E89" s="484"/>
      <c r="F89" s="484"/>
      <c r="G89" s="484"/>
      <c r="H89" s="484"/>
      <c r="I89" s="484"/>
      <c r="J89" s="484"/>
      <c r="K89" s="484"/>
      <c r="L89" s="443"/>
    </row>
    <row r="90" spans="1:12" ht="45" customHeight="1">
      <c r="A90" s="443"/>
      <c r="B90" s="671" t="s">
        <v>701</v>
      </c>
      <c r="C90" s="671"/>
      <c r="D90" s="671"/>
      <c r="E90" s="671"/>
      <c r="F90" s="671"/>
      <c r="G90" s="671"/>
      <c r="H90" s="671"/>
      <c r="I90" s="671"/>
      <c r="J90" s="671"/>
      <c r="K90" s="671"/>
      <c r="L90" s="443"/>
    </row>
    <row r="91" spans="1:12" ht="15" customHeight="1" thickBot="1">
      <c r="A91" s="443"/>
      <c r="L91" s="443"/>
    </row>
    <row r="92" spans="1:12" ht="15" customHeight="1">
      <c r="A92" s="443"/>
      <c r="B92" s="485" t="s">
        <v>655</v>
      </c>
      <c r="C92" s="486"/>
      <c r="D92" s="486"/>
      <c r="E92" s="486"/>
      <c r="F92" s="486"/>
      <c r="G92" s="486"/>
      <c r="H92" s="486"/>
      <c r="I92" s="486"/>
      <c r="J92" s="486"/>
      <c r="K92" s="487"/>
      <c r="L92" s="443"/>
    </row>
    <row r="93" spans="1:12" ht="15" customHeight="1">
      <c r="A93" s="443"/>
      <c r="B93" s="488"/>
      <c r="C93" s="489" t="s">
        <v>663</v>
      </c>
      <c r="D93" s="489"/>
      <c r="E93" s="489"/>
      <c r="F93" s="489"/>
      <c r="G93" s="489"/>
      <c r="H93" s="489"/>
      <c r="I93" s="489"/>
      <c r="J93" s="489"/>
      <c r="K93" s="490"/>
      <c r="L93" s="443"/>
    </row>
    <row r="94" spans="1:12" ht="15" customHeight="1">
      <c r="A94" s="443"/>
      <c r="B94" s="488" t="s">
        <v>688</v>
      </c>
      <c r="C94" s="672">
        <v>133685008</v>
      </c>
      <c r="D94" s="672"/>
      <c r="E94" s="456" t="s">
        <v>662</v>
      </c>
      <c r="F94" s="456">
        <v>1000</v>
      </c>
      <c r="G94" s="456" t="s">
        <v>661</v>
      </c>
      <c r="H94" s="473">
        <f>C94/F94</f>
        <v>133685.008</v>
      </c>
      <c r="I94" s="489" t="s">
        <v>689</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690</v>
      </c>
      <c r="D96" s="489"/>
      <c r="E96" s="456"/>
      <c r="F96" s="489" t="s">
        <v>689</v>
      </c>
      <c r="G96" s="489"/>
      <c r="H96" s="489"/>
      <c r="I96" s="489"/>
      <c r="J96" s="489"/>
      <c r="K96" s="490"/>
      <c r="L96" s="443"/>
    </row>
    <row r="97" spans="1:12" ht="15" customHeight="1">
      <c r="A97" s="443"/>
      <c r="B97" s="488" t="s">
        <v>691</v>
      </c>
      <c r="C97" s="672">
        <v>50000</v>
      </c>
      <c r="D97" s="672"/>
      <c r="E97" s="456" t="s">
        <v>662</v>
      </c>
      <c r="F97" s="473">
        <f>H94</f>
        <v>133685.008</v>
      </c>
      <c r="G97" s="456" t="s">
        <v>661</v>
      </c>
      <c r="H97" s="466">
        <f>C97/F97</f>
        <v>0.3740135169083432</v>
      </c>
      <c r="I97" s="489" t="s">
        <v>692</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702</v>
      </c>
      <c r="D99" s="492"/>
      <c r="E99" s="476"/>
      <c r="F99" s="492"/>
      <c r="G99" s="492"/>
      <c r="H99" s="492"/>
      <c r="I99" s="492"/>
      <c r="J99" s="492"/>
      <c r="K99" s="493"/>
      <c r="L99" s="443"/>
    </row>
    <row r="100" spans="1:12" ht="15" customHeight="1">
      <c r="A100" s="443"/>
      <c r="B100" s="488" t="s">
        <v>694</v>
      </c>
      <c r="C100" s="672">
        <v>2500000</v>
      </c>
      <c r="D100" s="672"/>
      <c r="E100" s="456" t="s">
        <v>302</v>
      </c>
      <c r="F100" s="494">
        <v>0.3</v>
      </c>
      <c r="G100" s="456" t="s">
        <v>661</v>
      </c>
      <c r="H100" s="473">
        <f>C100*F100</f>
        <v>750000</v>
      </c>
      <c r="I100" s="489" t="s">
        <v>695</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696</v>
      </c>
      <c r="D102" s="492"/>
      <c r="E102" s="476"/>
      <c r="F102" s="492" t="s">
        <v>692</v>
      </c>
      <c r="G102" s="492"/>
      <c r="H102" s="492"/>
      <c r="I102" s="492"/>
      <c r="J102" s="492" t="s">
        <v>697</v>
      </c>
      <c r="K102" s="493"/>
      <c r="L102" s="443"/>
    </row>
    <row r="103" spans="1:12" ht="15" customHeight="1">
      <c r="A103" s="443"/>
      <c r="B103" s="488" t="s">
        <v>698</v>
      </c>
      <c r="C103" s="681">
        <f>H100</f>
        <v>750000</v>
      </c>
      <c r="D103" s="681"/>
      <c r="E103" s="456" t="s">
        <v>302</v>
      </c>
      <c r="F103" s="466">
        <f>H97</f>
        <v>0.3740135169083432</v>
      </c>
      <c r="G103" s="456" t="s">
        <v>662</v>
      </c>
      <c r="H103" s="456">
        <v>1000</v>
      </c>
      <c r="I103" s="456" t="s">
        <v>661</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674" t="s">
        <v>651</v>
      </c>
      <c r="C105" s="682"/>
      <c r="D105" s="682"/>
      <c r="E105" s="682"/>
      <c r="F105" s="682"/>
      <c r="G105" s="682"/>
      <c r="H105" s="682"/>
      <c r="I105" s="682"/>
      <c r="J105" s="682"/>
      <c r="K105" s="682"/>
      <c r="L105" s="443"/>
    </row>
    <row r="106" spans="1:12" ht="15" customHeight="1">
      <c r="A106" s="443"/>
      <c r="B106" s="683" t="s">
        <v>703</v>
      </c>
      <c r="C106" s="667"/>
      <c r="D106" s="667"/>
      <c r="E106" s="667"/>
      <c r="F106" s="667"/>
      <c r="G106" s="667"/>
      <c r="H106" s="667"/>
      <c r="I106" s="667"/>
      <c r="J106" s="667"/>
      <c r="K106" s="667"/>
      <c r="L106" s="443"/>
    </row>
    <row r="107" spans="1:12" ht="15" customHeight="1">
      <c r="A107" s="443"/>
      <c r="B107" s="489"/>
      <c r="C107" s="497"/>
      <c r="D107" s="497"/>
      <c r="E107" s="456"/>
      <c r="F107" s="466"/>
      <c r="G107" s="456"/>
      <c r="H107" s="456"/>
      <c r="I107" s="456"/>
      <c r="J107" s="478"/>
      <c r="K107" s="489"/>
      <c r="L107" s="443"/>
    </row>
    <row r="108" spans="1:12" ht="15" customHeight="1">
      <c r="A108" s="443"/>
      <c r="B108" s="683" t="s">
        <v>704</v>
      </c>
      <c r="C108" s="684"/>
      <c r="D108" s="684"/>
      <c r="E108" s="684"/>
      <c r="F108" s="684"/>
      <c r="G108" s="684"/>
      <c r="H108" s="684"/>
      <c r="I108" s="684"/>
      <c r="J108" s="684"/>
      <c r="K108" s="684"/>
      <c r="L108" s="443"/>
    </row>
    <row r="109" spans="1:12" ht="15" customHeight="1">
      <c r="A109" s="443"/>
      <c r="B109" s="489"/>
      <c r="C109" s="497"/>
      <c r="D109" s="497"/>
      <c r="E109" s="456"/>
      <c r="F109" s="466"/>
      <c r="G109" s="456"/>
      <c r="H109" s="456"/>
      <c r="I109" s="456"/>
      <c r="J109" s="478"/>
      <c r="K109" s="489"/>
      <c r="L109" s="443"/>
    </row>
    <row r="110" spans="1:12" ht="59.25" customHeight="1">
      <c r="A110" s="443"/>
      <c r="B110" s="685" t="s">
        <v>705</v>
      </c>
      <c r="C110" s="675"/>
      <c r="D110" s="675"/>
      <c r="E110" s="675"/>
      <c r="F110" s="675"/>
      <c r="G110" s="675"/>
      <c r="H110" s="675"/>
      <c r="I110" s="675"/>
      <c r="J110" s="675"/>
      <c r="K110" s="675"/>
      <c r="L110" s="443"/>
    </row>
    <row r="111" spans="1:12" ht="15" thickBot="1">
      <c r="A111" s="443"/>
      <c r="B111" s="447"/>
      <c r="C111" s="447"/>
      <c r="D111" s="447"/>
      <c r="E111" s="447"/>
      <c r="F111" s="447"/>
      <c r="G111" s="447"/>
      <c r="H111" s="447"/>
      <c r="I111" s="447"/>
      <c r="J111" s="447"/>
      <c r="K111" s="447"/>
      <c r="L111" s="498"/>
    </row>
    <row r="112" spans="1:12" ht="14.25">
      <c r="A112" s="443"/>
      <c r="B112" s="451" t="s">
        <v>655</v>
      </c>
      <c r="C112" s="452"/>
      <c r="D112" s="452"/>
      <c r="E112" s="452"/>
      <c r="F112" s="452"/>
      <c r="G112" s="452"/>
      <c r="H112" s="452"/>
      <c r="I112" s="452"/>
      <c r="J112" s="452"/>
      <c r="K112" s="453"/>
      <c r="L112" s="443"/>
    </row>
    <row r="113" spans="1:12" ht="14.25">
      <c r="A113" s="443"/>
      <c r="B113" s="464"/>
      <c r="C113" s="455" t="s">
        <v>663</v>
      </c>
      <c r="D113" s="455"/>
      <c r="E113" s="455"/>
      <c r="F113" s="455"/>
      <c r="G113" s="455"/>
      <c r="H113" s="455"/>
      <c r="I113" s="455"/>
      <c r="J113" s="455"/>
      <c r="K113" s="458"/>
      <c r="L113" s="443"/>
    </row>
    <row r="114" spans="1:12" ht="14.25">
      <c r="A114" s="443"/>
      <c r="B114" s="464" t="s">
        <v>688</v>
      </c>
      <c r="C114" s="672">
        <v>133685008</v>
      </c>
      <c r="D114" s="672"/>
      <c r="E114" s="456" t="s">
        <v>662</v>
      </c>
      <c r="F114" s="456">
        <v>1000</v>
      </c>
      <c r="G114" s="456" t="s">
        <v>661</v>
      </c>
      <c r="H114" s="473">
        <f>C114/F114</f>
        <v>133685.008</v>
      </c>
      <c r="I114" s="455" t="s">
        <v>689</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690</v>
      </c>
      <c r="D116" s="455"/>
      <c r="E116" s="456"/>
      <c r="F116" s="455" t="s">
        <v>689</v>
      </c>
      <c r="G116" s="455"/>
      <c r="H116" s="455"/>
      <c r="I116" s="455"/>
      <c r="J116" s="455"/>
      <c r="K116" s="458"/>
      <c r="L116" s="443"/>
    </row>
    <row r="117" spans="1:12" ht="14.25">
      <c r="A117" s="443"/>
      <c r="B117" s="464" t="s">
        <v>691</v>
      </c>
      <c r="C117" s="672">
        <v>50000</v>
      </c>
      <c r="D117" s="672"/>
      <c r="E117" s="456" t="s">
        <v>662</v>
      </c>
      <c r="F117" s="473">
        <f>H114</f>
        <v>133685.008</v>
      </c>
      <c r="G117" s="456" t="s">
        <v>661</v>
      </c>
      <c r="H117" s="466">
        <f>C117/F117</f>
        <v>0.3740135169083432</v>
      </c>
      <c r="I117" s="455" t="s">
        <v>692</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702</v>
      </c>
      <c r="D119" s="475"/>
      <c r="E119" s="476"/>
      <c r="F119" s="475"/>
      <c r="G119" s="475"/>
      <c r="H119" s="475"/>
      <c r="I119" s="475"/>
      <c r="J119" s="475"/>
      <c r="K119" s="477"/>
      <c r="L119" s="443"/>
    </row>
    <row r="120" spans="1:12" ht="14.25">
      <c r="A120" s="443"/>
      <c r="B120" s="464" t="s">
        <v>694</v>
      </c>
      <c r="C120" s="672">
        <v>2500000</v>
      </c>
      <c r="D120" s="672"/>
      <c r="E120" s="456" t="s">
        <v>302</v>
      </c>
      <c r="F120" s="494">
        <v>0.25</v>
      </c>
      <c r="G120" s="456" t="s">
        <v>661</v>
      </c>
      <c r="H120" s="473">
        <f>C120*F120</f>
        <v>625000</v>
      </c>
      <c r="I120" s="455" t="s">
        <v>695</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696</v>
      </c>
      <c r="D122" s="475"/>
      <c r="E122" s="476"/>
      <c r="F122" s="475" t="s">
        <v>692</v>
      </c>
      <c r="G122" s="475"/>
      <c r="H122" s="475"/>
      <c r="I122" s="475"/>
      <c r="J122" s="475" t="s">
        <v>697</v>
      </c>
      <c r="K122" s="477"/>
      <c r="L122" s="443"/>
    </row>
    <row r="123" spans="1:12" ht="14.25">
      <c r="A123" s="443"/>
      <c r="B123" s="464" t="s">
        <v>698</v>
      </c>
      <c r="C123" s="681">
        <f>H120</f>
        <v>625000</v>
      </c>
      <c r="D123" s="681"/>
      <c r="E123" s="456" t="s">
        <v>302</v>
      </c>
      <c r="F123" s="466">
        <f>H117</f>
        <v>0.3740135169083432</v>
      </c>
      <c r="G123" s="456" t="s">
        <v>662</v>
      </c>
      <c r="H123" s="456">
        <v>1000</v>
      </c>
      <c r="I123" s="456" t="s">
        <v>661</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674" t="s">
        <v>651</v>
      </c>
      <c r="C125" s="674"/>
      <c r="D125" s="674"/>
      <c r="E125" s="674"/>
      <c r="F125" s="674"/>
      <c r="G125" s="674"/>
      <c r="H125" s="674"/>
      <c r="I125" s="674"/>
      <c r="J125" s="674"/>
      <c r="K125" s="674"/>
      <c r="L125" s="498"/>
    </row>
    <row r="126" spans="1:12" ht="14.25">
      <c r="A126" s="443"/>
      <c r="B126" s="666" t="s">
        <v>706</v>
      </c>
      <c r="C126" s="666"/>
      <c r="D126" s="666"/>
      <c r="E126" s="666"/>
      <c r="F126" s="666"/>
      <c r="G126" s="666"/>
      <c r="H126" s="666"/>
      <c r="I126" s="666"/>
      <c r="J126" s="666"/>
      <c r="K126" s="666"/>
      <c r="L126" s="498"/>
    </row>
    <row r="127" spans="1:12" ht="14.25">
      <c r="A127" s="443"/>
      <c r="B127" s="447"/>
      <c r="C127" s="447"/>
      <c r="D127" s="447"/>
      <c r="E127" s="447"/>
      <c r="F127" s="447"/>
      <c r="G127" s="447"/>
      <c r="H127" s="447"/>
      <c r="I127" s="447"/>
      <c r="J127" s="447"/>
      <c r="K127" s="447"/>
      <c r="L127" s="498"/>
    </row>
    <row r="128" spans="1:12" ht="14.25">
      <c r="A128" s="443"/>
      <c r="B128" s="666" t="s">
        <v>707</v>
      </c>
      <c r="C128" s="666"/>
      <c r="D128" s="666"/>
      <c r="E128" s="666"/>
      <c r="F128" s="666"/>
      <c r="G128" s="666"/>
      <c r="H128" s="666"/>
      <c r="I128" s="666"/>
      <c r="J128" s="666"/>
      <c r="K128" s="666"/>
      <c r="L128" s="498"/>
    </row>
    <row r="129" spans="1:12" ht="14.25">
      <c r="A129" s="443"/>
      <c r="B129" s="484"/>
      <c r="C129" s="484"/>
      <c r="D129" s="484"/>
      <c r="E129" s="484"/>
      <c r="F129" s="484"/>
      <c r="G129" s="484"/>
      <c r="H129" s="484"/>
      <c r="I129" s="484"/>
      <c r="J129" s="484"/>
      <c r="K129" s="484"/>
      <c r="L129" s="498"/>
    </row>
    <row r="130" spans="1:12" ht="74.25" customHeight="1">
      <c r="A130" s="443"/>
      <c r="B130" s="671" t="s">
        <v>708</v>
      </c>
      <c r="C130" s="671"/>
      <c r="D130" s="671"/>
      <c r="E130" s="671"/>
      <c r="F130" s="671"/>
      <c r="G130" s="671"/>
      <c r="H130" s="671"/>
      <c r="I130" s="671"/>
      <c r="J130" s="671"/>
      <c r="K130" s="671"/>
      <c r="L130" s="498"/>
    </row>
    <row r="131" spans="1:12" ht="15" thickBot="1">
      <c r="A131" s="443"/>
      <c r="L131" s="443"/>
    </row>
    <row r="132" spans="1:12" ht="14.25">
      <c r="A132" s="443"/>
      <c r="B132" s="451" t="s">
        <v>655</v>
      </c>
      <c r="C132" s="452"/>
      <c r="D132" s="452"/>
      <c r="E132" s="452"/>
      <c r="F132" s="452"/>
      <c r="G132" s="452"/>
      <c r="H132" s="452"/>
      <c r="I132" s="452"/>
      <c r="J132" s="452"/>
      <c r="K132" s="453"/>
      <c r="L132" s="443"/>
    </row>
    <row r="133" spans="1:12" ht="14.25">
      <c r="A133" s="443"/>
      <c r="B133" s="464"/>
      <c r="C133" s="686" t="s">
        <v>709</v>
      </c>
      <c r="D133" s="686"/>
      <c r="E133" s="455"/>
      <c r="F133" s="456" t="s">
        <v>710</v>
      </c>
      <c r="G133" s="455"/>
      <c r="H133" s="686" t="s">
        <v>695</v>
      </c>
      <c r="I133" s="686"/>
      <c r="J133" s="455"/>
      <c r="K133" s="458"/>
      <c r="L133" s="443"/>
    </row>
    <row r="134" spans="1:12" ht="14.25">
      <c r="A134" s="443"/>
      <c r="B134" s="464" t="s">
        <v>688</v>
      </c>
      <c r="C134" s="672">
        <v>100000</v>
      </c>
      <c r="D134" s="672"/>
      <c r="E134" s="456" t="s">
        <v>302</v>
      </c>
      <c r="F134" s="456">
        <v>0.115</v>
      </c>
      <c r="G134" s="456" t="s">
        <v>661</v>
      </c>
      <c r="H134" s="687">
        <f>C134*F134</f>
        <v>11500</v>
      </c>
      <c r="I134" s="687"/>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688" t="s">
        <v>695</v>
      </c>
      <c r="D136" s="688"/>
      <c r="E136" s="475"/>
      <c r="F136" s="476" t="s">
        <v>711</v>
      </c>
      <c r="G136" s="476"/>
      <c r="H136" s="475"/>
      <c r="I136" s="475"/>
      <c r="J136" s="475" t="s">
        <v>712</v>
      </c>
      <c r="K136" s="477"/>
      <c r="L136" s="443"/>
    </row>
    <row r="137" spans="1:12" ht="14.25">
      <c r="A137" s="443"/>
      <c r="B137" s="464" t="s">
        <v>691</v>
      </c>
      <c r="C137" s="687">
        <f>H134</f>
        <v>11500</v>
      </c>
      <c r="D137" s="687"/>
      <c r="E137" s="456" t="s">
        <v>302</v>
      </c>
      <c r="F137" s="499">
        <v>52.869</v>
      </c>
      <c r="G137" s="456" t="s">
        <v>662</v>
      </c>
      <c r="H137" s="456">
        <v>1000</v>
      </c>
      <c r="I137" s="456" t="s">
        <v>661</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651</v>
      </c>
      <c r="C139" s="505"/>
      <c r="D139" s="505"/>
      <c r="E139" s="506"/>
      <c r="F139" s="507"/>
      <c r="G139" s="506"/>
      <c r="H139" s="506"/>
      <c r="I139" s="506"/>
      <c r="J139" s="508"/>
      <c r="K139" s="509"/>
      <c r="L139" s="443"/>
    </row>
    <row r="140" spans="1:12" ht="14.25">
      <c r="A140" s="443"/>
      <c r="B140" s="510" t="s">
        <v>713</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714</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689" t="s">
        <v>715</v>
      </c>
      <c r="C144" s="690"/>
      <c r="D144" s="690"/>
      <c r="E144" s="690"/>
      <c r="F144" s="690"/>
      <c r="G144" s="690"/>
      <c r="H144" s="690"/>
      <c r="I144" s="690"/>
      <c r="J144" s="690"/>
      <c r="K144" s="691"/>
      <c r="L144" s="443"/>
    </row>
    <row r="145" spans="1:12" ht="15" thickBot="1">
      <c r="A145" s="443"/>
      <c r="B145" s="464"/>
      <c r="C145" s="473"/>
      <c r="D145" s="473"/>
      <c r="E145" s="456"/>
      <c r="F145" s="516"/>
      <c r="G145" s="456"/>
      <c r="H145" s="456"/>
      <c r="I145" s="456"/>
      <c r="J145" s="500"/>
      <c r="K145" s="458"/>
      <c r="L145" s="443"/>
    </row>
    <row r="146" spans="1:12" ht="14.25">
      <c r="A146" s="443"/>
      <c r="B146" s="451" t="s">
        <v>655</v>
      </c>
      <c r="C146" s="517"/>
      <c r="D146" s="517"/>
      <c r="E146" s="518"/>
      <c r="F146" s="519"/>
      <c r="G146" s="518"/>
      <c r="H146" s="518"/>
      <c r="I146" s="518"/>
      <c r="J146" s="520"/>
      <c r="K146" s="453"/>
      <c r="L146" s="443"/>
    </row>
    <row r="147" spans="1:12" ht="14.25">
      <c r="A147" s="443"/>
      <c r="B147" s="464"/>
      <c r="C147" s="687" t="s">
        <v>716</v>
      </c>
      <c r="D147" s="687"/>
      <c r="E147" s="456"/>
      <c r="F147" s="516" t="s">
        <v>717</v>
      </c>
      <c r="G147" s="456"/>
      <c r="H147" s="456"/>
      <c r="I147" s="456"/>
      <c r="J147" s="692" t="s">
        <v>718</v>
      </c>
      <c r="K147" s="693"/>
      <c r="L147" s="443"/>
    </row>
    <row r="148" spans="1:12" ht="14.25">
      <c r="A148" s="443"/>
      <c r="B148" s="464"/>
      <c r="C148" s="694">
        <v>52.869</v>
      </c>
      <c r="D148" s="694"/>
      <c r="E148" s="456" t="s">
        <v>302</v>
      </c>
      <c r="F148" s="521">
        <v>133685008</v>
      </c>
      <c r="G148" s="522" t="s">
        <v>662</v>
      </c>
      <c r="H148" s="456">
        <v>1000</v>
      </c>
      <c r="I148" s="456" t="s">
        <v>661</v>
      </c>
      <c r="J148" s="687">
        <f>C148*(F148/1000)</f>
        <v>7067792.687952</v>
      </c>
      <c r="K148" s="695"/>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719</v>
      </c>
    </row>
    <row r="3" ht="31.5">
      <c r="A3" s="526" t="s">
        <v>720</v>
      </c>
    </row>
    <row r="4" ht="15.75">
      <c r="A4" s="527" t="s">
        <v>721</v>
      </c>
    </row>
    <row r="7" ht="31.5">
      <c r="A7" s="526" t="s">
        <v>722</v>
      </c>
    </row>
    <row r="8" ht="15.75">
      <c r="A8" s="527" t="s">
        <v>723</v>
      </c>
    </row>
    <row r="11" ht="15.75">
      <c r="A11" s="525" t="s">
        <v>724</v>
      </c>
    </row>
    <row r="12" ht="15.75">
      <c r="A12" s="527" t="s">
        <v>725</v>
      </c>
    </row>
    <row r="15" ht="15.75">
      <c r="A15" s="525" t="s">
        <v>726</v>
      </c>
    </row>
    <row r="16" ht="15.75">
      <c r="A16" s="527" t="s">
        <v>727</v>
      </c>
    </row>
    <row r="19" ht="15.75">
      <c r="A19" s="525" t="s">
        <v>728</v>
      </c>
    </row>
    <row r="20" ht="15.75">
      <c r="A20" s="527" t="s">
        <v>729</v>
      </c>
    </row>
    <row r="23" ht="15.75">
      <c r="A23" s="525" t="s">
        <v>730</v>
      </c>
    </row>
    <row r="24" ht="15.75">
      <c r="A24" s="527" t="s">
        <v>731</v>
      </c>
    </row>
    <row r="27" ht="15.75">
      <c r="A27" s="525" t="s">
        <v>732</v>
      </c>
    </row>
    <row r="28" ht="15.75">
      <c r="A28" s="527" t="s">
        <v>733</v>
      </c>
    </row>
    <row r="31" ht="15.75">
      <c r="A31" s="525" t="s">
        <v>734</v>
      </c>
    </row>
    <row r="32" ht="15.75">
      <c r="A32" s="527" t="s">
        <v>735</v>
      </c>
    </row>
    <row r="35" ht="15.75">
      <c r="A35" s="525" t="s">
        <v>736</v>
      </c>
    </row>
    <row r="36" ht="15.75">
      <c r="A36" s="527" t="s">
        <v>737</v>
      </c>
    </row>
    <row r="39" ht="15.75">
      <c r="A39" s="525" t="s">
        <v>738</v>
      </c>
    </row>
    <row r="40" ht="15.75">
      <c r="A40" s="527" t="s">
        <v>739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E14" sqref="E14"/>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LONDON TOWNSHIP</v>
      </c>
      <c r="B1" s="101"/>
      <c r="C1" s="101"/>
      <c r="D1" s="101"/>
      <c r="E1" s="101">
        <f>inputPrYr!D5</f>
        <v>2014</v>
      </c>
    </row>
    <row r="2" spans="1:5" ht="15.75">
      <c r="A2" s="99" t="str">
        <f>inputPrYr!D3</f>
        <v>SUMNER COUNTY</v>
      </c>
      <c r="B2" s="101"/>
      <c r="C2" s="101"/>
      <c r="D2" s="101"/>
      <c r="E2" s="101"/>
    </row>
    <row r="3" spans="1:5" ht="15.75">
      <c r="A3" s="101"/>
      <c r="B3" s="101"/>
      <c r="C3" s="101"/>
      <c r="D3" s="101"/>
      <c r="E3" s="101"/>
    </row>
    <row r="4" spans="1:5" ht="15.75">
      <c r="A4" s="593" t="s">
        <v>163</v>
      </c>
      <c r="B4" s="594"/>
      <c r="C4" s="594"/>
      <c r="D4" s="594"/>
      <c r="E4" s="594"/>
    </row>
    <row r="5" spans="1:5" ht="15.75">
      <c r="A5" s="101"/>
      <c r="B5" s="101"/>
      <c r="C5" s="101"/>
      <c r="D5" s="101"/>
      <c r="E5" s="101"/>
    </row>
    <row r="6" spans="1:5" ht="15.75">
      <c r="A6" s="306" t="str">
        <f>CONCATENATE("From the County Clerks Budget Information for ",E1,":")</f>
        <v>From the County Clerks Budget Information for 2014:</v>
      </c>
      <c r="B6" s="307"/>
      <c r="C6" s="307"/>
      <c r="D6" s="14"/>
      <c r="E6" s="55"/>
    </row>
    <row r="7" spans="1:5" ht="15.75">
      <c r="A7" s="22" t="str">
        <f>CONCATENATE("Total Assessed Valuation for ",E1-1,"")</f>
        <v>Total Assessed Valuation for 2013</v>
      </c>
      <c r="B7" s="19"/>
      <c r="C7" s="19"/>
      <c r="D7" s="19"/>
      <c r="E7" s="308">
        <v>5856711</v>
      </c>
    </row>
    <row r="8" spans="1:5" ht="15.75">
      <c r="A8" s="22" t="str">
        <f>CONCATENATE("New Improvements for ",E1-1,"")</f>
        <v>New Improvements for 2013</v>
      </c>
      <c r="B8" s="19"/>
      <c r="C8" s="19"/>
      <c r="D8" s="19"/>
      <c r="E8" s="309">
        <v>16738</v>
      </c>
    </row>
    <row r="9" spans="1:5" ht="15.75">
      <c r="A9" s="22" t="str">
        <f>CONCATENATE("Personal Property excluding oil, gas, and mobile homes - ",E1-1,"")</f>
        <v>Personal Property excluding oil, gas, and mobile homes - 2013</v>
      </c>
      <c r="B9" s="19"/>
      <c r="C9" s="19"/>
      <c r="D9" s="19"/>
      <c r="E9" s="309">
        <v>97566</v>
      </c>
    </row>
    <row r="10" spans="1:5" ht="15.75">
      <c r="A10" s="22" t="str">
        <f>CONCATENATE("Property that has changed in use for ",E1-1,"")</f>
        <v>Property that has changed in use for 2013</v>
      </c>
      <c r="B10" s="19"/>
      <c r="C10" s="19"/>
      <c r="D10" s="19"/>
      <c r="E10" s="309">
        <v>61298</v>
      </c>
    </row>
    <row r="11" spans="1:5" ht="15.75">
      <c r="A11" s="22" t="str">
        <f>CONCATENATE("Personal Property excluding oil, gas, and mobile homes- ",E1-2,"")</f>
        <v>Personal Property excluding oil, gas, and mobile homes- 2012</v>
      </c>
      <c r="B11" s="19"/>
      <c r="C11" s="19"/>
      <c r="D11" s="19"/>
      <c r="E11" s="309">
        <v>97511</v>
      </c>
    </row>
    <row r="12" spans="1:5" ht="15.75">
      <c r="A12" s="22" t="str">
        <f>CONCATENATE("Gross earnings (intangible) tax estimate for ",E1,"")</f>
        <v>Gross earnings (intangible) tax estimate for 2014</v>
      </c>
      <c r="B12" s="19"/>
      <c r="C12" s="19"/>
      <c r="D12" s="19"/>
      <c r="E12" s="309">
        <v>0</v>
      </c>
    </row>
    <row r="13" spans="1:5" ht="15.75">
      <c r="A13" s="22" t="str">
        <f>CONCATENATE("Neighborhood Revitalization - ",E1,"")</f>
        <v>Neighborhood Revitalization - 2014</v>
      </c>
      <c r="B13" s="19"/>
      <c r="C13" s="19"/>
      <c r="D13" s="19"/>
      <c r="E13" s="309">
        <v>29576</v>
      </c>
    </row>
    <row r="14" spans="1:5" ht="15.75">
      <c r="A14" s="22"/>
      <c r="B14" s="19"/>
      <c r="C14" s="19"/>
      <c r="D14" s="19"/>
      <c r="E14" s="310"/>
    </row>
    <row r="15" spans="1:5" ht="15.75">
      <c r="A15" s="311" t="str">
        <f>CONCATENATE("Actual Tax Rates for the ",E1-1," Budget:")</f>
        <v>Actual Tax Rates for the 2013 Budget:</v>
      </c>
      <c r="B15" s="19"/>
      <c r="C15" s="19"/>
      <c r="D15" s="19"/>
      <c r="E15" s="312"/>
    </row>
    <row r="16" spans="1:5" ht="15.75">
      <c r="A16" s="595" t="s">
        <v>298</v>
      </c>
      <c r="B16" s="596"/>
      <c r="C16" s="101"/>
      <c r="D16" s="313" t="s">
        <v>3</v>
      </c>
      <c r="E16" s="312"/>
    </row>
    <row r="17" spans="1:5" ht="15.75">
      <c r="A17" s="82" t="str">
        <f>inputPrYr!B16</f>
        <v>General</v>
      </c>
      <c r="B17" s="20"/>
      <c r="C17" s="19"/>
      <c r="D17" s="314"/>
      <c r="E17" s="312"/>
    </row>
    <row r="18" spans="1:5" ht="15.75">
      <c r="A18" s="82" t="str">
        <f>inputPrYr!B17</f>
        <v>Debt Service</v>
      </c>
      <c r="B18" s="291"/>
      <c r="C18" s="19"/>
      <c r="D18" s="315"/>
      <c r="E18" s="312"/>
    </row>
    <row r="19" spans="1:5" ht="15.75">
      <c r="A19" s="82" t="str">
        <f>inputPrYr!B18</f>
        <v>Road</v>
      </c>
      <c r="B19" s="291"/>
      <c r="C19" s="19"/>
      <c r="D19" s="315">
        <v>28.635</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288</v>
      </c>
      <c r="C26" s="283"/>
      <c r="D26" s="317">
        <f>SUM(D17:D25)</f>
        <v>28.635</v>
      </c>
      <c r="E26" s="14"/>
    </row>
    <row r="27" spans="1:5" ht="15.75">
      <c r="A27" s="14"/>
      <c r="B27" s="14"/>
      <c r="C27" s="14"/>
      <c r="D27" s="14"/>
      <c r="E27" s="14"/>
    </row>
    <row r="28" spans="1:5" ht="15.75">
      <c r="A28" s="20" t="str">
        <f>CONCATENATE("Final Assessed Valuation from the November 1, ",E1-2," Abstract:")</f>
        <v>Final Assessed Valuation from the November 1, 2012 Abstract:</v>
      </c>
      <c r="B28" s="20"/>
      <c r="C28" s="20"/>
      <c r="D28" s="20"/>
      <c r="E28" s="36">
        <v>5669617</v>
      </c>
    </row>
    <row r="29" spans="1:5" ht="15.75">
      <c r="A29" s="14"/>
      <c r="B29" s="14"/>
      <c r="C29" s="14"/>
      <c r="D29" s="14"/>
      <c r="E29" s="14"/>
    </row>
    <row r="30" spans="1:5" ht="15.75">
      <c r="A30" s="318" t="str">
        <f>CONCATENATE("From the County Treasurer's Budget Information - ",E1," Budget Year Estimates:")</f>
        <v>From the County Treasurer's Budget Information - 2014 Budget Year Estimates:</v>
      </c>
      <c r="B30" s="319"/>
      <c r="C30" s="319"/>
      <c r="D30" s="320"/>
      <c r="E30" s="55"/>
    </row>
    <row r="31" spans="1:5" ht="15.75">
      <c r="A31" s="82" t="s">
        <v>164</v>
      </c>
      <c r="B31" s="20"/>
      <c r="C31" s="20"/>
      <c r="D31" s="321"/>
      <c r="E31" s="34">
        <v>23503</v>
      </c>
    </row>
    <row r="32" spans="1:5" ht="15.75">
      <c r="A32" s="322" t="s">
        <v>289</v>
      </c>
      <c r="B32" s="291"/>
      <c r="C32" s="291"/>
      <c r="D32" s="31"/>
      <c r="E32" s="34">
        <v>320</v>
      </c>
    </row>
    <row r="33" spans="1:5" ht="15.75">
      <c r="A33" s="322" t="s">
        <v>165</v>
      </c>
      <c r="B33" s="291"/>
      <c r="C33" s="291"/>
      <c r="D33" s="31"/>
      <c r="E33" s="34">
        <v>751</v>
      </c>
    </row>
    <row r="34" spans="1:5" ht="15.75">
      <c r="A34" s="322" t="s">
        <v>166</v>
      </c>
      <c r="B34" s="291"/>
      <c r="C34" s="291"/>
      <c r="D34" s="31"/>
      <c r="E34" s="34"/>
    </row>
    <row r="35" spans="1:5" ht="15.75">
      <c r="A35" s="322" t="s">
        <v>167</v>
      </c>
      <c r="B35" s="291"/>
      <c r="C35" s="291"/>
      <c r="D35" s="31"/>
      <c r="E35" s="34"/>
    </row>
    <row r="36" spans="1:5" ht="15.75">
      <c r="A36" s="322" t="s">
        <v>104</v>
      </c>
      <c r="B36" s="20"/>
      <c r="C36" s="20"/>
      <c r="D36" s="321"/>
      <c r="E36" s="34">
        <v>3200</v>
      </c>
    </row>
    <row r="37" spans="1:5" ht="15.75">
      <c r="A37" s="14" t="s">
        <v>168</v>
      </c>
      <c r="B37" s="14"/>
      <c r="C37" s="14"/>
      <c r="D37" s="14"/>
      <c r="E37" s="14"/>
    </row>
    <row r="38" spans="1:5" ht="15.75">
      <c r="A38" s="79" t="s">
        <v>169</v>
      </c>
      <c r="B38" s="156"/>
      <c r="C38" s="156"/>
      <c r="D38" s="14"/>
      <c r="E38" s="14"/>
    </row>
    <row r="39" spans="1:5" ht="15.75">
      <c r="A39" s="300" t="str">
        <f>CONCATENATE("Actual Delinquency for ",E1-3," Tax (round to three decimal places)")</f>
        <v>Actual Delinquency for 2011 Tax (round to three decimal places)</v>
      </c>
      <c r="B39" s="19"/>
      <c r="C39" s="14"/>
      <c r="D39" s="14"/>
      <c r="E39" s="430"/>
    </row>
    <row r="40" spans="1:5" ht="15.75">
      <c r="A40" s="300" t="s">
        <v>170</v>
      </c>
      <c r="B40" s="300"/>
      <c r="C40" s="19"/>
      <c r="D40" s="19"/>
      <c r="E40" s="431"/>
    </row>
    <row r="41" spans="1:5" ht="15.75">
      <c r="A41" s="323" t="s">
        <v>171</v>
      </c>
      <c r="B41" s="323"/>
      <c r="C41" s="324"/>
      <c r="D41" s="324"/>
      <c r="E41" s="325"/>
    </row>
    <row r="42" spans="1:5" ht="15.75">
      <c r="A42" s="151"/>
      <c r="B42" s="151"/>
      <c r="C42" s="151"/>
      <c r="D42" s="151"/>
      <c r="E42" s="151"/>
    </row>
    <row r="43" spans="1:5" ht="15.75">
      <c r="A43" s="597" t="str">
        <f>CONCATENATE("From the ",E1-2," Budget Certificate Page")</f>
        <v>From the 2012 Budget Certificate Page</v>
      </c>
      <c r="B43" s="598"/>
      <c r="C43" s="151"/>
      <c r="D43" s="151"/>
      <c r="E43" s="151"/>
    </row>
    <row r="44" spans="1:5" ht="15.75">
      <c r="A44" s="326"/>
      <c r="B44" s="326" t="str">
        <f>CONCATENATE("",E1-2," Expenditure Amounts")</f>
        <v>2012 Expenditure Amounts</v>
      </c>
      <c r="C44" s="599" t="str">
        <f>CONCATENATE("Note: If the ",E1-2," budget was amended, then the")</f>
        <v>Note: If the 2012 budget was amended, then the</v>
      </c>
      <c r="D44" s="600"/>
      <c r="E44" s="600"/>
    </row>
    <row r="45" spans="1:5" ht="15.75">
      <c r="A45" s="327" t="s">
        <v>219</v>
      </c>
      <c r="B45" s="327" t="s">
        <v>220</v>
      </c>
      <c r="C45" s="328" t="s">
        <v>221</v>
      </c>
      <c r="D45" s="329"/>
      <c r="E45" s="329"/>
    </row>
    <row r="46" spans="1:5" ht="15.75">
      <c r="A46" s="330" t="str">
        <f>inputPrYr!B16</f>
        <v>General</v>
      </c>
      <c r="B46" s="36"/>
      <c r="C46" s="328" t="s">
        <v>222</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809</v>
      </c>
    </row>
    <row r="2" ht="15.75">
      <c r="A2" s="91" t="s">
        <v>810</v>
      </c>
    </row>
    <row r="4" ht="15.75">
      <c r="A4" s="401" t="s">
        <v>807</v>
      </c>
    </row>
    <row r="5" ht="15.75">
      <c r="A5" s="91" t="s">
        <v>808</v>
      </c>
    </row>
    <row r="7" ht="15.75">
      <c r="A7" s="401" t="s">
        <v>804</v>
      </c>
    </row>
    <row r="8" ht="15.75">
      <c r="A8" s="585" t="s">
        <v>805</v>
      </c>
    </row>
    <row r="10" ht="15.75">
      <c r="A10" s="401" t="s">
        <v>801</v>
      </c>
    </row>
    <row r="11" ht="15.75">
      <c r="A11" s="91" t="s">
        <v>802</v>
      </c>
    </row>
    <row r="12" ht="15.75">
      <c r="A12" s="91" t="s">
        <v>803</v>
      </c>
    </row>
    <row r="14" ht="15.75">
      <c r="A14" s="401" t="s">
        <v>774</v>
      </c>
    </row>
    <row r="15" ht="15.75">
      <c r="A15" s="585" t="s">
        <v>775</v>
      </c>
    </row>
    <row r="16" ht="15.75">
      <c r="A16" s="585" t="s">
        <v>776</v>
      </c>
    </row>
    <row r="17" ht="31.5">
      <c r="A17" s="584" t="s">
        <v>777</v>
      </c>
    </row>
    <row r="18" ht="15.75">
      <c r="A18" s="585" t="s">
        <v>778</v>
      </c>
    </row>
    <row r="19" ht="15.75">
      <c r="A19" s="585" t="s">
        <v>779</v>
      </c>
    </row>
    <row r="20" ht="15.75">
      <c r="A20" s="585" t="s">
        <v>780</v>
      </c>
    </row>
    <row r="21" ht="15.75">
      <c r="A21" s="585" t="s">
        <v>781</v>
      </c>
    </row>
    <row r="22" ht="15.75">
      <c r="A22" s="585" t="s">
        <v>782</v>
      </c>
    </row>
    <row r="23" ht="15.75">
      <c r="A23" s="585" t="s">
        <v>783</v>
      </c>
    </row>
    <row r="24" ht="15.75">
      <c r="A24" s="585" t="s">
        <v>784</v>
      </c>
    </row>
    <row r="25" ht="15.75">
      <c r="A25" s="585" t="s">
        <v>785</v>
      </c>
    </row>
    <row r="26" ht="15.75">
      <c r="A26" s="585" t="s">
        <v>786</v>
      </c>
    </row>
    <row r="27" ht="15.75">
      <c r="A27" s="585" t="s">
        <v>797</v>
      </c>
    </row>
    <row r="28" ht="15.75">
      <c r="A28" s="585" t="s">
        <v>787</v>
      </c>
    </row>
    <row r="29" ht="15.75">
      <c r="A29" s="585" t="s">
        <v>788</v>
      </c>
    </row>
    <row r="30" ht="15.75">
      <c r="A30" s="585" t="s">
        <v>789</v>
      </c>
    </row>
    <row r="31" ht="15.75">
      <c r="A31" s="585" t="s">
        <v>790</v>
      </c>
    </row>
    <row r="32" ht="15.75">
      <c r="A32" s="585" t="s">
        <v>791</v>
      </c>
    </row>
    <row r="33" ht="15.75">
      <c r="A33" s="585" t="s">
        <v>792</v>
      </c>
    </row>
    <row r="34" ht="15.75">
      <c r="A34" s="585" t="s">
        <v>793</v>
      </c>
    </row>
    <row r="35" ht="15.75">
      <c r="A35" s="585" t="s">
        <v>794</v>
      </c>
    </row>
    <row r="36" ht="15.75">
      <c r="A36" s="585" t="s">
        <v>795</v>
      </c>
    </row>
    <row r="37" ht="15.75">
      <c r="A37" s="585" t="s">
        <v>800</v>
      </c>
    </row>
    <row r="39" ht="15.75">
      <c r="A39" s="401" t="s">
        <v>643</v>
      </c>
    </row>
    <row r="40" ht="39" customHeight="1">
      <c r="A40" s="360" t="s">
        <v>644</v>
      </c>
    </row>
    <row r="41" ht="23.25" customHeight="1"/>
    <row r="42" ht="15.75">
      <c r="A42" s="401" t="s">
        <v>639</v>
      </c>
    </row>
    <row r="43" ht="15.75">
      <c r="A43" s="91" t="s">
        <v>640</v>
      </c>
    </row>
    <row r="44" ht="15.75">
      <c r="A44" s="91" t="s">
        <v>641</v>
      </c>
    </row>
    <row r="45" ht="15.75">
      <c r="A45" s="91" t="s">
        <v>642</v>
      </c>
    </row>
    <row r="47" ht="15.75">
      <c r="A47" s="404" t="s">
        <v>628</v>
      </c>
    </row>
    <row r="48" ht="15.75">
      <c r="A48" s="91" t="s">
        <v>638</v>
      </c>
    </row>
    <row r="50" ht="15.75">
      <c r="A50" s="401" t="s">
        <v>602</v>
      </c>
    </row>
    <row r="51" ht="15.75">
      <c r="A51" s="402" t="s">
        <v>603</v>
      </c>
    </row>
    <row r="52" ht="15.75">
      <c r="A52" s="402" t="s">
        <v>604</v>
      </c>
    </row>
    <row r="53" ht="15.75">
      <c r="A53" s="402" t="s">
        <v>605</v>
      </c>
    </row>
    <row r="54" ht="15.75">
      <c r="A54" s="400" t="s">
        <v>606</v>
      </c>
    </row>
    <row r="56" ht="15.75">
      <c r="A56" s="373" t="s">
        <v>329</v>
      </c>
    </row>
    <row r="57" ht="15.75">
      <c r="A57" s="91" t="s">
        <v>331</v>
      </c>
    </row>
    <row r="58" ht="15.75">
      <c r="A58" s="91" t="s">
        <v>332</v>
      </c>
    </row>
    <row r="59" ht="15.75">
      <c r="A59" s="91" t="s">
        <v>333</v>
      </c>
    </row>
    <row r="60" ht="15.75">
      <c r="A60" s="91" t="s">
        <v>334</v>
      </c>
    </row>
    <row r="61" ht="15.75">
      <c r="A61" s="91" t="s">
        <v>335</v>
      </c>
    </row>
    <row r="62" ht="15.75">
      <c r="A62" s="91" t="s">
        <v>336</v>
      </c>
    </row>
    <row r="63" ht="15.75">
      <c r="A63" s="91" t="s">
        <v>351</v>
      </c>
    </row>
    <row r="64" ht="15.75">
      <c r="A64" s="91" t="s">
        <v>352</v>
      </c>
    </row>
    <row r="65" ht="15.75">
      <c r="A65" s="91" t="s">
        <v>353</v>
      </c>
    </row>
    <row r="66" ht="15.75">
      <c r="A66" s="91" t="s">
        <v>354</v>
      </c>
    </row>
    <row r="67" ht="15.75">
      <c r="A67" s="91" t="s">
        <v>370</v>
      </c>
    </row>
    <row r="68" ht="31.5">
      <c r="A68" s="360" t="s">
        <v>371</v>
      </c>
    </row>
    <row r="69" ht="15.75">
      <c r="A69" s="360" t="s">
        <v>380</v>
      </c>
    </row>
    <row r="70" ht="15.75">
      <c r="A70" s="375" t="s">
        <v>383</v>
      </c>
    </row>
    <row r="71" ht="15.75">
      <c r="A71" s="376" t="s">
        <v>384</v>
      </c>
    </row>
    <row r="73" ht="15.75">
      <c r="A73" s="373" t="s">
        <v>324</v>
      </c>
    </row>
    <row r="74" ht="15.75">
      <c r="A74" s="91" t="s">
        <v>325</v>
      </c>
    </row>
    <row r="75" ht="15.75">
      <c r="A75" s="91" t="s">
        <v>326</v>
      </c>
    </row>
    <row r="77" ht="15.75">
      <c r="A77" s="373" t="s">
        <v>322</v>
      </c>
    </row>
    <row r="78" ht="15.75">
      <c r="A78" s="91" t="s">
        <v>323</v>
      </c>
    </row>
    <row r="80" ht="15.75">
      <c r="A80" s="373" t="s">
        <v>320</v>
      </c>
    </row>
    <row r="81" ht="15.75">
      <c r="A81" s="91" t="s">
        <v>321</v>
      </c>
    </row>
    <row r="83" ht="15.75">
      <c r="A83" s="373" t="s">
        <v>317</v>
      </c>
    </row>
    <row r="84" ht="15.75">
      <c r="A84" s="91" t="s">
        <v>318</v>
      </c>
    </row>
    <row r="85" ht="15.75">
      <c r="A85" s="91" t="s">
        <v>319</v>
      </c>
    </row>
    <row r="87" ht="15.75">
      <c r="A87" s="91" t="s">
        <v>313</v>
      </c>
    </row>
    <row r="88" ht="15.75">
      <c r="A88" s="91" t="s">
        <v>314</v>
      </c>
    </row>
    <row r="89" ht="15.75">
      <c r="A89" s="91" t="s">
        <v>315</v>
      </c>
    </row>
    <row r="90" ht="15.75">
      <c r="A90" s="91" t="s">
        <v>316</v>
      </c>
    </row>
    <row r="92" ht="15.75">
      <c r="A92" s="91" t="s">
        <v>309</v>
      </c>
    </row>
    <row r="93" ht="15.75">
      <c r="A93" s="91" t="s">
        <v>310</v>
      </c>
    </row>
    <row r="94" ht="15.75">
      <c r="A94" s="91" t="s">
        <v>311</v>
      </c>
    </row>
    <row r="96" ht="15.75">
      <c r="A96" s="91" t="s">
        <v>307</v>
      </c>
    </row>
    <row r="97" ht="34.5" customHeight="1">
      <c r="A97" s="91" t="s">
        <v>308</v>
      </c>
    </row>
    <row r="99" ht="15.75">
      <c r="A99" s="91" t="s">
        <v>262</v>
      </c>
    </row>
    <row r="100" ht="15.75">
      <c r="A100" s="91" t="s">
        <v>263</v>
      </c>
    </row>
    <row r="101" ht="31.5">
      <c r="A101" s="360" t="s">
        <v>279</v>
      </c>
    </row>
    <row r="102" ht="15.75">
      <c r="A102" s="91" t="s">
        <v>264</v>
      </c>
    </row>
    <row r="103" ht="15.75">
      <c r="A103" s="91" t="s">
        <v>265</v>
      </c>
    </row>
    <row r="104" ht="15.75">
      <c r="A104" s="91" t="s">
        <v>266</v>
      </c>
    </row>
    <row r="105" ht="15.75">
      <c r="A105" s="91" t="s">
        <v>267</v>
      </c>
    </row>
    <row r="106" ht="31.5">
      <c r="A106" s="360" t="s">
        <v>247</v>
      </c>
    </row>
    <row r="107" ht="31.5">
      <c r="A107" s="360" t="s">
        <v>275</v>
      </c>
    </row>
    <row r="108" ht="31.5">
      <c r="A108" s="360" t="s">
        <v>268</v>
      </c>
    </row>
    <row r="109" ht="15.75">
      <c r="A109" s="360" t="s">
        <v>269</v>
      </c>
    </row>
    <row r="110" ht="31.5">
      <c r="A110" s="360" t="s">
        <v>270</v>
      </c>
    </row>
    <row r="111" ht="33.75" customHeight="1">
      <c r="A111" s="91" t="s">
        <v>271</v>
      </c>
    </row>
    <row r="112" ht="26.25" customHeight="1">
      <c r="A112" s="91" t="s">
        <v>272</v>
      </c>
    </row>
    <row r="113" ht="33.75" customHeight="1">
      <c r="A113" s="91" t="s">
        <v>273</v>
      </c>
    </row>
    <row r="114" ht="30.75" customHeight="1">
      <c r="A114" s="91" t="s">
        <v>278</v>
      </c>
    </row>
    <row r="115" ht="21" customHeight="1">
      <c r="A115" s="360" t="s">
        <v>276</v>
      </c>
    </row>
    <row r="116" ht="38.25" customHeight="1">
      <c r="A116" s="360" t="s">
        <v>241</v>
      </c>
    </row>
    <row r="117" ht="33.75" customHeight="1">
      <c r="A117" s="360" t="s">
        <v>248</v>
      </c>
    </row>
    <row r="118" ht="33.75" customHeight="1">
      <c r="A118" s="360" t="s">
        <v>242</v>
      </c>
    </row>
    <row r="119" ht="33.75" customHeight="1">
      <c r="A119" s="360" t="s">
        <v>243</v>
      </c>
    </row>
    <row r="120" ht="33.75" customHeight="1">
      <c r="A120" s="360" t="s">
        <v>244</v>
      </c>
    </row>
    <row r="121" ht="31.5">
      <c r="A121" s="360" t="s">
        <v>245</v>
      </c>
    </row>
    <row r="122" ht="31.5">
      <c r="A122" s="360" t="s">
        <v>249</v>
      </c>
    </row>
    <row r="123" ht="31.5">
      <c r="A123" s="360" t="s">
        <v>246</v>
      </c>
    </row>
    <row r="124" ht="31.5">
      <c r="A124" s="360" t="s">
        <v>250</v>
      </c>
    </row>
    <row r="125" ht="15.75">
      <c r="A125" s="360" t="s">
        <v>256</v>
      </c>
    </row>
    <row r="127" ht="15.75">
      <c r="A127" s="91" t="s">
        <v>196</v>
      </c>
    </row>
    <row r="128" ht="47.25">
      <c r="A128" s="360" t="s">
        <v>251</v>
      </c>
    </row>
    <row r="129" ht="15.75">
      <c r="A129" s="91" t="s">
        <v>197</v>
      </c>
    </row>
    <row r="130" ht="15.75">
      <c r="A130" s="91" t="s">
        <v>201</v>
      </c>
    </row>
    <row r="131" ht="15.75">
      <c r="A131" s="91" t="s">
        <v>202</v>
      </c>
    </row>
    <row r="132" ht="15.75">
      <c r="A132" s="91" t="s">
        <v>198</v>
      </c>
    </row>
    <row r="133" ht="15.75">
      <c r="A133" s="91" t="s">
        <v>199</v>
      </c>
    </row>
    <row r="134" ht="15.75">
      <c r="A134" s="91" t="s">
        <v>200</v>
      </c>
    </row>
    <row r="135" ht="15.75">
      <c r="A135" s="360" t="s">
        <v>203</v>
      </c>
    </row>
    <row r="136" ht="15.75">
      <c r="A136" s="91" t="s">
        <v>204</v>
      </c>
    </row>
    <row r="137" ht="15.75">
      <c r="A137" s="91" t="s">
        <v>205</v>
      </c>
    </row>
    <row r="138" ht="15.75">
      <c r="A138" s="91" t="s">
        <v>252</v>
      </c>
    </row>
    <row r="139" ht="15.75">
      <c r="A139" s="91" t="s">
        <v>206</v>
      </c>
    </row>
    <row r="140" ht="15.75">
      <c r="A140" s="91" t="s">
        <v>253</v>
      </c>
    </row>
    <row r="141" ht="15.75">
      <c r="A141" s="91" t="s">
        <v>207</v>
      </c>
    </row>
    <row r="142" ht="15.75">
      <c r="A142" s="91" t="s">
        <v>254</v>
      </c>
    </row>
    <row r="143" ht="15.75">
      <c r="A143" s="91" t="s">
        <v>208</v>
      </c>
    </row>
    <row r="144" ht="15.75">
      <c r="A144" s="91" t="s">
        <v>212</v>
      </c>
    </row>
    <row r="145" ht="15.75">
      <c r="A145" s="91" t="s">
        <v>255</v>
      </c>
    </row>
    <row r="146" ht="15.75">
      <c r="A146" s="91" t="s">
        <v>230</v>
      </c>
    </row>
    <row r="147" ht="15.75">
      <c r="A147" s="91" t="s">
        <v>231</v>
      </c>
    </row>
    <row r="148" ht="15.75">
      <c r="A148" s="91" t="s">
        <v>232</v>
      </c>
    </row>
    <row r="149" ht="15.75">
      <c r="A149" s="91" t="s">
        <v>216</v>
      </c>
    </row>
    <row r="150" ht="15.75">
      <c r="A150" s="91" t="s">
        <v>217</v>
      </c>
    </row>
    <row r="151" ht="15.75">
      <c r="A151" s="91" t="s">
        <v>218</v>
      </c>
    </row>
    <row r="152" ht="15.75">
      <c r="A152" s="91" t="s">
        <v>227</v>
      </c>
    </row>
    <row r="153" ht="15.75">
      <c r="A153" s="91" t="s">
        <v>228</v>
      </c>
    </row>
    <row r="154" ht="15.75">
      <c r="A154" s="91" t="s">
        <v>229</v>
      </c>
    </row>
    <row r="155" ht="15.75">
      <c r="A155" s="91" t="s">
        <v>240</v>
      </c>
    </row>
    <row r="156" ht="15.75">
      <c r="A156" s="91" t="s">
        <v>257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C14" sqref="C14"/>
    </sheetView>
  </sheetViews>
  <sheetFormatPr defaultColWidth="8.796875" defaultRowHeight="15.75"/>
  <cols>
    <col min="1" max="1" width="13.69921875" style="0" customWidth="1"/>
    <col min="2" max="2" width="16" style="0" customWidth="1"/>
  </cols>
  <sheetData>
    <row r="2" spans="1:6" ht="54" customHeight="1">
      <c r="A2" s="601" t="s">
        <v>385</v>
      </c>
      <c r="B2" s="602"/>
      <c r="C2" s="602"/>
      <c r="D2" s="602"/>
      <c r="E2" s="602"/>
      <c r="F2" s="602"/>
    </row>
    <row r="4" spans="1:6" ht="15.75">
      <c r="A4" s="383"/>
      <c r="B4" s="383"/>
      <c r="C4" s="383"/>
      <c r="D4" s="385"/>
      <c r="E4" s="383"/>
      <c r="F4" s="383"/>
    </row>
    <row r="5" spans="1:6" ht="15.75">
      <c r="A5" s="384" t="s">
        <v>386</v>
      </c>
      <c r="B5" s="386" t="s">
        <v>822</v>
      </c>
      <c r="C5" s="387"/>
      <c r="D5" s="384" t="s">
        <v>799</v>
      </c>
      <c r="E5" s="383"/>
      <c r="F5" s="383"/>
    </row>
    <row r="6" spans="1:6" ht="15.75">
      <c r="A6" s="384"/>
      <c r="B6" s="388"/>
      <c r="C6" s="389"/>
      <c r="D6" s="384" t="s">
        <v>798</v>
      </c>
      <c r="E6" s="383"/>
      <c r="F6" s="383"/>
    </row>
    <row r="7" spans="1:6" ht="15.75">
      <c r="A7" s="384" t="s">
        <v>387</v>
      </c>
      <c r="B7" s="386" t="s">
        <v>821</v>
      </c>
      <c r="C7" s="390"/>
      <c r="D7" s="384"/>
      <c r="E7" s="383"/>
      <c r="F7" s="383"/>
    </row>
    <row r="8" spans="1:6" ht="15.75">
      <c r="A8" s="384"/>
      <c r="B8" s="384"/>
      <c r="C8" s="384"/>
      <c r="D8" s="384"/>
      <c r="E8" s="383"/>
      <c r="F8" s="383"/>
    </row>
    <row r="9" spans="1:6" ht="15.75">
      <c r="A9" s="384" t="s">
        <v>388</v>
      </c>
      <c r="B9" s="391" t="s">
        <v>823</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389</v>
      </c>
      <c r="B12" s="391" t="s">
        <v>823</v>
      </c>
      <c r="C12" s="391"/>
      <c r="D12" s="391"/>
      <c r="E12" s="392"/>
      <c r="F12" s="383"/>
    </row>
    <row r="15" spans="1:6" ht="15.75">
      <c r="A15" s="603" t="s">
        <v>390</v>
      </c>
      <c r="B15" s="603"/>
      <c r="C15" s="384"/>
      <c r="D15" s="384"/>
      <c r="E15" s="384"/>
      <c r="F15" s="383"/>
    </row>
    <row r="16" spans="1:6" ht="15.75">
      <c r="A16" s="384"/>
      <c r="B16" s="384"/>
      <c r="C16" s="384"/>
      <c r="D16" s="384"/>
      <c r="E16" s="384"/>
      <c r="F16" s="383"/>
    </row>
    <row r="17" spans="1:5" ht="15.75">
      <c r="A17" s="384" t="s">
        <v>386</v>
      </c>
      <c r="B17" s="388" t="s">
        <v>391</v>
      </c>
      <c r="C17" s="384"/>
      <c r="D17" s="384"/>
      <c r="E17" s="384"/>
    </row>
    <row r="18" spans="1:5" ht="15.75">
      <c r="A18" s="384"/>
      <c r="B18" s="384"/>
      <c r="C18" s="384"/>
      <c r="D18" s="384"/>
      <c r="E18" s="384"/>
    </row>
    <row r="19" spans="1:5" ht="15.75">
      <c r="A19" s="384" t="s">
        <v>387</v>
      </c>
      <c r="B19" s="384" t="s">
        <v>392</v>
      </c>
      <c r="C19" s="384"/>
      <c r="D19" s="384"/>
      <c r="E19" s="384"/>
    </row>
    <row r="20" spans="1:5" ht="15.75">
      <c r="A20" s="384"/>
      <c r="B20" s="384"/>
      <c r="C20" s="384"/>
      <c r="D20" s="384"/>
      <c r="E20" s="384"/>
    </row>
    <row r="21" spans="1:5" ht="15.75">
      <c r="A21" s="384" t="s">
        <v>388</v>
      </c>
      <c r="B21" s="384" t="s">
        <v>394</v>
      </c>
      <c r="C21" s="384"/>
      <c r="D21" s="384"/>
      <c r="E21" s="384"/>
    </row>
    <row r="22" spans="1:5" ht="15.75">
      <c r="A22" s="384"/>
      <c r="B22" s="384"/>
      <c r="C22" s="384"/>
      <c r="D22" s="384"/>
      <c r="E22" s="384"/>
    </row>
    <row r="23" spans="1:5" ht="15.75">
      <c r="A23" s="384" t="s">
        <v>389</v>
      </c>
      <c r="B23" s="384" t="s">
        <v>393</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1">
      <selection activeCell="I38" activeCellId="1" sqref="O16 I38"/>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06" t="s">
        <v>73</v>
      </c>
      <c r="C1" s="606"/>
      <c r="D1" s="606"/>
      <c r="E1" s="606"/>
      <c r="F1" s="606"/>
      <c r="G1" s="606"/>
      <c r="H1" s="14">
        <f>inputPrYr!D5</f>
        <v>2014</v>
      </c>
    </row>
    <row r="2" spans="3:7" s="14" customFormat="1" ht="15.75">
      <c r="C2" s="156"/>
      <c r="D2" s="156"/>
      <c r="E2" s="156"/>
      <c r="F2" s="156"/>
      <c r="G2" s="63"/>
    </row>
    <row r="3" spans="2:8" s="14" customFormat="1" ht="15.75">
      <c r="B3" s="615" t="str">
        <f>CONCATENATE("To the Clerk of ",inputPrYr!D3,", State of Kansas")</f>
        <v>To the Clerk of SUMNER COUNTY, State of Kansas</v>
      </c>
      <c r="C3" s="614"/>
      <c r="D3" s="614"/>
      <c r="E3" s="614"/>
      <c r="F3" s="614"/>
      <c r="G3" s="614"/>
      <c r="H3" s="614"/>
    </row>
    <row r="4" spans="2:7" s="14" customFormat="1" ht="15.75">
      <c r="B4" s="158" t="s">
        <v>156</v>
      </c>
      <c r="C4" s="156"/>
      <c r="D4" s="156"/>
      <c r="E4" s="156"/>
      <c r="F4" s="156"/>
      <c r="G4" s="156"/>
    </row>
    <row r="5" s="14" customFormat="1" ht="15.75">
      <c r="D5" s="427" t="str">
        <f>inputPrYr!D2</f>
        <v>LONDON TOWNSHIP</v>
      </c>
    </row>
    <row r="6" spans="2:7" s="14" customFormat="1" ht="15.75">
      <c r="B6" s="613" t="s">
        <v>154</v>
      </c>
      <c r="C6" s="614"/>
      <c r="D6" s="614"/>
      <c r="E6" s="614"/>
      <c r="F6" s="614"/>
      <c r="G6" s="614"/>
    </row>
    <row r="7" spans="2:7" s="14" customFormat="1" ht="15.75" customHeight="1">
      <c r="B7" s="615" t="s">
        <v>155</v>
      </c>
      <c r="C7" s="616"/>
      <c r="D7" s="616"/>
      <c r="E7" s="616"/>
      <c r="F7" s="616"/>
      <c r="G7" s="616"/>
    </row>
    <row r="8" spans="2:7" s="14" customFormat="1" ht="15.75" customHeight="1">
      <c r="B8" s="158" t="str">
        <f>CONCATENATE("maximum expenditures for the various funds for the year ",H1,"; and (3) the")</f>
        <v>maximum expenditures for the various funds for the year 2014; and (3) the</v>
      </c>
      <c r="C8" s="156"/>
      <c r="D8" s="156"/>
      <c r="E8" s="156"/>
      <c r="F8" s="156"/>
      <c r="G8" s="156"/>
    </row>
    <row r="9" spans="2:7" s="14" customFormat="1" ht="15.75" customHeight="1">
      <c r="B9" s="158" t="str">
        <f>CONCATENATE("Amount(s) of ",H1-1," Ad Valorem Tax are within statutory limitations for the ",H1," Budget.")</f>
        <v>Amount(s) of 2013 Ad Valorem Tax are within statutory limitations for the 2014 Budget.</v>
      </c>
      <c r="C9" s="156"/>
      <c r="D9" s="156"/>
      <c r="E9" s="156"/>
      <c r="F9" s="156"/>
      <c r="G9" s="156"/>
    </row>
    <row r="10" spans="5:7" s="14" customFormat="1" ht="15.75" customHeight="1">
      <c r="E10" s="77"/>
      <c r="F10" s="77"/>
      <c r="G10" s="77"/>
    </row>
    <row r="11" spans="4:7" s="14" customFormat="1" ht="15.75">
      <c r="D11" s="19"/>
      <c r="E11" s="610" t="str">
        <f>CONCATENATE("",H1," Adopted Budget")</f>
        <v>2014 Adopted Budget</v>
      </c>
      <c r="F11" s="611"/>
      <c r="G11" s="612"/>
    </row>
    <row r="12" spans="2:7" s="14" customFormat="1" ht="15.75">
      <c r="B12" s="22"/>
      <c r="D12" s="77"/>
      <c r="E12" s="279" t="s">
        <v>290</v>
      </c>
      <c r="F12" s="607" t="str">
        <f>CONCATENATE("Amount of ",H1-1," Ad Valorem Tax")</f>
        <v>Amount of 2013 Ad Valorem Tax</v>
      </c>
      <c r="G12" s="23" t="s">
        <v>291</v>
      </c>
    </row>
    <row r="13" spans="4:7" s="14" customFormat="1" ht="15.75">
      <c r="D13" s="23" t="s">
        <v>292</v>
      </c>
      <c r="E13" s="570" t="s">
        <v>220</v>
      </c>
      <c r="F13" s="608"/>
      <c r="G13" s="167" t="s">
        <v>293</v>
      </c>
    </row>
    <row r="14" spans="2:7" s="14" customFormat="1" ht="15.75">
      <c r="B14" s="82" t="s">
        <v>294</v>
      </c>
      <c r="C14" s="20"/>
      <c r="D14" s="26" t="s">
        <v>295</v>
      </c>
      <c r="E14" s="571" t="s">
        <v>746</v>
      </c>
      <c r="F14" s="609"/>
      <c r="G14" s="26" t="s">
        <v>297</v>
      </c>
    </row>
    <row r="15" spans="2:7" s="14" customFormat="1" ht="15.75">
      <c r="B15" s="27" t="str">
        <f>CONCATENATE("Computation to Determine Limit for ",H1,"")</f>
        <v>Computation to Determine Limit for 2014</v>
      </c>
      <c r="C15" s="28"/>
      <c r="D15" s="23">
        <v>2</v>
      </c>
      <c r="E15" s="19"/>
      <c r="F15" s="19"/>
      <c r="G15" s="280"/>
    </row>
    <row r="16" spans="2:7" s="14" customFormat="1" ht="15.75">
      <c r="B16" s="27" t="s">
        <v>215</v>
      </c>
      <c r="C16" s="28"/>
      <c r="D16" s="172">
        <v>3</v>
      </c>
      <c r="E16" s="19"/>
      <c r="F16" s="19"/>
      <c r="G16" s="281"/>
    </row>
    <row r="17" spans="2:7" s="14" customFormat="1" ht="15.75">
      <c r="B17" s="74" t="s">
        <v>176</v>
      </c>
      <c r="C17" s="28"/>
      <c r="D17" s="172" t="s">
        <v>811</v>
      </c>
      <c r="E17" s="19"/>
      <c r="F17" s="19"/>
      <c r="G17" s="281"/>
    </row>
    <row r="18" spans="2:7" s="14" customFormat="1" ht="15.75">
      <c r="B18" s="74" t="s">
        <v>145</v>
      </c>
      <c r="C18" s="28"/>
      <c r="D18" s="172" t="s">
        <v>811</v>
      </c>
      <c r="E18" s="19"/>
      <c r="F18" s="19"/>
      <c r="G18" s="281"/>
    </row>
    <row r="19" spans="2:7" s="14" customFormat="1" ht="15.75">
      <c r="B19" s="282" t="s">
        <v>298</v>
      </c>
      <c r="C19" s="157" t="s">
        <v>299</v>
      </c>
      <c r="D19" s="192"/>
      <c r="G19" s="283"/>
    </row>
    <row r="20" spans="2:7" s="14" customFormat="1" ht="15.75">
      <c r="B20" s="96" t="s">
        <v>290</v>
      </c>
      <c r="C20" s="284" t="s">
        <v>290</v>
      </c>
      <c r="D20" s="285" t="str">
        <f>IF(' '!C61&gt;0,' '!C61,"  ")</f>
        <v> </v>
      </c>
      <c r="E20" s="172" t="str">
        <f>IF(' '!$E$50&lt;&gt;0,' '!$E$50,"  ")</f>
        <v>  </v>
      </c>
      <c r="F20" s="172">
        <f>IF(' '!$E$57&lt;&gt;0,' '!$E$57,0)</f>
        <v>0</v>
      </c>
      <c r="G20" s="168" t="str">
        <f>IF(AND(' '!E57=0,$C$38&gt;=0)," ",IF(AND(F20&gt;0,$C$38=0)," ",IF(AND(F20&gt;0,$C$38&gt;0),ROUND(F20/$C$38*1000,3))))</f>
        <v> </v>
      </c>
    </row>
    <row r="21" spans="2:7" s="14" customFormat="1" ht="15.75">
      <c r="B21" s="96" t="s">
        <v>290</v>
      </c>
      <c r="C21" s="284" t="s">
        <v>290</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f>IF(road!C67&gt;0,road!C67,"  ")</f>
        <v>4</v>
      </c>
      <c r="E22" s="172">
        <f>IF(road!$E$43&lt;&gt;0,road!$E$43,"  ")</f>
        <v>200976</v>
      </c>
      <c r="F22" s="172">
        <f>IF(road!$E$50&lt;&gt;0,road!$E$50,"  ")</f>
        <v>157470.35</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300</v>
      </c>
      <c r="C32" s="287"/>
      <c r="D32" s="288">
        <f>IF(road!C67&gt;0,road!C67,"  ")</f>
        <v>4</v>
      </c>
      <c r="E32" s="192"/>
      <c r="F32" s="192"/>
      <c r="G32" s="168"/>
    </row>
    <row r="33" spans="2:7" s="14" customFormat="1" ht="16.5" thickBot="1">
      <c r="B33" s="290" t="s">
        <v>301</v>
      </c>
      <c r="C33" s="291"/>
      <c r="D33" s="170" t="s">
        <v>302</v>
      </c>
      <c r="E33" s="292">
        <f>SUM(E20:E28)</f>
        <v>200976</v>
      </c>
      <c r="F33" s="292">
        <f>SUM(F20:F28)</f>
        <v>157470.35</v>
      </c>
      <c r="G33" s="293">
        <f>IF(SUM(G20:G28)&gt;0,SUM(G20:G28),"")</f>
      </c>
    </row>
    <row r="34" spans="2:4" s="14" customFormat="1" ht="16.5" thickTop="1">
      <c r="B34" s="27" t="s">
        <v>175</v>
      </c>
      <c r="C34" s="283"/>
      <c r="D34" s="288">
        <f>summ!D47</f>
        <v>5</v>
      </c>
    </row>
    <row r="35" spans="2:6" s="14" customFormat="1" ht="15.75">
      <c r="B35" s="27" t="s">
        <v>226</v>
      </c>
      <c r="C35" s="28"/>
      <c r="D35" s="288">
        <f>IF(nhood!C37&gt;0,nhood!C37,"")</f>
        <v>6</v>
      </c>
      <c r="E35" s="294" t="s">
        <v>162</v>
      </c>
      <c r="F35" s="295" t="str">
        <f>IF(F33&gt;computation!J34,"Yes","No")</f>
        <v>No</v>
      </c>
    </row>
    <row r="36" spans="2:6" s="14" customFormat="1" ht="15.75">
      <c r="B36" s="27" t="s">
        <v>161</v>
      </c>
      <c r="C36" s="28"/>
      <c r="D36" s="288">
        <f>IF(Resolution!D50&gt;0,Resolution!D50,"")</f>
      </c>
      <c r="E36" s="296"/>
      <c r="F36" s="297"/>
    </row>
    <row r="37" spans="2:7" s="14" customFormat="1" ht="15.75">
      <c r="B37" s="74" t="s">
        <v>101</v>
      </c>
      <c r="C37" s="617" t="s">
        <v>128</v>
      </c>
      <c r="D37" s="618"/>
      <c r="E37" s="298"/>
      <c r="G37" s="22" t="s">
        <v>303</v>
      </c>
    </row>
    <row r="38" spans="2:7" s="14" customFormat="1" ht="15.75">
      <c r="B38" s="27" t="s">
        <v>102</v>
      </c>
      <c r="C38" s="619"/>
      <c r="D38" s="620"/>
      <c r="E38" s="299"/>
      <c r="G38" s="22"/>
    </row>
    <row r="39" spans="2:7" s="14" customFormat="1" ht="15.75">
      <c r="B39" s="300"/>
      <c r="C39" s="621" t="str">
        <f>CONCATENATE("Nov. 1, ",H1-1," Valuation")</f>
        <v>Nov. 1, 2013 Valuation</v>
      </c>
      <c r="D39" s="622"/>
      <c r="E39" s="298"/>
      <c r="G39" s="22"/>
    </row>
    <row r="40" spans="2:7" s="14" customFormat="1" ht="15.75">
      <c r="B40" s="300" t="s">
        <v>304</v>
      </c>
      <c r="E40" s="19"/>
      <c r="G40" s="22"/>
    </row>
    <row r="41" spans="2:7" s="14" customFormat="1" ht="15.75">
      <c r="B41" s="301"/>
      <c r="C41" s="301"/>
      <c r="E41" s="298"/>
      <c r="F41" s="19"/>
      <c r="G41" s="19"/>
    </row>
    <row r="42" spans="2:3" s="14" customFormat="1" ht="15.75">
      <c r="B42" s="302"/>
      <c r="C42" s="302"/>
    </row>
    <row r="43" spans="2:7" s="14" customFormat="1" ht="15.75">
      <c r="B43" s="300" t="s">
        <v>149</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79" t="s">
        <v>153</v>
      </c>
      <c r="C49" s="305">
        <f>H1-1</f>
        <v>2013</v>
      </c>
      <c r="D49" s="22"/>
      <c r="E49" s="82"/>
      <c r="F49" s="174"/>
      <c r="G49" s="174"/>
      <c r="H49" s="101"/>
    </row>
    <row r="50" spans="2:8" ht="15.75">
      <c r="B50" s="14"/>
      <c r="C50" s="14"/>
      <c r="D50" s="14"/>
      <c r="E50" s="14"/>
      <c r="F50" s="22"/>
      <c r="G50" s="14"/>
      <c r="H50" s="101"/>
    </row>
    <row r="51" spans="2:8" ht="15.75">
      <c r="B51" s="569"/>
      <c r="C51" s="14"/>
      <c r="D51" s="14"/>
      <c r="E51" s="20"/>
      <c r="F51" s="20"/>
      <c r="G51" s="20"/>
      <c r="H51" s="101"/>
    </row>
    <row r="52" spans="2:7" ht="15.75">
      <c r="B52" s="49" t="s">
        <v>306</v>
      </c>
      <c r="C52" s="14"/>
      <c r="D52" s="14"/>
      <c r="E52" s="604" t="s">
        <v>305</v>
      </c>
      <c r="F52" s="605"/>
      <c r="G52" s="60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587"/>
      <c r="C60" s="588"/>
      <c r="D60" s="588"/>
      <c r="E60" s="588"/>
      <c r="F60" s="588"/>
      <c r="G60" s="588"/>
    </row>
    <row r="61" spans="2:7" ht="15.75">
      <c r="B61" s="587"/>
      <c r="C61" s="588"/>
      <c r="D61" s="588"/>
      <c r="E61" s="588"/>
      <c r="F61" s="588"/>
      <c r="G61" s="588"/>
    </row>
    <row r="62" spans="2:7" ht="15.75">
      <c r="B62" s="587"/>
      <c r="C62" s="588"/>
      <c r="D62" s="588"/>
      <c r="E62" s="589"/>
      <c r="F62" s="590"/>
      <c r="G62" s="58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tabSelected="1" zoomScale="80" zoomScaleNormal="80" zoomScalePageLayoutView="0" workbookViewId="0" topLeftCell="A1">
      <selection activeCell="I38" activeCellId="1" sqref="O16 I38"/>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LONDON TOWNSHIP</v>
      </c>
      <c r="D1" s="14"/>
      <c r="E1" s="14"/>
      <c r="F1" s="14"/>
      <c r="G1" s="14"/>
      <c r="H1" s="14"/>
      <c r="I1" s="14"/>
      <c r="J1" s="14">
        <f>inputPrYr!D5</f>
        <v>2014</v>
      </c>
    </row>
    <row r="2" spans="1:10" ht="15.75">
      <c r="A2" s="14"/>
      <c r="B2" s="14"/>
      <c r="C2" s="14"/>
      <c r="D2" s="14"/>
      <c r="E2" s="14"/>
      <c r="F2" s="14"/>
      <c r="G2" s="14"/>
      <c r="H2" s="14"/>
      <c r="I2" s="14"/>
      <c r="J2" s="14"/>
    </row>
    <row r="3" spans="1:10" ht="15.75">
      <c r="A3" s="624" t="str">
        <f>CONCATENATE("Computation to Determine Limit for ",J1,"")</f>
        <v>Computation to Determine Limit for 2014</v>
      </c>
      <c r="B3" s="606"/>
      <c r="C3" s="606"/>
      <c r="D3" s="606"/>
      <c r="E3" s="606"/>
      <c r="F3" s="606"/>
      <c r="G3" s="606"/>
      <c r="H3" s="606"/>
      <c r="I3" s="606"/>
      <c r="J3" s="606"/>
    </row>
    <row r="4" spans="1:10" ht="15.75">
      <c r="A4" s="14"/>
      <c r="B4" s="14"/>
      <c r="C4" s="14"/>
      <c r="D4" s="14"/>
      <c r="E4" s="606"/>
      <c r="F4" s="606"/>
      <c r="G4" s="606"/>
      <c r="H4" s="136"/>
      <c r="I4" s="14"/>
      <c r="J4" s="268" t="s">
        <v>83</v>
      </c>
    </row>
    <row r="5" spans="1:10" ht="15.75">
      <c r="A5" s="269" t="s">
        <v>84</v>
      </c>
      <c r="B5" s="14" t="str">
        <f>CONCATENATE("Total Tax Levy Amount in ",J1-1,"")</f>
        <v>Total Tax Levy Amount in 2013</v>
      </c>
      <c r="C5" s="14"/>
      <c r="D5" s="14"/>
      <c r="E5" s="55"/>
      <c r="F5" s="55"/>
      <c r="G5" s="55"/>
      <c r="H5" s="270" t="s">
        <v>15</v>
      </c>
      <c r="I5" s="55" t="s">
        <v>2</v>
      </c>
      <c r="J5" s="271">
        <f>inputPrYr!E25</f>
        <v>162348</v>
      </c>
    </row>
    <row r="6" spans="1:10" ht="15.75">
      <c r="A6" s="269" t="s">
        <v>85</v>
      </c>
      <c r="B6" s="14" t="str">
        <f>CONCATENATE("Debt Service Levy in ",J1-1,"")</f>
        <v>Debt Service Levy in 2013</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162348</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2013:</v>
      </c>
      <c r="C11" s="14"/>
      <c r="D11" s="14"/>
      <c r="E11" s="270"/>
      <c r="F11" s="270" t="s">
        <v>15</v>
      </c>
      <c r="G11" s="271">
        <f>inputOth!E8</f>
        <v>16738</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2013:</v>
      </c>
      <c r="C13" s="14"/>
      <c r="D13" s="14"/>
      <c r="E13" s="270"/>
      <c r="F13" s="270"/>
      <c r="G13" s="53"/>
      <c r="H13" s="53"/>
      <c r="I13" s="55"/>
      <c r="J13" s="55"/>
    </row>
    <row r="14" spans="1:10" ht="15.75">
      <c r="A14" s="14"/>
      <c r="B14" s="14" t="s">
        <v>90</v>
      </c>
      <c r="C14" s="14" t="str">
        <f>CONCATENATE("Personal Property ",J1-1,"")</f>
        <v>Personal Property 2013</v>
      </c>
      <c r="D14" s="269" t="s">
        <v>15</v>
      </c>
      <c r="E14" s="271">
        <f>inputOth!E9</f>
        <v>97566</v>
      </c>
      <c r="F14" s="270"/>
      <c r="G14" s="55"/>
      <c r="H14" s="55"/>
      <c r="I14" s="53"/>
      <c r="J14" s="55"/>
    </row>
    <row r="15" spans="1:10" ht="15.75">
      <c r="A15" s="269"/>
      <c r="B15" s="14" t="s">
        <v>91</v>
      </c>
      <c r="C15" s="14" t="str">
        <f>CONCATENATE("Personal Property ",J1-2,"")</f>
        <v>Personal Property 2012</v>
      </c>
      <c r="D15" s="269" t="s">
        <v>86</v>
      </c>
      <c r="E15" s="273">
        <f>inputOth!E11</f>
        <v>97511</v>
      </c>
      <c r="F15" s="270"/>
      <c r="G15" s="53"/>
      <c r="H15" s="53"/>
      <c r="I15" s="55"/>
      <c r="J15" s="55"/>
    </row>
    <row r="16" spans="1:10" ht="15.75">
      <c r="A16" s="269"/>
      <c r="B16" s="14" t="s">
        <v>92</v>
      </c>
      <c r="C16" s="14" t="s">
        <v>112</v>
      </c>
      <c r="D16" s="14"/>
      <c r="E16" s="55"/>
      <c r="F16" s="55" t="s">
        <v>15</v>
      </c>
      <c r="G16" s="271">
        <f>IF(E14&gt;E15,E14-E15,0)</f>
        <v>55</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2013:</v>
      </c>
      <c r="C18" s="14"/>
      <c r="D18" s="14"/>
      <c r="E18" s="55"/>
      <c r="F18" s="270" t="s">
        <v>15</v>
      </c>
      <c r="G18" s="271">
        <f>inputOth!E10</f>
        <v>61298</v>
      </c>
      <c r="H18" s="55"/>
      <c r="I18" s="55"/>
      <c r="J18" s="55"/>
    </row>
    <row r="19" spans="1:10" ht="15.75">
      <c r="A19" s="14" t="s">
        <v>290</v>
      </c>
      <c r="B19" s="14"/>
      <c r="C19" s="14"/>
      <c r="D19" s="269"/>
      <c r="E19" s="53"/>
      <c r="F19" s="53"/>
      <c r="G19" s="53"/>
      <c r="H19" s="55"/>
      <c r="I19" s="55"/>
      <c r="J19" s="55"/>
    </row>
    <row r="20" spans="1:10" ht="15.75">
      <c r="A20" s="269" t="s">
        <v>94</v>
      </c>
      <c r="B20" s="17" t="s">
        <v>113</v>
      </c>
      <c r="C20" s="14"/>
      <c r="D20" s="14"/>
      <c r="E20" s="55"/>
      <c r="F20" s="55"/>
      <c r="G20" s="271">
        <f>G11+G16+G18</f>
        <v>78091</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1,2013</v>
      </c>
      <c r="C22" s="14"/>
      <c r="D22" s="14"/>
      <c r="E22" s="271">
        <f>inputOth!E7</f>
        <v>5856711</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5778620</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0.013513780106669065</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2194</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164542</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2014</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164542</v>
      </c>
    </row>
    <row r="35" spans="1:10" ht="16.5" thickTop="1">
      <c r="A35" s="14"/>
      <c r="B35" s="14"/>
      <c r="C35" s="14"/>
      <c r="D35" s="14"/>
      <c r="E35" s="14"/>
      <c r="F35" s="14"/>
      <c r="G35" s="14"/>
      <c r="H35" s="14"/>
      <c r="I35" s="14"/>
      <c r="J35" s="14"/>
    </row>
    <row r="36" spans="1:10" s="278" customFormat="1" ht="18.75">
      <c r="A36" s="623" t="str">
        <f>CONCATENATE("If the ",J1," budget includes tax levies exceeding the total on line 14, you must")</f>
        <v>If the 2014 budget includes tax levies exceeding the total on line 14, you must</v>
      </c>
      <c r="B36" s="623"/>
      <c r="C36" s="623"/>
      <c r="D36" s="623"/>
      <c r="E36" s="623"/>
      <c r="F36" s="623"/>
      <c r="G36" s="623"/>
      <c r="H36" s="623"/>
      <c r="I36" s="623"/>
      <c r="J36" s="623"/>
    </row>
    <row r="37" spans="1:10" s="278" customFormat="1" ht="18.75">
      <c r="A37" s="623" t="s">
        <v>117</v>
      </c>
      <c r="B37" s="623"/>
      <c r="C37" s="623"/>
      <c r="D37" s="623"/>
      <c r="E37" s="623"/>
      <c r="F37" s="623"/>
      <c r="G37" s="623"/>
      <c r="H37" s="623"/>
      <c r="I37" s="623"/>
      <c r="J37" s="62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tabSelected="1" zoomScale="85" zoomScaleNormal="85" zoomScalePageLayoutView="0" workbookViewId="0" topLeftCell="A1">
      <selection activeCell="I38" activeCellId="1" sqref="O16 I38"/>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LONDON TOWNSHIP</v>
      </c>
      <c r="C1" s="14"/>
      <c r="D1" s="14"/>
      <c r="E1" s="14"/>
      <c r="F1" s="14"/>
      <c r="G1" s="14"/>
      <c r="H1" s="14"/>
      <c r="I1" s="14"/>
      <c r="J1" s="15">
        <f>inputPrYr!D5</f>
        <v>2014</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29" t="s">
        <v>239</v>
      </c>
      <c r="C6" s="605"/>
      <c r="D6" s="605"/>
      <c r="E6" s="605"/>
      <c r="F6" s="605"/>
      <c r="G6" s="605"/>
      <c r="H6" s="605"/>
      <c r="I6" s="605"/>
      <c r="J6" s="605"/>
      <c r="K6" s="605"/>
      <c r="L6" s="605"/>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25" t="str">
        <f>CONCATENATE("Budget Tax Levy Amount for ",J1-2,"")</f>
        <v>Budget Tax Levy Amount for 2012</v>
      </c>
      <c r="E9" s="625" t="str">
        <f>CONCATENATE("Budget Tax Levy Rate for ",J1-1,"")</f>
        <v>Budget Tax Levy Rate for 2013</v>
      </c>
      <c r="F9" s="250"/>
      <c r="G9" s="610" t="str">
        <f>CONCATENATE("Allocation for Year ",J1,"")</f>
        <v>Allocation for Year 2014</v>
      </c>
      <c r="H9" s="627"/>
      <c r="I9" s="627"/>
      <c r="J9" s="627"/>
      <c r="K9" s="627"/>
      <c r="L9" s="628"/>
    </row>
    <row r="10" spans="2:12" ht="15.75">
      <c r="B10" s="251" t="str">
        <f>CONCATENATE("",J1-1," Budgeted Funds")</f>
        <v>2013 Budgeted Funds</v>
      </c>
      <c r="C10" s="190"/>
      <c r="D10" s="626"/>
      <c r="E10" s="626"/>
      <c r="F10" s="25"/>
      <c r="G10" s="26" t="s">
        <v>81</v>
      </c>
      <c r="H10" s="26"/>
      <c r="I10" s="26" t="s">
        <v>82</v>
      </c>
      <c r="J10" s="167" t="s">
        <v>125</v>
      </c>
      <c r="K10" s="167" t="s">
        <v>167</v>
      </c>
      <c r="L10" s="111"/>
    </row>
    <row r="11" spans="2:12" ht="15.75">
      <c r="B11" s="96" t="str">
        <f>inputPrYr!B16</f>
        <v>General</v>
      </c>
      <c r="C11" s="252"/>
      <c r="D11" s="96" t="str">
        <f>IF(inputPrYr!E16&gt;0,inputPrYr!E16,"  ")</f>
        <v>  </v>
      </c>
      <c r="E11" s="253" t="str">
        <f>IF(inputOth!D17&gt;0,inputOth!D17,"  ")</f>
        <v>  </v>
      </c>
      <c r="F11" s="254"/>
      <c r="G11" s="96">
        <f>IF(inputPrYr!E16=0,0,G22-SUM(G12:G19))</f>
        <v>0</v>
      </c>
      <c r="H11" s="255"/>
      <c r="I11" s="96">
        <f>IF(inputPrYr!E16=0,0,I24-SUM(I12:I19))</f>
        <v>0</v>
      </c>
      <c r="J11" s="96">
        <f>IF(inputPrYr!E16=0,0,J26-SUM(J12:J19))</f>
        <v>0</v>
      </c>
      <c r="K11" s="96">
        <f>IF(inputPrYr!E16=0,0,K28-SUM(K12:K19))</f>
        <v>0</v>
      </c>
      <c r="L11" s="256">
        <f>IF(inputOth!D17&gt;0,ROUND(E11*#REF!*-1,0),"")</f>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162348</v>
      </c>
      <c r="E13" s="253">
        <f>IF(inputOth!D19&gt;0,inputOth!D19,"  ")</f>
        <v>28.635</v>
      </c>
      <c r="F13" s="254"/>
      <c r="G13" s="96">
        <f>IF(inputPrYr!E18=0,0,ROUND(D13*$G$30,0))</f>
        <v>23503</v>
      </c>
      <c r="H13" s="255"/>
      <c r="I13" s="96">
        <f>IF(inputPrYr!$E$18=0,0,ROUND($D$13*$I$32,0))</f>
        <v>320</v>
      </c>
      <c r="J13" s="96">
        <f>IF(inputPrYr!E18=0,0,ROUND($D13*$J$34,0))</f>
        <v>751</v>
      </c>
      <c r="K13" s="96">
        <f>IF(inputPrYr!E18=0,0,ROUND($D13*$K$36,0))</f>
        <v>0</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288</v>
      </c>
      <c r="C20" s="257"/>
      <c r="D20" s="258">
        <f>SUM(D11:D19)</f>
        <v>162348</v>
      </c>
      <c r="E20" s="259">
        <f>SUM(E11:E19)</f>
        <v>28.635</v>
      </c>
      <c r="F20" s="260"/>
      <c r="G20" s="258">
        <f>SUM(G11:G19)</f>
        <v>23503</v>
      </c>
      <c r="H20" s="258"/>
      <c r="I20" s="258">
        <f>SUM(I11:I19)</f>
        <v>320</v>
      </c>
      <c r="J20" s="258">
        <f>SUM(J11:J19)</f>
        <v>751</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23503</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320</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751</v>
      </c>
      <c r="K26" s="24"/>
      <c r="L26" s="101"/>
    </row>
    <row r="27" spans="2:12" ht="15.75">
      <c r="B27" s="14"/>
      <c r="C27" s="14"/>
      <c r="D27" s="14"/>
      <c r="E27" s="14"/>
      <c r="F27" s="14"/>
      <c r="G27" s="14"/>
      <c r="H27" s="14"/>
      <c r="I27" s="14"/>
      <c r="J27" s="14"/>
      <c r="K27" s="14"/>
      <c r="L27" s="101"/>
    </row>
    <row r="28" spans="2:12" ht="15.75">
      <c r="B28" s="14" t="s">
        <v>213</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0.14476926109345356</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0.0019710744819769876</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0.004625865424889743</v>
      </c>
      <c r="K34" s="266"/>
      <c r="L34" s="101"/>
    </row>
    <row r="35" spans="2:12" ht="15.75">
      <c r="B35" s="101"/>
      <c r="C35" s="101"/>
      <c r="D35" s="101"/>
      <c r="E35" s="101"/>
      <c r="F35" s="101"/>
      <c r="G35" s="101"/>
      <c r="H35" s="101"/>
      <c r="I35" s="101"/>
      <c r="J35" s="101"/>
      <c r="K35" s="101"/>
      <c r="L35" s="101"/>
    </row>
    <row r="36" spans="2:12" ht="15.75">
      <c r="B36" s="101" t="s">
        <v>214</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99" t="str">
        <f>inputPrYr!D2</f>
        <v>LONDON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06" t="s">
        <v>176</v>
      </c>
      <c r="B5" s="606"/>
      <c r="C5" s="606"/>
      <c r="D5" s="606"/>
      <c r="E5" s="606"/>
      <c r="F5" s="606"/>
    </row>
    <row r="6" spans="1:6" ht="14.25" customHeight="1">
      <c r="A6" s="136"/>
      <c r="B6" s="230"/>
      <c r="C6" s="230"/>
      <c r="D6" s="230"/>
      <c r="E6" s="230"/>
      <c r="F6" s="230"/>
    </row>
    <row r="7" spans="1:6" ht="15" customHeight="1">
      <c r="A7" s="231" t="s">
        <v>296</v>
      </c>
      <c r="B7" s="231" t="s">
        <v>634</v>
      </c>
      <c r="C7" s="232" t="s">
        <v>32</v>
      </c>
      <c r="D7" s="232" t="s">
        <v>177</v>
      </c>
      <c r="E7" s="231" t="s">
        <v>178</v>
      </c>
      <c r="F7" s="231" t="s">
        <v>179</v>
      </c>
    </row>
    <row r="8" spans="1:6" ht="15" customHeight="1">
      <c r="A8" s="233" t="s">
        <v>635</v>
      </c>
      <c r="B8" s="233" t="s">
        <v>636</v>
      </c>
      <c r="C8" s="234" t="s">
        <v>180</v>
      </c>
      <c r="D8" s="234" t="s">
        <v>180</v>
      </c>
      <c r="E8" s="234" t="s">
        <v>180</v>
      </c>
      <c r="F8" s="234" t="s">
        <v>181</v>
      </c>
    </row>
    <row r="9" spans="1:6" s="237" customFormat="1" ht="15" customHeight="1" thickBot="1">
      <c r="A9" s="235" t="s">
        <v>182</v>
      </c>
      <c r="B9" s="236" t="s">
        <v>183</v>
      </c>
      <c r="C9" s="236">
        <f>F1-2</f>
        <v>2012</v>
      </c>
      <c r="D9" s="236">
        <f>F1-1</f>
        <v>2013</v>
      </c>
      <c r="E9" s="236">
        <f>F1</f>
        <v>2014</v>
      </c>
      <c r="F9" s="236" t="s">
        <v>283</v>
      </c>
    </row>
    <row r="10" spans="1:6" ht="15" customHeight="1" thickTop="1">
      <c r="A10" s="238"/>
      <c r="B10" s="238"/>
      <c r="C10" s="239"/>
      <c r="D10" s="239"/>
      <c r="E10" s="239"/>
      <c r="F10" s="238"/>
    </row>
    <row r="11" spans="1:6" ht="15" customHeight="1">
      <c r="A11" s="84" t="s">
        <v>261</v>
      </c>
      <c r="B11" s="84" t="s">
        <v>300</v>
      </c>
      <c r="C11" s="240">
        <f>' '!$C$43</f>
        <v>0</v>
      </c>
      <c r="D11" s="240">
        <f>' '!$D$43</f>
        <v>0</v>
      </c>
      <c r="E11" s="240">
        <f>' '!$E$43</f>
        <v>0</v>
      </c>
      <c r="F11" s="84">
        <f>IF(C11+D11+E11&gt;0,"80-1406b","")</f>
      </c>
    </row>
    <row r="12" spans="1:6" ht="15" customHeight="1">
      <c r="A12" s="84" t="s">
        <v>261</v>
      </c>
      <c r="B12" s="84" t="s">
        <v>300</v>
      </c>
      <c r="C12" s="240">
        <f>' '!$C$45</f>
        <v>0</v>
      </c>
      <c r="D12" s="240">
        <f>' '!$D$45</f>
        <v>0</v>
      </c>
      <c r="E12" s="240">
        <f>' '!$E$45</f>
        <v>0</v>
      </c>
      <c r="F12" s="84">
        <f>IF(C12+D12+E12&gt;0,"80-122","")</f>
      </c>
    </row>
    <row r="13" spans="1:6" ht="15" customHeight="1">
      <c r="A13" s="84" t="s">
        <v>287</v>
      </c>
      <c r="B13" s="84" t="s">
        <v>300</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288</v>
      </c>
      <c r="C27" s="245">
        <f>SUM(C10:C26)</f>
        <v>0</v>
      </c>
      <c r="D27" s="245">
        <f>SUM(D10:D26)</f>
        <v>0</v>
      </c>
      <c r="E27" s="245">
        <f>SUM(E10:E26)</f>
        <v>0</v>
      </c>
      <c r="F27" s="140"/>
    </row>
    <row r="28" spans="1:6" ht="15.75">
      <c r="A28" s="140"/>
      <c r="B28" s="244" t="s">
        <v>633</v>
      </c>
      <c r="C28" s="140"/>
      <c r="D28" s="241"/>
      <c r="E28" s="241"/>
      <c r="F28" s="140"/>
    </row>
    <row r="29" spans="1:6" ht="15.75">
      <c r="A29" s="140"/>
      <c r="B29" s="192" t="s">
        <v>184</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637</v>
      </c>
      <c r="B32" s="406" t="str">
        <f>CONCATENATE("Adjustments are required only if the transfer is being made in ",D9," and/or ",E9," from a non-budgeted fund.")</f>
        <v>Adjustments are required only if the transfer is being made in 2013 and/or 2014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330</v>
      </c>
    </row>
    <row r="2" ht="15.75">
      <c r="A2" s="91"/>
    </row>
    <row r="3" ht="51" customHeight="1">
      <c r="A3" s="433" t="s">
        <v>740</v>
      </c>
    </row>
    <row r="4" ht="17.25" customHeight="1">
      <c r="A4" s="433"/>
    </row>
    <row r="5" ht="15.75">
      <c r="A5" s="91"/>
    </row>
    <row r="6" ht="52.5" customHeight="1">
      <c r="A6" s="176" t="s">
        <v>372</v>
      </c>
    </row>
    <row r="7" ht="15.75">
      <c r="A7" s="91"/>
    </row>
    <row r="8" ht="15.75">
      <c r="A8" s="91"/>
    </row>
    <row r="9" ht="70.5" customHeight="1">
      <c r="A9" s="176" t="s">
        <v>373</v>
      </c>
    </row>
    <row r="10" ht="15.75">
      <c r="A10" s="177"/>
    </row>
    <row r="11" ht="15.75">
      <c r="A11" s="177"/>
    </row>
    <row r="12" ht="63">
      <c r="A12" s="532" t="s">
        <v>741</v>
      </c>
    </row>
    <row r="13" ht="15.75">
      <c r="A13" s="177"/>
    </row>
    <row r="14" ht="15.75">
      <c r="A14" s="177"/>
    </row>
    <row r="15" ht="63">
      <c r="A15" s="532" t="s">
        <v>742</v>
      </c>
    </row>
    <row r="16" ht="15.75">
      <c r="A16" s="177"/>
    </row>
    <row r="17" ht="15.75">
      <c r="A17" s="91"/>
    </row>
    <row r="18" ht="56.25" customHeight="1">
      <c r="A18" s="176" t="s">
        <v>374</v>
      </c>
    </row>
    <row r="19" ht="15.75">
      <c r="A19" s="177"/>
    </row>
    <row r="20" ht="15.75">
      <c r="A20" s="177"/>
    </row>
    <row r="21" ht="87.75" customHeight="1">
      <c r="A21" s="176" t="s">
        <v>375</v>
      </c>
    </row>
    <row r="22" ht="15.75">
      <c r="A22" s="177"/>
    </row>
    <row r="23" ht="15.75">
      <c r="A23" s="91"/>
    </row>
    <row r="24" ht="54.75" customHeight="1">
      <c r="A24" s="176" t="s">
        <v>376</v>
      </c>
    </row>
    <row r="25" ht="15.75">
      <c r="A25" s="91"/>
    </row>
    <row r="26" ht="15.75">
      <c r="A26" s="91"/>
    </row>
    <row r="27" ht="69" customHeight="1">
      <c r="A27" s="176" t="s">
        <v>377</v>
      </c>
    </row>
    <row r="28" ht="15.75">
      <c r="A28" s="91"/>
    </row>
    <row r="29" ht="15.75">
      <c r="A29" s="226"/>
    </row>
    <row r="30" ht="47.25" customHeight="1">
      <c r="A30" s="227" t="s">
        <v>378</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User</cp:lastModifiedBy>
  <cp:lastPrinted>2013-07-25T16:38:38Z</cp:lastPrinted>
  <dcterms:created xsi:type="dcterms:W3CDTF">1998-08-26T16:30:41Z</dcterms:created>
  <dcterms:modified xsi:type="dcterms:W3CDTF">2013-07-25T16:54:26Z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