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17" activeTab="18"/>
  </bookViews>
  <sheets>
    <sheet name="instructions" sheetId="1" r:id="rId1"/>
    <sheet name="inputPrYr" sheetId="2" r:id="rId2"/>
    <sheet name="inputOth" sheetId="3" r:id="rId3"/>
    <sheet name="inputBudSum" sheetId="4" r:id="rId4"/>
    <sheet name="cert" sheetId="5" r:id="rId5"/>
    <sheet name="summ" sheetId="6" r:id="rId6"/>
    <sheet name="computation" sheetId="7" r:id="rId7"/>
    <sheet name="mvalloc" sheetId="8" r:id="rId8"/>
    <sheet name="transfer" sheetId="9" r:id="rId9"/>
    <sheet name="gen" sheetId="10" r:id="rId10"/>
    <sheet name="road" sheetId="11" r:id="rId11"/>
    <sheet name="levypage9" sheetId="12" r:id="rId12"/>
    <sheet name="levypage10" sheetId="13" r:id="rId13"/>
    <sheet name="levypage11" sheetId="14" r:id="rId14"/>
    <sheet name="nolevypage12" sheetId="15" r:id="rId15"/>
    <sheet name="nonbud" sheetId="16" r:id="rId16"/>
    <sheet name="NonBudFunds" sheetId="17" r:id="rId17"/>
    <sheet name="nhood" sheetId="18" r:id="rId18"/>
    <sheet name="Resolution" sheetId="19" r:id="rId19"/>
    <sheet name="debt-lease"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 name="TransferStatutes" sheetId="29" r:id="rId29"/>
    <sheet name="Library Grant" sheetId="30" r:id="rId30"/>
    <sheet name="DebtSvs-Library" sheetId="31" r:id="rId31"/>
  </sheets>
  <definedNames>
    <definedName name="_xlnm.Print_Area" localSheetId="30">'DebtSvs-Library'!$B$1:$E$83</definedName>
    <definedName name="_xlnm.Print_Area" localSheetId="9">'gen'!$B$1:$E$61</definedName>
    <definedName name="_xlnm.Print_Area" localSheetId="1">'inputPrYr'!$A$1:$E$85</definedName>
    <definedName name="_xlnm.Print_Area" localSheetId="12">'levypage10'!$A$1:$E$86</definedName>
    <definedName name="_xlnm.Print_Area" localSheetId="13">'levypage11'!$A$1:$E$86</definedName>
    <definedName name="_xlnm.Print_Area" localSheetId="11">'levypage9'!$A$1:$E$86</definedName>
    <definedName name="_xlnm.Print_Area" localSheetId="29">'Library Grant'!$A$1:$J$40</definedName>
    <definedName name="_xlnm.Print_Area" localSheetId="10">'road'!$B$1:$F$68</definedName>
    <definedName name="_xlnm.Print_Area" localSheetId="5">'summ'!$B$2:$I$49</definedName>
  </definedNames>
  <calcPr fullCalcOnLoad="1"/>
</workbook>
</file>

<file path=xl/sharedStrings.xml><?xml version="1.0" encoding="utf-8"?>
<sst xmlns="http://schemas.openxmlformats.org/spreadsheetml/2006/main" count="1579" uniqueCount="952">
  <si>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</si>
  <si>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</si>
  <si>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</si>
  <si>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</si>
  <si>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</si>
  <si>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</si>
  <si>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</si>
  <si>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</si>
  <si>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</si>
  <si>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</si>
  <si>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</si>
  <si>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</si>
  <si>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</si>
  <si>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</si>
  <si>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</si>
  <si>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</si>
  <si>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</si>
  <si>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</si>
  <si>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</si>
  <si>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</si>
  <si>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</si>
  <si>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</si>
  <si>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</si>
  <si>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</si>
  <si>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</si>
  <si>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</si>
  <si>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</si>
  <si>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</si>
  <si>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</si>
  <si>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</si>
  <si>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</si>
  <si>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</si>
  <si>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</si>
  <si>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</si>
  <si>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</si>
  <si>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</si>
  <si>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</si>
  <si>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</si>
  <si>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</si>
  <si>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</si>
  <si>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</si>
  <si>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</si>
  <si>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</si>
  <si>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</si>
  <si>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</si>
  <si>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</si>
  <si>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</si>
  <si>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</si>
  <si>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</si>
  <si>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</si>
  <si>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</si>
  <si>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</si>
  <si>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</si>
  <si>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</si>
  <si>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</si>
  <si>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</si>
  <si>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</si>
  <si>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</si>
  <si>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</si>
  <si>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</si>
  <si>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</si>
  <si>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</si>
  <si>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</si>
  <si>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</si>
  <si>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</si>
  <si>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</si>
  <si>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</si>
  <si>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</si>
  <si>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</si>
  <si>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</si>
  <si>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</si>
  <si>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</si>
  <si>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</si>
  <si>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</si>
  <si>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</si>
  <si>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</si>
  <si>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</si>
  <si>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</si>
  <si>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</si>
  <si>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</si>
  <si>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</si>
  <si>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</si>
  <si>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</si>
  <si>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</si>
  <si>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</si>
  <si>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</si>
  <si>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</si>
  <si>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</si>
  <si>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</si>
  <si>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</si>
  <si>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</si>
  <si>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</si>
  <si>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</si>
  <si>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</si>
  <si>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</si>
  <si>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</si>
  <si>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</si>
  <si>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</si>
  <si>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</si>
  <si>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</si>
  <si>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</si>
  <si>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</si>
  <si>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</si>
  <si>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</si>
  <si>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</si>
  <si>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</si>
  <si>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</si>
  <si>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</si>
  <si>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</si>
  <si>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</si>
  <si>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</si>
  <si>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</si>
  <si>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</si>
  <si>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</si>
  <si>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</si>
  <si>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</si>
  <si>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</si>
  <si>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</si>
  <si>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</si>
  <si>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</si>
  <si>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</si>
  <si>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</si>
  <si>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</si>
  <si>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</si>
  <si>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</si>
  <si>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</si>
  <si>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</si>
  <si>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</si>
  <si>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</si>
  <si>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</si>
  <si>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</si>
  <si>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</si>
  <si>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</si>
  <si>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</si>
  <si>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</si>
  <si>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</si>
  <si>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</si>
  <si>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</si>
  <si>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</si>
  <si>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</si>
  <si>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</si>
  <si>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</si>
  <si>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</si>
  <si>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</si>
  <si>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</si>
  <si>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</si>
  <si>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</si>
  <si>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</si>
  <si>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</si>
  <si>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</si>
  <si>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</si>
  <si>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</si>
  <si>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</si>
  <si>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</si>
  <si>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</si>
  <si>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</si>
  <si>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</si>
  <si>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</si>
  <si>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</si>
  <si>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</si>
  <si>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</si>
  <si>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</si>
  <si>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</si>
  <si>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</si>
  <si>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</si>
  <si>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</si>
  <si>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</si>
  <si>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</si>
  <si>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</si>
  <si>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</si>
  <si>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</si>
  <si>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</si>
  <si>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</si>
  <si>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</si>
  <si>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</si>
  <si>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</si>
  <si>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</si>
  <si>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</si>
  <si>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</si>
  <si>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</si>
  <si>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</si>
  <si>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</si>
  <si>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</si>
  <si>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</si>
  <si>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</si>
  <si>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</si>
  <si>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</si>
  <si>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</si>
  <si>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</si>
  <si>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</si>
  <si>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</si>
  <si>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</si>
  <si>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</si>
  <si>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</si>
  <si>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</si>
  <si>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</si>
  <si>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</si>
  <si>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</si>
  <si>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</si>
  <si>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</si>
  <si>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</si>
  <si>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</si>
  <si>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</si>
  <si>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</si>
  <si>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</si>
  <si>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</si>
  <si>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</si>
  <si>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</si>
  <si>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</si>
  <si>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</si>
  <si>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</si>
  <si>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</si>
  <si>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</si>
  <si>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</si>
  <si>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</si>
  <si>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</si>
  <si>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</si>
  <si>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</si>
  <si>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</si>
  <si>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</si>
  <si>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</si>
  <si>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</si>
  <si>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</si>
  <si>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</si>
  <si>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</si>
  <si>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</si>
  <si>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</si>
  <si>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</si>
  <si>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</si>
  <si>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</si>
  <si>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</si>
  <si>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</si>
  <si>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</si>
  <si>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</si>
  <si>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</si>
  <si>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</si>
  <si>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</si>
  <si>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</si>
  <si>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</si>
  <si>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</si>
  <si>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</si>
  <si>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</si>
  <si>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</si>
  <si>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</si>
  <si>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</si>
  <si>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</si>
  <si>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</si>
  <si>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</si>
  <si>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</si>
  <si>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</si>
  <si>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</si>
  <si>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</si>
  <si>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</si>
  <si>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</si>
  <si>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</si>
  <si>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</si>
  <si>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</si>
  <si>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</si>
  <si>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</si>
  <si>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</si>
  <si>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</si>
  <si>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</si>
  <si>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</si>
  <si>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</si>
  <si>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</si>
  <si>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</si>
  <si>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</si>
  <si>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</si>
  <si>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</si>
  <si>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</si>
  <si>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</si>
  <si>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</si>
  <si>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</si>
  <si>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</si>
  <si>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</si>
  <si>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</si>
  <si>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</si>
  <si>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</si>
  <si>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</si>
  <si>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</si>
  <si>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</si>
  <si>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</si>
  <si>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</si>
  <si>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</si>
  <si>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</si>
  <si>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</si>
  <si>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</si>
  <si>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</si>
  <si>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</si>
  <si>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</si>
  <si>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</si>
  <si>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</si>
  <si>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</si>
  <si>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</si>
  <si>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</si>
  <si>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</si>
  <si>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</si>
  <si>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</si>
  <si>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</si>
  <si>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</si>
  <si>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</si>
  <si>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</si>
  <si>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</si>
  <si>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</si>
  <si>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</si>
  <si>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</si>
  <si>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</si>
  <si>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</si>
  <si>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</si>
  <si>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</si>
  <si>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</si>
  <si>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</si>
  <si>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</si>
  <si>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</si>
  <si>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</si>
  <si>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</si>
  <si>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</si>
  <si>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</si>
  <si>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</si>
  <si>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</si>
  <si>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</si>
  <si>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</si>
  <si>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</si>
  <si>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</si>
  <si>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</si>
  <si>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</si>
  <si>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</si>
  <si>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</si>
  <si>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</si>
  <si>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</si>
  <si>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</si>
  <si>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</si>
  <si>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</si>
  <si>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</si>
  <si>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</si>
  <si>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</si>
  <si>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</si>
  <si>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</si>
  <si>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</si>
  <si>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</si>
  <si>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</si>
  <si>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</si>
  <si>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</si>
  <si>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</si>
  <si>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</si>
  <si>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</si>
  <si>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</si>
  <si>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</si>
  <si>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</si>
  <si>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</si>
  <si>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</si>
  <si>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</si>
  <si>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</si>
  <si>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</si>
  <si>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</si>
  <si>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</si>
  <si>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</si>
  <si>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</si>
  <si>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</si>
  <si>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</si>
  <si>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</si>
  <si>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</si>
  <si>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</si>
  <si>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</si>
  <si>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</si>
  <si>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</si>
  <si>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</si>
  <si>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</si>
  <si>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</si>
  <si>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</si>
  <si>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</si>
  <si>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</si>
  <si>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</si>
  <si>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</si>
  <si>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</si>
  <si>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</si>
  <si>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</si>
  <si>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</si>
  <si>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</si>
  <si>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</si>
  <si>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</si>
  <si>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</si>
  <si>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</si>
  <si>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</si>
  <si>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</si>
  <si>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</si>
  <si>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</si>
  <si>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</si>
  <si>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</si>
  <si>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</si>
  <si>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</si>
  <si>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</si>
  <si>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</si>
  <si>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</si>
  <si>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</si>
  <si>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</si>
  <si>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</si>
  <si>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</si>
  <si>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</si>
  <si>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</si>
  <si>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</si>
  <si>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</si>
  <si>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</si>
  <si>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</si>
  <si>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</si>
  <si>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</si>
  <si>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</si>
  <si>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</si>
  <si>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</si>
  <si>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</si>
  <si>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</si>
  <si>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</si>
  <si>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</si>
  <si>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</si>
  <si>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</si>
  <si>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</si>
  <si>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</si>
  <si>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</si>
  <si>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</si>
  <si>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</si>
  <si>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</si>
  <si>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</si>
  <si>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</si>
  <si>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</si>
  <si>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</si>
  <si>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</si>
  <si>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</si>
  <si>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</si>
  <si>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</si>
  <si>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</si>
  <si>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</si>
  <si>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</si>
  <si>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</si>
  <si>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</si>
  <si>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</si>
  <si>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</si>
  <si>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</si>
  <si>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</si>
  <si>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</si>
  <si>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</si>
  <si>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</si>
  <si>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</si>
  <si>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</si>
  <si>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</si>
  <si>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</si>
  <si>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</si>
  <si>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</si>
  <si>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</si>
  <si>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</si>
  <si>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</si>
  <si>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</si>
  <si>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</si>
  <si>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</si>
  <si>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</si>
  <si>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</si>
  <si>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</si>
  <si>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</si>
  <si>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</si>
  <si>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</si>
  <si>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</si>
  <si>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</si>
  <si>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</si>
  <si>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</si>
  <si>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</si>
  <si>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</si>
  <si>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</si>
  <si>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</si>
  <si>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</si>
  <si>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</si>
  <si>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</si>
  <si>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</si>
  <si>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</si>
  <si>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</si>
  <si>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</si>
  <si>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</si>
  <si>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</si>
  <si>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</si>
  <si>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</si>
  <si>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</si>
  <si>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</si>
  <si>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</si>
  <si>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</si>
  <si>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</si>
  <si>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</si>
  <si>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</si>
  <si>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</si>
  <si>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</si>
  <si>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</si>
  <si>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</si>
  <si>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</si>
  <si>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</si>
  <si>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</si>
  <si>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</si>
  <si>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</si>
  <si>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</si>
  <si>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</si>
  <si>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</si>
  <si>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</si>
  <si>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</si>
  <si>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</si>
  <si>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</si>
  <si>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</si>
  <si>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</si>
  <si>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</si>
  <si>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</si>
  <si>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</si>
  <si>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</si>
  <si>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</si>
  <si>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</si>
  <si>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</si>
  <si>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</si>
  <si>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</si>
  <si>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</si>
  <si>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</si>
  <si>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</si>
  <si>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</si>
  <si>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</si>
  <si>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</si>
  <si>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</si>
  <si>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</si>
  <si>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</si>
  <si>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</si>
  <si>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</si>
  <si>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</si>
  <si>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</si>
  <si>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</si>
  <si>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</si>
  <si>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</si>
  <si>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</si>
  <si>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</si>
  <si>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</si>
  <si>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</si>
  <si>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</si>
  <si>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</si>
  <si>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</si>
  <si>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</si>
  <si>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</si>
  <si>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</si>
  <si>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</si>
  <si>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</si>
  <si>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</si>
  <si>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</si>
  <si>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</si>
  <si>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</si>
  <si>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</si>
  <si>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</si>
  <si>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</si>
  <si>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</si>
  <si>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</si>
  <si>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</si>
  <si>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</si>
  <si>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</si>
  <si>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</si>
  <si>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</si>
  <si>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</si>
  <si>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</si>
  <si>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</si>
  <si>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</si>
  <si>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</si>
  <si>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</si>
  <si>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</si>
  <si>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</si>
  <si>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</si>
  <si>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</si>
  <si>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</si>
  <si>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</si>
  <si>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</si>
  <si>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</si>
  <si>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</si>
  <si>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</si>
  <si>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</si>
  <si>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</si>
  <si>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</si>
  <si>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</si>
  <si>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</si>
  <si>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</si>
  <si>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</si>
  <si>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</si>
  <si>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</si>
  <si>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</si>
  <si>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</si>
  <si>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</si>
  <si>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</si>
  <si>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</si>
  <si>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</si>
  <si>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</si>
  <si>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</si>
  <si>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</si>
  <si>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</si>
  <si>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</si>
  <si>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</si>
  <si>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</si>
  <si>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</si>
  <si>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</si>
  <si>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</si>
  <si>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</si>
  <si>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</si>
  <si>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</si>
  <si>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</si>
  <si>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</si>
  <si>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</si>
  <si>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</si>
  <si>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</si>
  <si>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</si>
  <si>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</si>
  <si>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</si>
  <si>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</si>
  <si>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</si>
  <si>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</si>
  <si>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</si>
  <si>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</si>
  <si>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</si>
  <si>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</si>
  <si>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</si>
  <si>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</si>
  <si>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</si>
  <si>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</si>
  <si>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</si>
  <si>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</si>
  <si>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</si>
  <si>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</si>
  <si>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</si>
  <si>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</si>
  <si>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</si>
  <si>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</si>
  <si>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</si>
  <si>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</si>
  <si>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</si>
  <si>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</si>
  <si>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</si>
  <si>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</si>
  <si>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</si>
  <si>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</si>
  <si>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</si>
  <si>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</si>
  <si>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</si>
  <si>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</si>
  <si>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</si>
  <si>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</si>
  <si>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</si>
  <si>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</si>
  <si>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</si>
  <si>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</si>
  <si>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</si>
  <si>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</si>
  <si>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</si>
  <si>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</si>
  <si>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</si>
  <si>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</si>
  <si>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</si>
  <si>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</si>
  <si>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</si>
  <si>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</si>
  <si>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</si>
  <si>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</si>
  <si>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</si>
  <si>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</si>
  <si>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</si>
  <si>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</si>
  <si>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</si>
  <si>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</si>
  <si>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</si>
  <si>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</si>
  <si>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</si>
  <si>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</si>
  <si>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</si>
  <si>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</si>
  <si>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</si>
  <si>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</si>
  <si>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</si>
  <si>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</si>
  <si>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</si>
  <si>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</si>
  <si>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</si>
  <si>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</si>
  <si>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</si>
  <si>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</si>
  <si>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</si>
  <si>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</si>
  <si>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</si>
  <si>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</si>
  <si>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</si>
  <si>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</si>
  <si>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</si>
  <si>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</si>
  <si>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</si>
  <si>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</si>
  <si>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</si>
  <si>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</si>
  <si>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</si>
  <si>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</si>
  <si>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</si>
  <si>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</si>
  <si>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</si>
  <si>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</si>
  <si>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</si>
  <si>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</si>
  <si>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</si>
  <si>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</si>
  <si>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</si>
  <si>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</si>
  <si>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</si>
  <si>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</si>
  <si>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</si>
  <si>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</si>
  <si>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</si>
  <si>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</si>
  <si>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</si>
  <si>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</si>
  <si>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</si>
  <si>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</si>
  <si>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</si>
  <si>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</si>
  <si>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</si>
  <si>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</si>
  <si>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</si>
  <si>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</si>
  <si>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</si>
  <si>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</si>
  <si>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</si>
  <si>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</si>
  <si>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</si>
  <si>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</si>
  <si>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</si>
  <si>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</si>
  <si>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</si>
  <si>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</si>
  <si>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</si>
  <si>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</si>
  <si>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</si>
  <si>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</si>
  <si>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</si>
  <si>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</si>
  <si>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</si>
  <si>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</si>
  <si>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</si>
  <si>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</si>
  <si>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</si>
  <si>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</si>
  <si>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</si>
  <si>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</si>
  <si>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</si>
  <si>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</si>
  <si>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</si>
  <si>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</si>
  <si>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</si>
  <si>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</si>
  <si>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</si>
  <si>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</si>
  <si>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</si>
  <si>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</si>
  <si>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</si>
  <si>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</si>
  <si>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</si>
  <si>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</si>
  <si>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</si>
  <si>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</si>
  <si>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</si>
  <si>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</si>
  <si>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</si>
  <si>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</si>
  <si>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</si>
  <si>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</si>
  <si>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</si>
  <si>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</si>
  <si>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</si>
  <si>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</si>
  <si>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</si>
  <si>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</si>
  <si>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</si>
  <si>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</si>
  <si>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</si>
  <si>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</si>
  <si>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</si>
  <si>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</si>
  <si>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</si>
  <si>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</si>
  <si>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</si>
  <si>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</si>
  <si>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</si>
  <si>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</si>
  <si>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</si>
  <si>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</si>
  <si>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</si>
  <si>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</si>
  <si>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</si>
  <si>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</si>
  <si>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</si>
  <si>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</si>
  <si>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</si>
  <si>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</si>
  <si>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</si>
  <si>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</si>
  <si>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</si>
  <si>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</si>
  <si>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</si>
  <si>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</si>
  <si>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</si>
  <si>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</si>
  <si>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</si>
  <si>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</si>
  <si>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</si>
  <si>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</si>
  <si>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</si>
  <si>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</si>
  <si>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</si>
  <si>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</si>
  <si>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</si>
  <si>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</si>
  <si>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</si>
  <si>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</si>
  <si>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</si>
  <si>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</si>
  <si>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</si>
  <si>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</si>
  <si>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</si>
  <si>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</si>
  <si>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</si>
  <si>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</si>
  <si>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</si>
  <si>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</si>
  <si>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</si>
  <si>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</si>
  <si>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</si>
  <si>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</si>
  <si>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</si>
  <si>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</si>
  <si>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</si>
  <si>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</si>
  <si>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</si>
  <si>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</si>
  <si>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</si>
  <si>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</si>
  <si>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</si>
  <si>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</si>
  <si>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</si>
  <si>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</si>
  <si>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</si>
  <si>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</si>
  <si>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</si>
  <si>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</si>
  <si>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</si>
  <si>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</si>
  <si>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</si>
  <si>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</si>
  <si>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</si>
  <si>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</si>
  <si>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</si>
  <si>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</si>
  <si>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</si>
  <si>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</si>
  <si>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</si>
  <si>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</si>
  <si>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</si>
  <si>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</si>
  <si>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</si>
  <si>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</si>
  <si>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</si>
  <si>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</si>
  <si>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</si>
  <si>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</si>
  <si>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</si>
  <si>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</si>
  <si>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</si>
  <si>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</si>
  <si>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</si>
  <si>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</si>
  <si>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</si>
  <si>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</si>
  <si>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</si>
  <si>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</si>
  <si>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</si>
  <si>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</si>
  <si>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</si>
  <si>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</si>
  <si>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</si>
  <si>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</si>
  <si>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</si>
  <si>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</si>
  <si>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</si>
  <si>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</si>
  <si>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</si>
  <si>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</si>
  <si>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</si>
  <si>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</si>
  <si>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</si>
  <si>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</si>
  <si>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</si>
  <si>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</si>
  <si>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</si>
  <si>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</si>
  <si>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</si>
  <si>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</si>
  <si>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</si>
  <si>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</si>
  <si>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</si>
  <si>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</si>
  <si>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</si>
  <si>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</si>
  <si>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</si>
  <si>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</si>
  <si>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</si>
  <si>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</si>
  <si>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</si>
  <si>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</si>
  <si>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</si>
  <si>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</si>
  <si>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</si>
  <si>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</si>
  <si>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</si>
  <si>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</si>
  <si>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</si>
  <si>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</si>
  <si>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</si>
  <si>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</si>
  <si>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</si>
  <si>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</si>
  <si>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</si>
  <si>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</si>
  <si>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</si>
  <si>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</si>
  <si>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</si>
  <si>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</si>
  <si>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</si>
  <si>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</si>
  <si>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</si>
  <si>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</si>
  <si>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</si>
  <si>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</si>
  <si>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</si>
  <si>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</si>
  <si>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</si>
  <si>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</si>
  <si>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</si>
  <si>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</si>
  <si>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</si>
  <si>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</si>
  <si>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</si>
  <si>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</si>
  <si>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</si>
  <si>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</si>
  <si>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Lincoln Township</t>
  </si>
  <si>
    <t>Russell County</t>
  </si>
  <si>
    <t>City/Co Highway road dist</t>
  </si>
  <si>
    <t>Should have been on last years books</t>
  </si>
  <si>
    <t>Insurance reimbursement</t>
  </si>
  <si>
    <t>Building Rent-election</t>
  </si>
  <si>
    <t>Noxious weed</t>
  </si>
  <si>
    <t>August 12, 2013</t>
  </si>
  <si>
    <t>8 pm</t>
  </si>
  <si>
    <t>the Lincoln Township Building</t>
  </si>
  <si>
    <t>the Ron Tittel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</si>
</sst>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8" fillId="4" borderId="0" xfId="0"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5" fillId="4" borderId="0" xfId="529" applyFont="1" applyFill="1" applyAlignment="1" applyProtection="1">
      <alignment horizontal="center" vertical="center"/>
      <protection/>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5">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Lincoln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10734</v>
      </c>
      <c r="D6" s="387">
        <f>C51</f>
        <v>13029</v>
      </c>
      <c r="E6" s="32">
        <f>D51</f>
        <v>2200</v>
      </c>
    </row>
    <row r="7" spans="2:5" ht="15">
      <c r="B7" s="27" t="s">
        <v>120</v>
      </c>
      <c r="C7" s="387"/>
      <c r="D7" s="387"/>
      <c r="E7" s="33"/>
    </row>
    <row r="8" spans="2:5" ht="15">
      <c r="B8" s="27" t="s">
        <v>16</v>
      </c>
      <c r="C8" s="29">
        <v>80697</v>
      </c>
      <c r="D8" s="387">
        <f>IF(inputPrYr!H15&gt;0,inputPrYr!G16,inputPrYr!E16)</f>
        <v>95101</v>
      </c>
      <c r="E8" s="33" t="s">
        <v>289</v>
      </c>
    </row>
    <row r="9" spans="2:5" ht="15">
      <c r="B9" s="27" t="s">
        <v>17</v>
      </c>
      <c r="C9" s="29">
        <v>2426</v>
      </c>
      <c r="D9" s="29"/>
      <c r="E9" s="34"/>
    </row>
    <row r="10" spans="2:5" ht="15">
      <c r="B10" s="27" t="s">
        <v>18</v>
      </c>
      <c r="C10" s="29">
        <v>3756</v>
      </c>
      <c r="D10" s="29">
        <v>2438</v>
      </c>
      <c r="E10" s="32">
        <f>mvalloc!G11</f>
        <v>2475</v>
      </c>
    </row>
    <row r="11" spans="2:5" ht="15">
      <c r="B11" s="27" t="s">
        <v>19</v>
      </c>
      <c r="C11" s="29">
        <v>78</v>
      </c>
      <c r="D11" s="29">
        <v>62</v>
      </c>
      <c r="E11" s="32">
        <f>mvalloc!I11</f>
        <v>58</v>
      </c>
    </row>
    <row r="12" spans="2:5" ht="15">
      <c r="B12" s="35" t="s">
        <v>69</v>
      </c>
      <c r="C12" s="29">
        <v>225</v>
      </c>
      <c r="D12" s="29">
        <v>168</v>
      </c>
      <c r="E12" s="32">
        <f>mvalloc!J11</f>
        <v>237</v>
      </c>
    </row>
    <row r="13" spans="2:5" ht="15">
      <c r="B13" s="35" t="s">
        <v>161</v>
      </c>
      <c r="C13" s="29"/>
      <c r="D13" s="29"/>
      <c r="E13" s="32">
        <f>inputOth!E35</f>
        <v>0</v>
      </c>
    </row>
    <row r="14" spans="2:5" ht="15">
      <c r="B14" s="27" t="s">
        <v>20</v>
      </c>
      <c r="C14" s="29">
        <v>148</v>
      </c>
      <c r="D14" s="29">
        <v>600</v>
      </c>
      <c r="E14" s="32">
        <f>inputOth!E12</f>
        <v>300</v>
      </c>
    </row>
    <row r="15" spans="2:5" ht="15">
      <c r="B15" s="37" t="s">
        <v>945</v>
      </c>
      <c r="C15" s="29">
        <v>2400</v>
      </c>
      <c r="D15" s="29"/>
      <c r="E15" s="36"/>
    </row>
    <row r="16" spans="2:5" ht="15">
      <c r="B16" s="37" t="s">
        <v>943</v>
      </c>
      <c r="C16" s="29">
        <v>2525</v>
      </c>
      <c r="D16" s="29">
        <v>2302</v>
      </c>
      <c r="E16" s="34">
        <v>2242</v>
      </c>
    </row>
    <row r="17" spans="2:5" ht="15">
      <c r="B17" s="37" t="s">
        <v>944</v>
      </c>
      <c r="C17" s="29">
        <v>569</v>
      </c>
      <c r="D17" s="29"/>
      <c r="E17" s="34"/>
    </row>
    <row r="18" spans="2:5" ht="15">
      <c r="B18" s="37" t="s">
        <v>946</v>
      </c>
      <c r="C18" s="29">
        <v>40</v>
      </c>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v>51</v>
      </c>
      <c r="D23" s="29">
        <v>100</v>
      </c>
      <c r="E23" s="34">
        <v>100</v>
      </c>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92915</v>
      </c>
      <c r="D26" s="389">
        <f>SUM(D8:D24)</f>
        <v>100771</v>
      </c>
      <c r="E26" s="42">
        <f>SUM(E8:E24)</f>
        <v>5412</v>
      </c>
    </row>
    <row r="27" spans="2:5" ht="15">
      <c r="B27" s="43" t="s">
        <v>24</v>
      </c>
      <c r="C27" s="389">
        <f>C26+C6</f>
        <v>103649</v>
      </c>
      <c r="D27" s="389">
        <f>D26+D6</f>
        <v>113800</v>
      </c>
      <c r="E27" s="42">
        <f>E26+E6</f>
        <v>7612</v>
      </c>
    </row>
    <row r="28" spans="2:5" ht="15">
      <c r="B28" s="27" t="s">
        <v>25</v>
      </c>
      <c r="C28" s="387"/>
      <c r="D28" s="387"/>
      <c r="E28" s="32"/>
    </row>
    <row r="29" spans="2:5" ht="15">
      <c r="B29" s="37"/>
      <c r="C29" s="29"/>
      <c r="D29" s="29"/>
      <c r="E29" s="34"/>
    </row>
    <row r="30" spans="2:5" ht="15">
      <c r="B30" s="38" t="s">
        <v>101</v>
      </c>
      <c r="C30" s="29">
        <v>2872</v>
      </c>
      <c r="D30" s="29">
        <v>4000</v>
      </c>
      <c r="E30" s="34">
        <v>4000</v>
      </c>
    </row>
    <row r="31" spans="2:5" ht="15">
      <c r="B31" s="38" t="s">
        <v>125</v>
      </c>
      <c r="C31" s="29">
        <v>7203</v>
      </c>
      <c r="D31" s="29">
        <v>15700</v>
      </c>
      <c r="E31" s="34">
        <v>15700</v>
      </c>
    </row>
    <row r="32" spans="2:5" ht="15">
      <c r="B32" s="38" t="s">
        <v>102</v>
      </c>
      <c r="C32" s="29">
        <v>1692</v>
      </c>
      <c r="D32" s="29">
        <v>7000</v>
      </c>
      <c r="E32" s="34">
        <v>7000</v>
      </c>
    </row>
    <row r="33" spans="2:5" ht="15">
      <c r="B33" s="38" t="s">
        <v>36</v>
      </c>
      <c r="C33" s="29">
        <v>12337</v>
      </c>
      <c r="D33" s="29">
        <v>15000</v>
      </c>
      <c r="E33" s="34">
        <v>15000</v>
      </c>
    </row>
    <row r="34" spans="2:5" ht="15">
      <c r="B34" s="37" t="s">
        <v>103</v>
      </c>
      <c r="C34" s="29">
        <v>23081</v>
      </c>
      <c r="D34" s="29">
        <v>28600</v>
      </c>
      <c r="E34" s="34">
        <v>28600</v>
      </c>
    </row>
    <row r="35" spans="2:5" ht="15">
      <c r="B35" s="37" t="s">
        <v>126</v>
      </c>
      <c r="C35" s="29">
        <v>2729</v>
      </c>
      <c r="D35" s="29">
        <v>20000</v>
      </c>
      <c r="E35" s="34">
        <v>50000</v>
      </c>
    </row>
    <row r="36" spans="2:5" ht="15">
      <c r="B36" s="38" t="s">
        <v>128</v>
      </c>
      <c r="C36" s="29">
        <v>5706</v>
      </c>
      <c r="D36" s="29">
        <v>5000</v>
      </c>
      <c r="E36" s="34">
        <v>5000</v>
      </c>
    </row>
    <row r="37" spans="2:5" ht="15">
      <c r="B37" s="38" t="s">
        <v>947</v>
      </c>
      <c r="C37" s="29"/>
      <c r="D37" s="29">
        <v>16300</v>
      </c>
      <c r="E37" s="34">
        <v>16300</v>
      </c>
    </row>
    <row r="38" spans="2:5" ht="15">
      <c r="B38" s="37"/>
      <c r="C38" s="29"/>
      <c r="D38" s="29"/>
      <c r="E38" s="34"/>
    </row>
    <row r="39" spans="2:5" ht="15">
      <c r="B39" s="38"/>
      <c r="C39" s="29"/>
      <c r="D39" s="29"/>
      <c r="E39" s="34"/>
    </row>
    <row r="40" spans="2:5" ht="15">
      <c r="B40" s="38"/>
      <c r="C40" s="29"/>
      <c r="D40" s="29"/>
      <c r="E40" s="34"/>
    </row>
    <row r="41" spans="2:10" ht="15">
      <c r="B41" s="37"/>
      <c r="C41" s="29"/>
      <c r="D41" s="29"/>
      <c r="E41" s="34"/>
      <c r="G41" s="811" t="str">
        <f>CONCATENATE("Desired Carryover Into ",E1+1,"")</f>
        <v>Desired Carryover Into 2015</v>
      </c>
      <c r="H41" s="812"/>
      <c r="I41" s="812"/>
      <c r="J41" s="813"/>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v>35000</v>
      </c>
      <c r="D45" s="29"/>
      <c r="E45" s="34"/>
      <c r="G45" s="696" t="str">
        <f>CONCATENATE("",E1," Tot Exp/Non-Appr Must Be:")</f>
        <v>2014 Tot Exp/Non-Appr Must Be:</v>
      </c>
      <c r="H45" s="578"/>
      <c r="I45" s="690"/>
      <c r="J45" s="697">
        <f>IF(J43&gt;0,IF(E54&lt;E23,IF(J43=G56,E54,((J43-G56)*(1-D56))+E23),E54+(J43-G56)),0)</f>
        <v>0</v>
      </c>
    </row>
    <row r="46" spans="2:10" ht="15">
      <c r="B46" s="27" t="s">
        <v>752</v>
      </c>
      <c r="C46" s="384" t="str">
        <f>IF(C27*0.25&lt;C45,"Exceeds 25%","")</f>
        <v>Exceeds 25%</v>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
      <c r="B48" s="35" t="s">
        <v>212</v>
      </c>
      <c r="C48" s="29"/>
      <c r="D48" s="29"/>
      <c r="E48" s="34"/>
      <c r="G48" s="811" t="str">
        <f>CONCATENATE("Projected Carryover Into ",E1+1,"")</f>
        <v>Projected Carryover Into 2015</v>
      </c>
      <c r="H48" s="812"/>
      <c r="I48" s="812"/>
      <c r="J48" s="813"/>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90620</v>
      </c>
      <c r="D50" s="381">
        <f>SUM(D29:D48)</f>
        <v>111600</v>
      </c>
      <c r="E50" s="47">
        <f>SUM(E29:E43,E45,E47:E48)</f>
        <v>141600</v>
      </c>
      <c r="G50" s="484">
        <f>D51</f>
        <v>2200</v>
      </c>
      <c r="H50" s="485" t="str">
        <f>CONCATENATE("",E1-1," Ending Cash Balance (est.)")</f>
        <v>2013 Ending Cash Balance (est.)</v>
      </c>
      <c r="I50" s="486"/>
      <c r="J50" s="257"/>
    </row>
    <row r="51" spans="2:10" ht="15">
      <c r="B51" s="27" t="s">
        <v>119</v>
      </c>
      <c r="C51" s="382">
        <f>C27-C50</f>
        <v>13029</v>
      </c>
      <c r="D51" s="382">
        <f>SUM(D27-D50)</f>
        <v>2200</v>
      </c>
      <c r="E51" s="33" t="s">
        <v>289</v>
      </c>
      <c r="G51" s="484">
        <f>E26</f>
        <v>5412</v>
      </c>
      <c r="H51" s="487" t="str">
        <f>CONCATENATE("",E1," Non-AV Receipts (est.)")</f>
        <v>2014 Non-AV Receipts (est.)</v>
      </c>
      <c r="I51" s="486"/>
      <c r="J51" s="257"/>
    </row>
    <row r="52" spans="2:11" ht="15">
      <c r="B52" s="48" t="str">
        <f>CONCATENATE("",E1-2,"/",E1-1," Budget Authority Amount:")</f>
        <v>2012/2013 Budget Authority Amount:</v>
      </c>
      <c r="C52" s="132">
        <f>inputOth!B46</f>
        <v>99600</v>
      </c>
      <c r="D52" s="161">
        <f>inputPrYr!D16</f>
        <v>111600</v>
      </c>
      <c r="E52" s="33" t="s">
        <v>289</v>
      </c>
      <c r="F52" s="50"/>
      <c r="G52" s="488">
        <f>IF(D56&gt;0,E55,E57)</f>
        <v>133988</v>
      </c>
      <c r="H52" s="487" t="str">
        <f>CONCATENATE("",E1," Ad Valorem Tax (est.)")</f>
        <v>2014 Ad Valorem Tax (est.)</v>
      </c>
      <c r="I52" s="486"/>
      <c r="J52" s="257"/>
      <c r="K52" s="701">
        <f>IF(G52=E57,"","Note: Does not include Delinquent Taxes")</f>
      </c>
    </row>
    <row r="53" spans="2:10" ht="15">
      <c r="B53" s="48"/>
      <c r="C53" s="807" t="s">
        <v>622</v>
      </c>
      <c r="D53" s="808"/>
      <c r="E53" s="34"/>
      <c r="F53" s="482">
        <f>IF(E50/0.95-E50&lt;E53,"Exceeds 5%","")</f>
      </c>
      <c r="G53" s="484">
        <f>SUM(G50:G52)</f>
        <v>141600</v>
      </c>
      <c r="H53" s="487" t="str">
        <f>CONCATENATE("Total ",E1," Resources Available")</f>
        <v>Total 2014 Resources Available</v>
      </c>
      <c r="I53" s="486"/>
      <c r="J53" s="257"/>
    </row>
    <row r="54" spans="2:10" ht="15">
      <c r="B54" s="395" t="str">
        <f>CONCATENATE(C72,"     ",D72)</f>
        <v>     </v>
      </c>
      <c r="C54" s="809" t="s">
        <v>623</v>
      </c>
      <c r="D54" s="810"/>
      <c r="E54" s="32">
        <f>E50+E53</f>
        <v>141600</v>
      </c>
      <c r="G54" s="489"/>
      <c r="H54" s="487"/>
      <c r="I54" s="487"/>
      <c r="J54" s="257"/>
    </row>
    <row r="55" spans="2:10" ht="15">
      <c r="B55" s="395" t="str">
        <f>CONCATENATE(C73,"     ",D73)</f>
        <v>     </v>
      </c>
      <c r="C55" s="60"/>
      <c r="D55" s="52" t="s">
        <v>28</v>
      </c>
      <c r="E55" s="46">
        <f>IF(E54-E27&gt;0,E54-E27,0)</f>
        <v>133988</v>
      </c>
      <c r="G55" s="488">
        <f>ROUND(C50*0.05+C50,0)</f>
        <v>95151</v>
      </c>
      <c r="H55" s="487" t="str">
        <f>CONCATENATE("Less ",E1-2," Expenditures + 5%")</f>
        <v>Less 2012 Expenditures + 5%</v>
      </c>
      <c r="I55" s="486"/>
      <c r="J55" s="257"/>
    </row>
    <row r="56" spans="2:10" ht="15">
      <c r="B56" s="52"/>
      <c r="C56" s="399" t="s">
        <v>624</v>
      </c>
      <c r="D56" s="689">
        <f>inputOth!$E$40</f>
        <v>0</v>
      </c>
      <c r="E56" s="32">
        <f>ROUND(IF(D56&gt;0,(E55*D56),0),0)</f>
        <v>0</v>
      </c>
      <c r="G56" s="490">
        <f>G53-G55</f>
        <v>46449</v>
      </c>
      <c r="H56" s="491" t="str">
        <f>CONCATENATE("Projected ",E1+1," Carryover (est.)")</f>
        <v>Projected 2015 Carryover (est.)</v>
      </c>
      <c r="I56" s="492"/>
      <c r="J56" s="493"/>
    </row>
    <row r="57" spans="2:5" ht="15">
      <c r="B57" s="14"/>
      <c r="C57" s="805" t="str">
        <f>CONCATENATE("Amount of  ",$E$1-1," Ad Valorem Tax")</f>
        <v>Amount of  2013 Ad Valorem Tax</v>
      </c>
      <c r="D57" s="806"/>
      <c r="E57" s="46">
        <f>E55+E56</f>
        <v>133988</v>
      </c>
    </row>
    <row r="58" spans="2:10" ht="15">
      <c r="B58" s="14"/>
      <c r="C58" s="14"/>
      <c r="D58" s="14"/>
      <c r="E58" s="14"/>
      <c r="G58" s="814" t="s">
        <v>825</v>
      </c>
      <c r="H58" s="815"/>
      <c r="I58" s="815"/>
      <c r="J58" s="816"/>
    </row>
    <row r="59" spans="2:11" s="54" customFormat="1" ht="15">
      <c r="B59" s="19"/>
      <c r="C59" s="19"/>
      <c r="D59" s="53"/>
      <c r="E59" s="19"/>
      <c r="G59" s="702"/>
      <c r="H59" s="485"/>
      <c r="I59" s="691"/>
      <c r="J59" s="703"/>
      <c r="K59" s="16"/>
    </row>
    <row r="60" spans="2:11" s="56" customFormat="1" ht="15">
      <c r="B60" s="14"/>
      <c r="C60" s="14"/>
      <c r="D60" s="55"/>
      <c r="E60" s="14"/>
      <c r="G60" s="704">
        <f>summ!I18</f>
        <v>12.489</v>
      </c>
      <c r="H60" s="485" t="str">
        <f>CONCATENATE("",E1," Fund Mill Rate")</f>
        <v>2014 Fund Mill Rate</v>
      </c>
      <c r="I60" s="691"/>
      <c r="J60" s="703"/>
      <c r="K60" s="16"/>
    </row>
    <row r="61" spans="2:10" ht="15">
      <c r="B61" s="52" t="s">
        <v>9</v>
      </c>
      <c r="C61" s="401">
        <f>IF(inputPrYr!D18&gt;0,7,6)</f>
        <v>6</v>
      </c>
      <c r="D61" s="14"/>
      <c r="E61" s="55"/>
      <c r="G61" s="705">
        <f>summ!F18</f>
        <v>7.9</v>
      </c>
      <c r="H61" s="485" t="str">
        <f>CONCATENATE("",E1-1," Fund Mill Rate")</f>
        <v>2013 Fund Mill Rate</v>
      </c>
      <c r="I61" s="691"/>
      <c r="J61" s="703"/>
    </row>
    <row r="62" spans="7:10" ht="15">
      <c r="G62" s="706">
        <f>summ!I32</f>
        <v>12.489</v>
      </c>
      <c r="H62" s="485" t="str">
        <f>CONCATENATE("Total ",E1," Mill Rate")</f>
        <v>Total 2014 Mill Rate</v>
      </c>
      <c r="I62" s="691"/>
      <c r="J62" s="703"/>
    </row>
    <row r="63" spans="2:10" ht="15">
      <c r="B63" s="12"/>
      <c r="G63" s="705">
        <f>summ!F32</f>
        <v>7.9</v>
      </c>
      <c r="H63" s="707" t="str">
        <f>CONCATENATE("Total ",E1-1," Mill Rate")</f>
        <v>Total 2013 Mill Rate</v>
      </c>
      <c r="I63" s="708"/>
      <c r="J63" s="709"/>
    </row>
    <row r="64" spans="7:10" ht="15">
      <c r="G64" s="692"/>
      <c r="H64" s="494"/>
      <c r="I64" s="494"/>
      <c r="J64" s="694"/>
    </row>
    <row r="65" spans="7:10" ht="15">
      <c r="G65" s="744" t="s">
        <v>933</v>
      </c>
      <c r="H65" s="743"/>
      <c r="I65" s="742" t="str">
        <f>cert!F37</f>
        <v>Yes</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18" operator="lessThan" stopIfTrue="1">
      <formula>0</formula>
    </cfRule>
  </conditionalFormatting>
  <conditionalFormatting sqref="D50">
    <cfRule type="cellIs" priority="18" dxfId="18"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18"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18" stopIfTrue="1">
      <formula>$D$8&gt;0</formula>
    </cfRule>
  </conditionalFormatting>
  <conditionalFormatting sqref="C50">
    <cfRule type="cellIs" priority="10" dxfId="18"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3">
      <selection activeCell="C62" sqref="C6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Lincoln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11" t="str">
        <f>CONCATENATE("Desired Carryover Into ",E1+1,"")</f>
        <v>Desired Carryover Into 2015</v>
      </c>
      <c r="H34" s="812"/>
      <c r="I34" s="812"/>
      <c r="J34" s="813"/>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
      <c r="B41" s="35" t="s">
        <v>212</v>
      </c>
      <c r="C41" s="29"/>
      <c r="D41" s="29"/>
      <c r="E41" s="34"/>
      <c r="G41" s="811" t="str">
        <f>CONCATENATE("Projected Carryover Into ",E1+1,"")</f>
        <v>Projected Carryover Into 2015</v>
      </c>
      <c r="H41" s="812"/>
      <c r="I41" s="812"/>
      <c r="J41" s="813"/>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
      <c r="B46" s="48"/>
      <c r="C46" s="807" t="s">
        <v>622</v>
      </c>
      <c r="D46" s="808"/>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9" t="s">
        <v>623</v>
      </c>
      <c r="D47" s="810"/>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805" t="str">
        <f>CONCATENATE("Amount of  ",$E$1-1," Ad Valorem Tax")</f>
        <v>Amount of  2013 Ad Valorem Tax</v>
      </c>
      <c r="D50" s="806"/>
      <c r="E50" s="46">
        <f>E48+E49</f>
        <v>0</v>
      </c>
    </row>
    <row r="51" spans="2:10" ht="15">
      <c r="B51" s="14"/>
      <c r="C51" s="14"/>
      <c r="D51" s="14"/>
      <c r="E51" s="14"/>
      <c r="G51" s="814" t="s">
        <v>825</v>
      </c>
      <c r="H51" s="815"/>
      <c r="I51" s="815"/>
      <c r="J51" s="816"/>
    </row>
    <row r="52" spans="2:10" ht="15">
      <c r="B52" s="14"/>
      <c r="C52" s="14"/>
      <c r="D52" s="14"/>
      <c r="E52" s="14"/>
      <c r="G52" s="702"/>
      <c r="H52" s="485"/>
      <c r="I52" s="691"/>
      <c r="J52" s="703"/>
    </row>
    <row r="53" spans="2:10" ht="15">
      <c r="B53" s="68" t="s">
        <v>30</v>
      </c>
      <c r="C53" s="70"/>
      <c r="D53" s="14"/>
      <c r="E53" s="14"/>
      <c r="G53" s="704" t="str">
        <f>summ!I21</f>
        <v> </v>
      </c>
      <c r="H53" s="485" t="str">
        <f>CONCATENATE("",E1," Fund Mill Rate")</f>
        <v>2014 Fund Mill Rate</v>
      </c>
      <c r="I53" s="691"/>
      <c r="J53" s="703"/>
    </row>
    <row r="54" spans="2:10" ht="15">
      <c r="B54" s="71" t="s">
        <v>31</v>
      </c>
      <c r="C54" s="400" t="str">
        <f>CONCATENATE("",E1-2," Actual Year")</f>
        <v>2012 Actual Year</v>
      </c>
      <c r="D54" s="14"/>
      <c r="E54" s="14"/>
      <c r="G54" s="705" t="str">
        <f>summ!F21</f>
        <v>  </v>
      </c>
      <c r="H54" s="485" t="str">
        <f>CONCATENATE("",E1-1," Fund Mill Rate")</f>
        <v>2013 Fund Mill Rate</v>
      </c>
      <c r="I54" s="691"/>
      <c r="J54" s="703"/>
    </row>
    <row r="55" spans="2:10" ht="15">
      <c r="B55" s="72" t="s">
        <v>14</v>
      </c>
      <c r="C55" s="130">
        <v>81745</v>
      </c>
      <c r="D55" s="14"/>
      <c r="E55" s="14"/>
      <c r="G55" s="706">
        <f>summ!I32</f>
        <v>12.489</v>
      </c>
      <c r="H55" s="485" t="str">
        <f>CONCATENATE("Total ",E1," Mill Rate")</f>
        <v>Total 2014 Mill Rate</v>
      </c>
      <c r="I55" s="691"/>
      <c r="J55" s="703"/>
    </row>
    <row r="56" spans="2:10" ht="15">
      <c r="B56" s="72" t="s">
        <v>33</v>
      </c>
      <c r="C56" s="132"/>
      <c r="D56" s="14"/>
      <c r="E56" s="14"/>
      <c r="G56" s="705">
        <f>summ!F32</f>
        <v>7.9</v>
      </c>
      <c r="H56" s="707" t="str">
        <f>CONCATENATE("Total ",E1-1," Mill Rate")</f>
        <v>Total 2013 Mill Rate</v>
      </c>
      <c r="I56" s="708"/>
      <c r="J56" s="709"/>
    </row>
    <row r="57" spans="2:5" ht="15">
      <c r="B57" s="72" t="s">
        <v>34</v>
      </c>
      <c r="C57" s="398">
        <f>C38</f>
        <v>0</v>
      </c>
      <c r="D57" s="74"/>
      <c r="E57" s="14"/>
    </row>
    <row r="58" spans="2:9" ht="15">
      <c r="B58" s="72" t="s">
        <v>246</v>
      </c>
      <c r="C58" s="398">
        <f>gen!C43</f>
        <v>0</v>
      </c>
      <c r="D58" s="817">
        <f>IF(AND(C58&gt;0,C59&gt;0),"Not Auth. Two General Transfers - Only One","")</f>
      </c>
      <c r="E58" s="818"/>
      <c r="G58" s="744" t="s">
        <v>933</v>
      </c>
      <c r="H58" s="743"/>
      <c r="I58" s="742" t="str">
        <f>cert!F37</f>
        <v>Yes</v>
      </c>
    </row>
    <row r="59" spans="2:5" ht="15">
      <c r="B59" s="75" t="s">
        <v>247</v>
      </c>
      <c r="C59" s="398">
        <f>gen!C45</f>
        <v>35000</v>
      </c>
      <c r="D59" s="819"/>
      <c r="E59" s="818"/>
    </row>
    <row r="60" spans="2:5" ht="15">
      <c r="B60" s="76"/>
      <c r="C60" s="130"/>
      <c r="D60" s="14"/>
      <c r="E60" s="14"/>
    </row>
    <row r="61" spans="2:5" ht="15">
      <c r="B61" s="76" t="s">
        <v>22</v>
      </c>
      <c r="C61" s="130">
        <v>687</v>
      </c>
      <c r="D61" s="14"/>
      <c r="E61" s="14"/>
    </row>
    <row r="62" spans="2:5" ht="15">
      <c r="B62" s="76" t="s">
        <v>21</v>
      </c>
      <c r="C62" s="130"/>
      <c r="D62" s="14"/>
      <c r="E62" s="14"/>
    </row>
    <row r="63" spans="2:5" ht="15">
      <c r="B63" s="77" t="s">
        <v>24</v>
      </c>
      <c r="C63" s="132">
        <f>SUM(C55:C62)</f>
        <v>117432</v>
      </c>
      <c r="D63" s="14"/>
      <c r="E63" s="14"/>
    </row>
    <row r="64" spans="2:5" ht="15">
      <c r="B64" s="77" t="s">
        <v>26</v>
      </c>
      <c r="C64" s="130"/>
      <c r="D64" s="14"/>
      <c r="E64" s="14"/>
    </row>
    <row r="65" spans="2:5" ht="15">
      <c r="B65" s="77" t="s">
        <v>27</v>
      </c>
      <c r="C65" s="397">
        <f>SUM(C63-C64)</f>
        <v>117432</v>
      </c>
      <c r="D65" s="14"/>
      <c r="E65" s="14"/>
    </row>
    <row r="66" spans="2:5" ht="15">
      <c r="B66" s="14"/>
      <c r="C66" s="14"/>
      <c r="D66" s="14"/>
      <c r="E66" s="14"/>
    </row>
    <row r="67" spans="2:5" ht="15">
      <c r="B67" s="52" t="s">
        <v>9</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18" operator="greaterThan" stopIfTrue="1">
      <formula>#REF!</formula>
    </cfRule>
  </conditionalFormatting>
  <conditionalFormatting sqref="D43">
    <cfRule type="cellIs" priority="13" dxfId="18" operator="greaterThan" stopIfTrue="1">
      <formula>$D$45</formula>
    </cfRule>
  </conditionalFormatting>
  <conditionalFormatting sqref="D38">
    <cfRule type="cellIs" priority="14" dxfId="18" operator="greaterThan" stopIfTrue="1">
      <formula>$D$24*0.25</formula>
    </cfRule>
  </conditionalFormatting>
  <conditionalFormatting sqref="E38">
    <cfRule type="cellIs" priority="15" dxfId="18"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Lincoln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20" t="str">
        <f>CONCATENATE("Desired Carryover Into ",E1+1,"")</f>
        <v>Desired Carryover Into 2015</v>
      </c>
      <c r="H24" s="821"/>
      <c r="I24" s="821"/>
      <c r="J24" s="822"/>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
      <c r="B31" s="35" t="s">
        <v>212</v>
      </c>
      <c r="C31" s="29"/>
      <c r="D31" s="29"/>
      <c r="E31" s="34"/>
      <c r="G31" s="820" t="str">
        <f>CONCATENATE("Projected Carryover Into ",E1+1,"")</f>
        <v>Projected Carryover Into 2015</v>
      </c>
      <c r="H31" s="823"/>
      <c r="I31" s="823"/>
      <c r="J31" s="824"/>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7" t="s">
        <v>622</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623</v>
      </c>
      <c r="D37" s="810"/>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25" t="s">
        <v>825</v>
      </c>
      <c r="H41" s="826"/>
      <c r="I41" s="826"/>
      <c r="J41" s="827"/>
      <c r="K41" s="582"/>
    </row>
    <row r="42" spans="2:11" ht="15">
      <c r="B42" s="14"/>
      <c r="C42" s="539"/>
      <c r="D42" s="14"/>
      <c r="E42" s="14"/>
      <c r="G42" s="655"/>
      <c r="H42" s="632"/>
      <c r="I42" s="656"/>
      <c r="J42" s="657"/>
      <c r="K42" s="582"/>
    </row>
    <row r="43" spans="2:11" ht="15">
      <c r="B43" s="22" t="s">
        <v>10</v>
      </c>
      <c r="C43" s="66"/>
      <c r="D43" s="66"/>
      <c r="E43" s="66"/>
      <c r="G43" s="658" t="str">
        <f>summ!I22</f>
        <v> </v>
      </c>
      <c r="H43" s="632" t="str">
        <f>CONCATENATE("",E1," Fund Mill Rate")</f>
        <v>2014 Fund Mill Rate</v>
      </c>
      <c r="I43" s="656"/>
      <c r="J43" s="657"/>
      <c r="K43" s="582"/>
    </row>
    <row r="44" spans="2:11" ht="15">
      <c r="B44" s="14"/>
      <c r="C44" s="385" t="s">
        <v>11</v>
      </c>
      <c r="D44" s="388" t="s">
        <v>12</v>
      </c>
      <c r="E44" s="23" t="s">
        <v>13</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12.489</v>
      </c>
      <c r="H45" s="632" t="str">
        <f>CONCATENATE("Total ",E1," Mill Rate")</f>
        <v>Total 2014 Mill Rate</v>
      </c>
      <c r="I45" s="656"/>
      <c r="J45" s="657"/>
      <c r="K45" s="582"/>
    </row>
    <row r="46" spans="2:11" ht="15">
      <c r="B46" s="27" t="s">
        <v>118</v>
      </c>
      <c r="C46" s="29"/>
      <c r="D46" s="387">
        <f>C74</f>
        <v>0</v>
      </c>
      <c r="E46" s="32">
        <f>D74</f>
        <v>0</v>
      </c>
      <c r="G46" s="659">
        <f>summ!F32</f>
        <v>7.9</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Yes</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20" t="str">
        <f>CONCATENATE("Desired Carryover Into ",E1+1,"")</f>
        <v>Desired Carryover Into 2015</v>
      </c>
      <c r="H64" s="821"/>
      <c r="I64" s="821"/>
      <c r="J64" s="822"/>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
      <c r="B71" s="35" t="s">
        <v>212</v>
      </c>
      <c r="C71" s="29"/>
      <c r="D71" s="29"/>
      <c r="E71" s="34"/>
      <c r="G71" s="820" t="str">
        <f>CONCATENATE("Projected Carryover Into ",E1+1,"")</f>
        <v>Projected Carryover Into 2015</v>
      </c>
      <c r="H71" s="828"/>
      <c r="I71" s="828"/>
      <c r="J71" s="824"/>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7" t="s">
        <v>622</v>
      </c>
      <c r="D76" s="808"/>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9" t="s">
        <v>623</v>
      </c>
      <c r="D77" s="810"/>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9</v>
      </c>
      <c r="C81" s="65"/>
      <c r="D81" s="14"/>
      <c r="E81" s="14"/>
      <c r="G81" s="825" t="s">
        <v>825</v>
      </c>
      <c r="H81" s="826"/>
      <c r="I81" s="826"/>
      <c r="J81" s="827"/>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12.489</v>
      </c>
      <c r="H85" s="632" t="str">
        <f>CONCATENATE("Total ",E1," Mill Rate")</f>
        <v>Total 2014 Mill Rate</v>
      </c>
      <c r="I85" s="656"/>
      <c r="J85" s="657"/>
      <c r="K85" s="582"/>
    </row>
    <row r="86" spans="7:11" ht="15">
      <c r="G86" s="659">
        <f>summ!F32</f>
        <v>7.9</v>
      </c>
      <c r="H86" s="662" t="str">
        <f>CONCATENATE("Total ",E1-1," Mill Rate")</f>
        <v>Total 2013 Mill Rate</v>
      </c>
      <c r="I86" s="663"/>
      <c r="J86" s="664"/>
      <c r="K86" s="582"/>
    </row>
    <row r="88" spans="7:9" ht="15">
      <c r="G88" s="744" t="s">
        <v>933</v>
      </c>
      <c r="H88" s="743"/>
      <c r="I88" s="742" t="str">
        <f>cert!F37</f>
        <v>Yes</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Lincoln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20" t="str">
        <f>CONCATENATE("Desired Carryover Into ",E1+1,"")</f>
        <v>Desired Carryover Into 2015</v>
      </c>
      <c r="H24" s="821"/>
      <c r="I24" s="821"/>
      <c r="J24" s="822"/>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
      <c r="B31" s="35" t="s">
        <v>212</v>
      </c>
      <c r="C31" s="29"/>
      <c r="D31" s="29"/>
      <c r="E31" s="34"/>
      <c r="G31" s="820" t="str">
        <f>CONCATENATE("Projected Carryover Into ",E1+1,"")</f>
        <v>Projected Carryover Into 2015</v>
      </c>
      <c r="H31" s="823"/>
      <c r="I31" s="823"/>
      <c r="J31" s="824"/>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7" t="s">
        <v>622</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623</v>
      </c>
      <c r="D37" s="810"/>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25" t="s">
        <v>825</v>
      </c>
      <c r="H41" s="826"/>
      <c r="I41" s="826"/>
      <c r="J41" s="827"/>
      <c r="K41" s="582"/>
    </row>
    <row r="42" spans="2:11" ht="15">
      <c r="B42" s="14"/>
      <c r="C42" s="539"/>
      <c r="D42" s="14"/>
      <c r="E42" s="14"/>
      <c r="G42" s="655"/>
      <c r="H42" s="632"/>
      <c r="I42" s="656"/>
      <c r="J42" s="657"/>
      <c r="K42" s="582"/>
    </row>
    <row r="43" spans="2:11" ht="15">
      <c r="B43" s="22" t="s">
        <v>10</v>
      </c>
      <c r="C43" s="66"/>
      <c r="D43" s="66"/>
      <c r="E43" s="66"/>
      <c r="G43" s="658" t="str">
        <f>summ!I24</f>
        <v> </v>
      </c>
      <c r="H43" s="632" t="str">
        <f>CONCATENATE("",E1," Fund Mill Rate")</f>
        <v>2014 Fund Mill Rate</v>
      </c>
      <c r="I43" s="656"/>
      <c r="J43" s="657"/>
      <c r="K43" s="582"/>
    </row>
    <row r="44" spans="2:11" ht="15">
      <c r="B44" s="14"/>
      <c r="C44" s="385" t="s">
        <v>11</v>
      </c>
      <c r="D44" s="388" t="s">
        <v>12</v>
      </c>
      <c r="E44" s="23" t="s">
        <v>13</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12.489</v>
      </c>
      <c r="H45" s="632" t="str">
        <f>CONCATENATE("Total ",E1," Mill Rate")</f>
        <v>Total 2014 Mill Rate</v>
      </c>
      <c r="I45" s="656"/>
      <c r="J45" s="657"/>
      <c r="K45" s="582"/>
    </row>
    <row r="46" spans="2:11" ht="15">
      <c r="B46" s="27" t="s">
        <v>118</v>
      </c>
      <c r="C46" s="29"/>
      <c r="D46" s="387">
        <f>C74</f>
        <v>0</v>
      </c>
      <c r="E46" s="32">
        <f>D74</f>
        <v>0</v>
      </c>
      <c r="G46" s="659">
        <f>summ!F32</f>
        <v>7.9</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Yes</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20" t="str">
        <f>CONCATENATE("Desired Carryover Into ",E1+1,"")</f>
        <v>Desired Carryover Into 2015</v>
      </c>
      <c r="H64" s="821"/>
      <c r="I64" s="821"/>
      <c r="J64" s="822"/>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
      <c r="B71" s="35" t="s">
        <v>212</v>
      </c>
      <c r="C71" s="29"/>
      <c r="D71" s="29"/>
      <c r="E71" s="34"/>
      <c r="G71" s="820" t="str">
        <f>CONCATENATE("Projected Carryover Into ",E1+1,"")</f>
        <v>Projected Carryover Into 2015</v>
      </c>
      <c r="H71" s="828"/>
      <c r="I71" s="828"/>
      <c r="J71" s="824"/>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7" t="s">
        <v>622</v>
      </c>
      <c r="D76" s="808"/>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9" t="s">
        <v>623</v>
      </c>
      <c r="D77" s="810"/>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9</v>
      </c>
      <c r="C81" s="65"/>
      <c r="D81" s="14"/>
      <c r="E81" s="14"/>
      <c r="G81" s="825" t="s">
        <v>825</v>
      </c>
      <c r="H81" s="826"/>
      <c r="I81" s="826"/>
      <c r="J81" s="827"/>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12.489</v>
      </c>
      <c r="H85" s="632" t="str">
        <f>CONCATENATE("Total ",E1," Mill Rate")</f>
        <v>Total 2014 Mill Rate</v>
      </c>
      <c r="I85" s="656"/>
      <c r="J85" s="657"/>
      <c r="K85" s="582"/>
    </row>
    <row r="86" spans="7:11" ht="15">
      <c r="G86" s="659">
        <f>summ!F32</f>
        <v>7.9</v>
      </c>
      <c r="H86" s="662" t="str">
        <f>CONCATENATE("Total ",E1-1," Mill Rate")</f>
        <v>Total 2013 Mill Rate</v>
      </c>
      <c r="I86" s="663"/>
      <c r="J86" s="664"/>
      <c r="K86" s="582"/>
    </row>
    <row r="88" spans="7:9" ht="15">
      <c r="G88" s="744" t="s">
        <v>933</v>
      </c>
      <c r="H88" s="743"/>
      <c r="I88" s="742" t="str">
        <f>cert!F37</f>
        <v>Yes</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Lincoln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20" t="str">
        <f>CONCATENATE("Desired Carryover Into ",E1+1,"")</f>
        <v>Desired Carryover Into 2015</v>
      </c>
      <c r="H24" s="821"/>
      <c r="I24" s="821"/>
      <c r="J24" s="822"/>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
      <c r="B31" s="35" t="s">
        <v>212</v>
      </c>
      <c r="C31" s="29"/>
      <c r="D31" s="29"/>
      <c r="E31" s="34"/>
      <c r="G31" s="820" t="str">
        <f>CONCATENATE("Projected Carryover Into ",E1+1,"")</f>
        <v>Projected Carryover Into 2015</v>
      </c>
      <c r="H31" s="823"/>
      <c r="I31" s="823"/>
      <c r="J31" s="824"/>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7" t="s">
        <v>622</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623</v>
      </c>
      <c r="D37" s="810"/>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25" t="s">
        <v>825</v>
      </c>
      <c r="H41" s="826"/>
      <c r="I41" s="826"/>
      <c r="J41" s="827"/>
      <c r="K41" s="582"/>
    </row>
    <row r="42" spans="2:11" ht="15">
      <c r="B42" s="14"/>
      <c r="C42" s="539"/>
      <c r="D42" s="14"/>
      <c r="E42" s="14"/>
      <c r="G42" s="655"/>
      <c r="H42" s="632"/>
      <c r="I42" s="656"/>
      <c r="J42" s="657"/>
      <c r="K42" s="582"/>
    </row>
    <row r="43" spans="2:11" ht="15">
      <c r="B43" s="22" t="s">
        <v>10</v>
      </c>
      <c r="C43" s="66"/>
      <c r="D43" s="66"/>
      <c r="E43" s="66"/>
      <c r="G43" s="658" t="str">
        <f>summ!I26</f>
        <v> </v>
      </c>
      <c r="H43" s="632" t="str">
        <f>CONCATENATE("",E1," Fund Mill Rate")</f>
        <v>2014 Fund Mill Rate</v>
      </c>
      <c r="I43" s="656"/>
      <c r="J43" s="657"/>
      <c r="K43" s="582"/>
    </row>
    <row r="44" spans="2:11" ht="15">
      <c r="B44" s="14"/>
      <c r="C44" s="385" t="s">
        <v>11</v>
      </c>
      <c r="D44" s="388" t="s">
        <v>12</v>
      </c>
      <c r="E44" s="23" t="s">
        <v>13</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12.489</v>
      </c>
      <c r="H45" s="632" t="str">
        <f>CONCATENATE("Total ",E1," Mill Rate")</f>
        <v>Total 2014 Mill Rate</v>
      </c>
      <c r="I45" s="656"/>
      <c r="J45" s="657"/>
      <c r="K45" s="582"/>
    </row>
    <row r="46" spans="2:11" ht="15">
      <c r="B46" s="27" t="s">
        <v>118</v>
      </c>
      <c r="C46" s="29"/>
      <c r="D46" s="387">
        <f>C74</f>
        <v>0</v>
      </c>
      <c r="E46" s="32">
        <f>D74</f>
        <v>0</v>
      </c>
      <c r="G46" s="659">
        <f>summ!F32</f>
        <v>7.9</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Yes</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20" t="str">
        <f>CONCATENATE("Desired Carryover Into ",E1+1,"")</f>
        <v>Desired Carryover Into 2015</v>
      </c>
      <c r="H64" s="821"/>
      <c r="I64" s="821"/>
      <c r="J64" s="822"/>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
      <c r="B71" s="35" t="s">
        <v>212</v>
      </c>
      <c r="C71" s="29"/>
      <c r="D71" s="29"/>
      <c r="E71" s="34"/>
      <c r="G71" s="820" t="str">
        <f>CONCATENATE("Projected Carryover Into ",E1+1,"")</f>
        <v>Projected Carryover Into 2015</v>
      </c>
      <c r="H71" s="828"/>
      <c r="I71" s="828"/>
      <c r="J71" s="824"/>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7" t="s">
        <v>622</v>
      </c>
      <c r="D76" s="808"/>
      <c r="E76" s="34"/>
      <c r="F76" s="482">
        <f>IF(E73/0.95-E73&lt;E76,"Exceeds 5%","")</f>
      </c>
      <c r="G76" s="670">
        <f>SUM(G73:G75)</f>
        <v>0</v>
      </c>
      <c r="H76" s="615" t="str">
        <f>CONCATENATE("Total ",E1," Resources Available")</f>
        <v>Total 2014 Resources Available</v>
      </c>
      <c r="I76" s="671"/>
      <c r="J76" s="668"/>
      <c r="K76" s="582"/>
    </row>
    <row r="77" spans="2:11" ht="15">
      <c r="B77" s="48"/>
      <c r="C77" s="809" t="s">
        <v>623</v>
      </c>
      <c r="D77" s="810"/>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9</v>
      </c>
      <c r="C81" s="65"/>
      <c r="D81" s="14"/>
      <c r="E81" s="14"/>
      <c r="G81" s="825" t="s">
        <v>825</v>
      </c>
      <c r="H81" s="826"/>
      <c r="I81" s="826"/>
      <c r="J81" s="827"/>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12.489</v>
      </c>
      <c r="H85" s="632" t="str">
        <f>CONCATENATE("Total ",E1," Mill Rate")</f>
        <v>Total 2014 Mill Rate</v>
      </c>
      <c r="I85" s="656"/>
      <c r="J85" s="657"/>
      <c r="K85" s="582"/>
    </row>
    <row r="86" spans="7:11" ht="15">
      <c r="G86" s="659">
        <f>summ!F32</f>
        <v>7.9</v>
      </c>
      <c r="H86" s="662" t="str">
        <f>CONCATENATE("Total ",E1-1," Mill Rate")</f>
        <v>Total 2013 Mill Rate</v>
      </c>
      <c r="I86" s="663"/>
      <c r="J86" s="664"/>
      <c r="K86" s="582"/>
    </row>
    <row r="88" spans="7:9" ht="15">
      <c r="G88" s="744" t="s">
        <v>933</v>
      </c>
      <c r="H88" s="743"/>
      <c r="I88" s="742" t="str">
        <f>cert!F37</f>
        <v>Yes</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Lincoln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Lincoln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9">
        <f>inputPrYr!B34</f>
        <v>0</v>
      </c>
      <c r="B5" s="830"/>
      <c r="C5" s="829">
        <f>inputPrYr!B35</f>
        <v>0</v>
      </c>
      <c r="D5" s="830"/>
      <c r="E5" s="829">
        <f>inputPrYr!B36</f>
        <v>0</v>
      </c>
      <c r="F5" s="830"/>
      <c r="G5" s="831">
        <f>inputPrYr!B37</f>
        <v>0</v>
      </c>
      <c r="H5" s="830"/>
      <c r="I5" s="831">
        <f>inputPrYr!B38</f>
        <v>0</v>
      </c>
      <c r="J5" s="830"/>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7.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1"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Lincoln Township</v>
      </c>
      <c r="B1" s="14"/>
      <c r="C1" s="14"/>
      <c r="D1" s="14"/>
      <c r="E1" s="14"/>
      <c r="F1" s="14">
        <f>inputPrYr!D5</f>
        <v>2014</v>
      </c>
    </row>
    <row r="2" spans="1:6" ht="15">
      <c r="A2" s="14"/>
      <c r="B2" s="14"/>
      <c r="C2" s="14"/>
      <c r="D2" s="14"/>
      <c r="E2" s="14"/>
      <c r="F2" s="14"/>
    </row>
    <row r="3" spans="1:6" ht="15">
      <c r="A3" s="14"/>
      <c r="B3" s="769" t="str">
        <f>CONCATENATE("",F1," Neighborhood Revitalization Rebate")</f>
        <v>2014 Neighborhood Revitalization Rebate</v>
      </c>
      <c r="C3" s="777"/>
      <c r="D3" s="777"/>
      <c r="E3" s="777"/>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34" t="str">
        <f>CONCATENATE("",F1-1," July 1 Valuation:")</f>
        <v>2013 July 1 Valuation:</v>
      </c>
      <c r="B19" s="833"/>
      <c r="C19" s="834"/>
      <c r="D19" s="136">
        <f>inputOth!E7</f>
        <v>10728732</v>
      </c>
      <c r="E19" s="14"/>
      <c r="F19" s="129"/>
    </row>
    <row r="20" spans="1:6" ht="15">
      <c r="A20" s="14"/>
      <c r="B20" s="14"/>
      <c r="C20" s="14"/>
      <c r="D20" s="14"/>
      <c r="E20" s="14"/>
      <c r="F20" s="129"/>
    </row>
    <row r="21" spans="1:6" ht="15">
      <c r="A21" s="14"/>
      <c r="B21" s="834" t="s">
        <v>365</v>
      </c>
      <c r="C21" s="834"/>
      <c r="D21" s="137">
        <f>IF(D19&gt;0,(D19*0.001),"")</f>
        <v>10728.732</v>
      </c>
      <c r="E21" s="14"/>
      <c r="F21" s="129"/>
    </row>
    <row r="22" spans="1:6" ht="15">
      <c r="A22" s="14"/>
      <c r="B22" s="48"/>
      <c r="C22" s="48"/>
      <c r="D22" s="138"/>
      <c r="E22" s="14"/>
      <c r="F22" s="129"/>
    </row>
    <row r="23" spans="1:6" ht="15">
      <c r="A23" s="832" t="s">
        <v>367</v>
      </c>
      <c r="B23" s="768"/>
      <c r="C23" s="768"/>
      <c r="D23" s="139">
        <f>inputOth!E13</f>
        <v>0</v>
      </c>
      <c r="E23" s="140"/>
      <c r="F23" s="140"/>
    </row>
    <row r="24" spans="1:6" ht="15">
      <c r="A24" s="140"/>
      <c r="B24" s="140"/>
      <c r="C24" s="140"/>
      <c r="D24" s="141"/>
      <c r="E24" s="140"/>
      <c r="F24" s="140"/>
    </row>
    <row r="25" spans="1:6" ht="15">
      <c r="A25" s="140"/>
      <c r="B25" s="832" t="s">
        <v>368</v>
      </c>
      <c r="C25" s="833"/>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603</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D50" sqref="D50"/>
    </sheetView>
  </sheetViews>
  <sheetFormatPr defaultColWidth="8.796875" defaultRowHeight="15.75"/>
  <sheetData>
    <row r="1" spans="1:7" ht="15">
      <c r="A1" s="842" t="s">
        <v>129</v>
      </c>
      <c r="B1" s="842"/>
      <c r="C1" s="842"/>
      <c r="D1" s="842"/>
      <c r="E1" s="842"/>
      <c r="F1" s="842"/>
      <c r="G1" s="842"/>
    </row>
    <row r="2" ht="15">
      <c r="A2" s="1"/>
    </row>
    <row r="3" spans="1:7" ht="15">
      <c r="A3" s="843" t="s">
        <v>130</v>
      </c>
      <c r="B3" s="843"/>
      <c r="C3" s="843"/>
      <c r="D3" s="843"/>
      <c r="E3" s="843"/>
      <c r="F3" s="843"/>
      <c r="G3" s="843"/>
    </row>
    <row r="4" ht="15">
      <c r="A4" s="2"/>
    </row>
    <row r="5" ht="15">
      <c r="A5" s="2"/>
    </row>
    <row r="6" spans="1:9" ht="15">
      <c r="A6" s="8" t="str">
        <f>CONCATENATE("A resolution expressing the property taxation policy of the Board of ",(inputPrYr!D2)," ")</f>
        <v>A resolution expressing the property taxation policy of the Board of Lincoln Township </v>
      </c>
      <c r="I6">
        <f>CONCATENATE(I7)</f>
      </c>
    </row>
    <row r="7" spans="1:7" ht="15">
      <c r="A7" s="844" t="str">
        <f>CONCATENATE("   with respect to financing the ",inputPrYr!D5," annual budget for ",(inputPrYr!D2)," , ",(inputPrYr!D3)," , Kansas.")</f>
        <v>   with respect to financing the 2014 annual budget for Lincoln Township , Russell County , Kansas.</v>
      </c>
      <c r="B7" s="837"/>
      <c r="C7" s="837"/>
      <c r="D7" s="837"/>
      <c r="E7" s="837"/>
      <c r="F7" s="837"/>
      <c r="G7" s="837"/>
    </row>
    <row r="8" spans="1:7" ht="15">
      <c r="A8" s="837"/>
      <c r="B8" s="837"/>
      <c r="C8" s="837"/>
      <c r="D8" s="837"/>
      <c r="E8" s="837"/>
      <c r="F8" s="837"/>
      <c r="G8" s="837"/>
    </row>
    <row r="9" ht="15">
      <c r="A9" s="1"/>
    </row>
    <row r="10" ht="15">
      <c r="A10" s="9" t="s">
        <v>131</v>
      </c>
    </row>
    <row r="11" ht="15">
      <c r="A11" s="7" t="str">
        <f>CONCATENATE("to finance the ",inputPrYr!D5," ",(inputPrYr!D2)," budget exceed the amount levied to finance the ",inputPrYr!D5-1,"")</f>
        <v>to finance the 2014 Lincoln Township budget exceed the amount levied to finance the 2013</v>
      </c>
    </row>
    <row r="12" spans="1:7" ht="15">
      <c r="A12" s="840" t="str">
        <f>CONCATENATE((inputPrYr!D2),"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837"/>
      <c r="C12" s="837"/>
      <c r="D12" s="837"/>
      <c r="E12" s="837"/>
      <c r="F12" s="837"/>
      <c r="G12" s="837"/>
    </row>
    <row r="13" spans="1:7" ht="15">
      <c r="A13" s="837"/>
      <c r="B13" s="837"/>
      <c r="C13" s="837"/>
      <c r="D13" s="837"/>
      <c r="E13" s="837"/>
      <c r="F13" s="837"/>
      <c r="G13" s="837"/>
    </row>
    <row r="14" spans="1:7" ht="15">
      <c r="A14" s="840" t="s">
        <v>136</v>
      </c>
      <c r="B14" s="837"/>
      <c r="C14" s="837"/>
      <c r="D14" s="837"/>
      <c r="E14" s="837"/>
      <c r="F14" s="837"/>
      <c r="G14" s="837"/>
    </row>
    <row r="15" spans="1:7" ht="15">
      <c r="A15" s="837"/>
      <c r="B15" s="837"/>
      <c r="C15" s="837"/>
      <c r="D15" s="837"/>
      <c r="E15" s="837"/>
      <c r="F15" s="837"/>
      <c r="G15" s="837"/>
    </row>
    <row r="16" spans="1:7" ht="15">
      <c r="A16" s="841"/>
      <c r="B16" s="841"/>
      <c r="C16" s="841"/>
      <c r="D16" s="841"/>
      <c r="E16" s="841"/>
      <c r="F16" s="841"/>
      <c r="G16" s="841"/>
    </row>
    <row r="17" ht="15">
      <c r="A17" s="2"/>
    </row>
    <row r="18" spans="1:7" ht="15">
      <c r="A18" s="836" t="s">
        <v>132</v>
      </c>
      <c r="B18" s="837"/>
      <c r="C18" s="837"/>
      <c r="D18" s="837"/>
      <c r="E18" s="837"/>
      <c r="F18" s="837"/>
      <c r="G18" s="837"/>
    </row>
    <row r="19" spans="1:7" ht="15">
      <c r="A19" s="837"/>
      <c r="B19" s="837"/>
      <c r="C19" s="837"/>
      <c r="D19" s="837"/>
      <c r="E19" s="837"/>
      <c r="F19" s="837"/>
      <c r="G19" s="837"/>
    </row>
    <row r="20" ht="15">
      <c r="A20" s="2"/>
    </row>
    <row r="21" spans="1:7" ht="15">
      <c r="A21" s="836" t="str">
        <f>CONCATENATE("Whereas, ",(inputPrYr!D2)," provides essential services to protect the safety and well being of the citizens of the township; and")</f>
        <v>Whereas, Lincoln Township provides essential services to protect the safety and well being of the citizens of the township; and</v>
      </c>
      <c r="B21" s="837"/>
      <c r="C21" s="837"/>
      <c r="D21" s="837"/>
      <c r="E21" s="837"/>
      <c r="F21" s="837"/>
      <c r="G21" s="837"/>
    </row>
    <row r="22" spans="1:7" ht="15">
      <c r="A22" s="837"/>
      <c r="B22" s="837"/>
      <c r="C22" s="837"/>
      <c r="D22" s="837"/>
      <c r="E22" s="837"/>
      <c r="F22" s="837"/>
      <c r="G22" s="837"/>
    </row>
    <row r="23" ht="15">
      <c r="A23" s="4"/>
    </row>
    <row r="24" ht="15">
      <c r="A24" s="3" t="s">
        <v>133</v>
      </c>
    </row>
    <row r="25" ht="15">
      <c r="A25" s="4"/>
    </row>
    <row r="26" spans="1:7" ht="15">
      <c r="A26" s="836" t="str">
        <f>CONCATENATE("NOW, THEREFORE, BE IT RESOLVED by the Board of ",(inputPrYr!D2)," of ",(inputPrYr!D3),", Kansas that is our desire to notify the public of increased property taxes to finance the ",inputPrYr!D5," ",(inputPrYr!D2),"  budget as defined above.")</f>
        <v>NOW, THEREFORE, BE IT RESOLVED by the Board of Lincoln Township of Russell County, Kansas that is our desire to notify the public of increased property taxes to finance the 2014 Lincoln Township  budget as defined above.</v>
      </c>
      <c r="B26" s="837"/>
      <c r="C26" s="837"/>
      <c r="D26" s="837"/>
      <c r="E26" s="837"/>
      <c r="F26" s="837"/>
      <c r="G26" s="837"/>
    </row>
    <row r="27" spans="1:7" ht="15">
      <c r="A27" s="837"/>
      <c r="B27" s="837"/>
      <c r="C27" s="837"/>
      <c r="D27" s="837"/>
      <c r="E27" s="837"/>
      <c r="F27" s="837"/>
      <c r="G27" s="837"/>
    </row>
    <row r="28" spans="1:7" ht="15">
      <c r="A28" s="837"/>
      <c r="B28" s="837"/>
      <c r="C28" s="837"/>
      <c r="D28" s="837"/>
      <c r="E28" s="837"/>
      <c r="F28" s="837"/>
      <c r="G28" s="837"/>
    </row>
    <row r="29" ht="15">
      <c r="A29" s="4"/>
    </row>
    <row r="30" spans="1:7" ht="15">
      <c r="A30" s="839" t="str">
        <f>CONCATENATE("Adopted this _________ day of ___________, ",inputPrYr!D5-1," by the ",(inputPrYr!D2)," Board, ",(inputPrYr!D3),", Kansas.")</f>
        <v>Adopted this _________ day of ___________, 2013 by the Lincoln Township Board, Russell County, Kansas.</v>
      </c>
      <c r="B30" s="837"/>
      <c r="C30" s="837"/>
      <c r="D30" s="837"/>
      <c r="E30" s="837"/>
      <c r="F30" s="837"/>
      <c r="G30" s="837"/>
    </row>
    <row r="31" spans="1:7" ht="15">
      <c r="A31" s="837"/>
      <c r="B31" s="837"/>
      <c r="C31" s="837"/>
      <c r="D31" s="837"/>
      <c r="E31" s="837"/>
      <c r="F31" s="837"/>
      <c r="G31" s="837"/>
    </row>
    <row r="32" ht="15">
      <c r="A32" s="4"/>
    </row>
    <row r="33" spans="4:7" ht="15">
      <c r="D33" s="838" t="str">
        <f>CONCATENATE((inputPrYr!D2)," Board")</f>
        <v>Lincoln Township Board</v>
      </c>
      <c r="E33" s="838"/>
      <c r="F33" s="838"/>
      <c r="G33" s="838"/>
    </row>
    <row r="35" spans="4:7" ht="15">
      <c r="D35" s="835" t="s">
        <v>134</v>
      </c>
      <c r="E35" s="835"/>
      <c r="F35" s="835"/>
      <c r="G35" s="835"/>
    </row>
    <row r="36" spans="1:7" ht="15">
      <c r="A36" s="5"/>
      <c r="D36" s="835" t="s">
        <v>138</v>
      </c>
      <c r="E36" s="835"/>
      <c r="F36" s="835"/>
      <c r="G36" s="835"/>
    </row>
    <row r="37" spans="4:7" ht="15">
      <c r="D37" s="835"/>
      <c r="E37" s="835"/>
      <c r="F37" s="835"/>
      <c r="G37" s="835"/>
    </row>
    <row r="38" spans="4:7" ht="15">
      <c r="D38" s="835" t="s">
        <v>134</v>
      </c>
      <c r="E38" s="835"/>
      <c r="F38" s="835"/>
      <c r="G38" s="835"/>
    </row>
    <row r="39" spans="1:7" ht="15">
      <c r="A39" s="4"/>
      <c r="D39" s="835" t="s">
        <v>139</v>
      </c>
      <c r="E39" s="835"/>
      <c r="F39" s="835"/>
      <c r="G39" s="835"/>
    </row>
    <row r="40" spans="4:7" ht="15">
      <c r="D40" s="835"/>
      <c r="E40" s="835"/>
      <c r="F40" s="835"/>
      <c r="G40" s="835"/>
    </row>
    <row r="41" spans="4:7" ht="15">
      <c r="D41" s="835" t="s">
        <v>137</v>
      </c>
      <c r="E41" s="835"/>
      <c r="F41" s="835"/>
      <c r="G41" s="835"/>
    </row>
    <row r="42" spans="1:7" ht="15">
      <c r="A42" s="4"/>
      <c r="D42" s="835" t="s">
        <v>140</v>
      </c>
      <c r="E42" s="835"/>
      <c r="F42" s="835"/>
      <c r="G42" s="835"/>
    </row>
    <row r="43" ht="15">
      <c r="A43" s="6"/>
    </row>
    <row r="44" ht="15">
      <c r="A44" s="6"/>
    </row>
    <row r="45" ht="15">
      <c r="A45" s="6" t="s">
        <v>135</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9"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0">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941</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111600</v>
      </c>
      <c r="E16" s="187">
        <v>95101</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95101</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111600</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10.013</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10.013</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93404</v>
      </c>
    </row>
    <row r="55" spans="1:5" ht="15">
      <c r="A55" s="327" t="str">
        <f>CONCATENATE("Assessed Valuation (",D5-2," budget column)")</f>
        <v>Assessed Valuation (2012 budget column)</v>
      </c>
      <c r="B55" s="328"/>
      <c r="C55" s="267"/>
      <c r="D55" s="28"/>
      <c r="E55" s="187">
        <v>9328294</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Lincoln Township</v>
      </c>
      <c r="C1" s="167"/>
      <c r="D1" s="167"/>
      <c r="E1" s="167"/>
      <c r="F1" s="167"/>
      <c r="G1" s="167"/>
      <c r="H1" s="167"/>
      <c r="I1" s="167"/>
      <c r="J1" s="14"/>
      <c r="K1" s="14"/>
      <c r="L1" s="15">
        <f>inputPrYr!D5</f>
        <v>2014</v>
      </c>
    </row>
    <row r="2" spans="2:12" ht="15">
      <c r="B2" s="166" t="str">
        <f>inputPrYr!$D$3</f>
        <v>Russell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845" t="s">
        <v>73</v>
      </c>
      <c r="C18" s="765"/>
      <c r="D18" s="765"/>
      <c r="E18" s="765"/>
      <c r="F18" s="765"/>
      <c r="G18" s="765"/>
      <c r="H18" s="765"/>
      <c r="I18" s="76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2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381</v>
      </c>
      <c r="B3" s="352"/>
      <c r="C3" s="352"/>
      <c r="D3" s="352"/>
      <c r="E3" s="352"/>
      <c r="F3" s="352"/>
      <c r="G3" s="352"/>
      <c r="H3" s="352"/>
      <c r="I3" s="352"/>
      <c r="J3" s="352"/>
      <c r="K3" s="352"/>
      <c r="L3" s="352"/>
    </row>
    <row r="5" ht="15">
      <c r="A5" s="351" t="s">
        <v>382</v>
      </c>
    </row>
    <row r="6" ht="15">
      <c r="A6" s="351" t="str">
        <f>CONCATENATE(inputPrYr!D5-2," 'total expenditures' exceed your ",inputPrYr!D5-2," 'budget authority.'")</f>
        <v>2012 'total expenditures' exceed your 2012 'budget authority.'</v>
      </c>
    </row>
    <row r="7" ht="15">
      <c r="A7" s="351"/>
    </row>
    <row r="8" ht="15">
      <c r="A8" s="351" t="s">
        <v>383</v>
      </c>
    </row>
    <row r="9" ht="15">
      <c r="A9" s="351" t="s">
        <v>384</v>
      </c>
    </row>
    <row r="10" ht="15">
      <c r="A10" s="351" t="s">
        <v>385</v>
      </c>
    </row>
    <row r="11" ht="15">
      <c r="A11" s="351"/>
    </row>
    <row r="12" ht="15">
      <c r="A12" s="351"/>
    </row>
    <row r="13" ht="15">
      <c r="A13" s="350" t="s">
        <v>386</v>
      </c>
    </row>
    <row r="15" ht="15">
      <c r="A15" s="351" t="s">
        <v>387</v>
      </c>
    </row>
    <row r="16" ht="15">
      <c r="A16" s="351" t="str">
        <f>CONCATENATE("(i.e. an audit has not been completed, or the ",inputPrYr!D5," adopted")</f>
        <v>(i.e. an audit has not been completed, or the 2014 adopted</v>
      </c>
    </row>
    <row r="17" ht="15">
      <c r="A17" s="351" t="s">
        <v>388</v>
      </c>
    </row>
    <row r="18" ht="15">
      <c r="A18" s="351" t="s">
        <v>389</v>
      </c>
    </row>
    <row r="19" ht="15">
      <c r="A19" s="351" t="s">
        <v>390</v>
      </c>
    </row>
    <row r="21" ht="15">
      <c r="A21" s="350" t="s">
        <v>391</v>
      </c>
    </row>
    <row r="22" ht="15">
      <c r="A22" s="350"/>
    </row>
    <row r="23" ht="15">
      <c r="A23" s="351" t="s">
        <v>392</v>
      </c>
    </row>
    <row r="24" ht="15">
      <c r="A24" s="351" t="s">
        <v>393</v>
      </c>
    </row>
    <row r="25" ht="15">
      <c r="A25" s="351" t="str">
        <f>CONCATENATE("particular fund.  If your ",inputPrYr!D5-2," budget was amended, did you")</f>
        <v>particular fund.  If your 2012 budget was amended, did you</v>
      </c>
    </row>
    <row r="26" ht="15">
      <c r="A26" s="351" t="s">
        <v>394</v>
      </c>
    </row>
    <row r="27" ht="15">
      <c r="A27" s="351"/>
    </row>
    <row r="28" ht="15">
      <c r="A28" s="351" t="str">
        <f>CONCATENATE("Next, look to see if any of your ",inputPrYr!D5-2," expenditures can be")</f>
        <v>Next, look to see if any of your 2012 expenditures can be</v>
      </c>
    </row>
    <row r="29" ht="15">
      <c r="A29" s="351" t="s">
        <v>395</v>
      </c>
    </row>
    <row r="30" ht="15">
      <c r="A30" s="351" t="s">
        <v>396</v>
      </c>
    </row>
    <row r="31" ht="15">
      <c r="A31" s="351" t="s">
        <v>397</v>
      </c>
    </row>
    <row r="32" ht="15">
      <c r="A32" s="351"/>
    </row>
    <row r="33" ht="15">
      <c r="A33" s="351" t="str">
        <f>CONCATENATE("Additionally, do your ",inputPrYr!D5-2," receipts contain a reimbursement")</f>
        <v>Additionally, do your 2012 receipts contain a reimbursement</v>
      </c>
    </row>
    <row r="34" ht="15">
      <c r="A34" s="351" t="s">
        <v>398</v>
      </c>
    </row>
    <row r="35" ht="15">
      <c r="A35" s="351" t="s">
        <v>399</v>
      </c>
    </row>
    <row r="36" ht="15">
      <c r="A36" s="351"/>
    </row>
    <row r="37" ht="15">
      <c r="A37" s="351" t="s">
        <v>400</v>
      </c>
    </row>
    <row r="38" ht="15">
      <c r="A38" s="351" t="s">
        <v>586</v>
      </c>
    </row>
    <row r="39" ht="15">
      <c r="A39" s="351" t="s">
        <v>587</v>
      </c>
    </row>
    <row r="40" ht="15">
      <c r="A40" s="351" t="s">
        <v>401</v>
      </c>
    </row>
    <row r="41" ht="15">
      <c r="A41" s="351" t="s">
        <v>402</v>
      </c>
    </row>
    <row r="42" ht="15">
      <c r="A42" s="351" t="s">
        <v>403</v>
      </c>
    </row>
    <row r="43" ht="15">
      <c r="A43" s="351" t="s">
        <v>404</v>
      </c>
    </row>
    <row r="44" ht="15">
      <c r="A44" s="351" t="s">
        <v>405</v>
      </c>
    </row>
    <row r="45" ht="15">
      <c r="A45" s="351"/>
    </row>
    <row r="46" ht="15">
      <c r="A46" s="351" t="s">
        <v>406</v>
      </c>
    </row>
    <row r="47" ht="15">
      <c r="A47" s="351" t="s">
        <v>407</v>
      </c>
    </row>
    <row r="48" ht="15">
      <c r="A48" s="351" t="s">
        <v>408</v>
      </c>
    </row>
    <row r="49" ht="15">
      <c r="A49" s="351"/>
    </row>
    <row r="50" ht="15">
      <c r="A50" s="351" t="s">
        <v>409</v>
      </c>
    </row>
    <row r="51" ht="15">
      <c r="A51" s="351" t="s">
        <v>410</v>
      </c>
    </row>
    <row r="52" ht="15">
      <c r="A52" s="351" t="s">
        <v>411</v>
      </c>
    </row>
    <row r="53" ht="15">
      <c r="A53" s="351"/>
    </row>
    <row r="54" ht="15">
      <c r="A54" s="350" t="s">
        <v>412</v>
      </c>
    </row>
    <row r="55" ht="15">
      <c r="A55" s="351"/>
    </row>
    <row r="56" ht="15">
      <c r="A56" s="351" t="s">
        <v>413</v>
      </c>
    </row>
    <row r="57" ht="15">
      <c r="A57" s="351" t="s">
        <v>414</v>
      </c>
    </row>
    <row r="58" ht="15">
      <c r="A58" s="351" t="s">
        <v>415</v>
      </c>
    </row>
    <row r="59" ht="15">
      <c r="A59" s="351" t="s">
        <v>416</v>
      </c>
    </row>
    <row r="60" ht="15">
      <c r="A60" s="351" t="s">
        <v>417</v>
      </c>
    </row>
    <row r="61" ht="15">
      <c r="A61" s="351" t="s">
        <v>418</v>
      </c>
    </row>
    <row r="62" ht="15">
      <c r="A62" s="351" t="s">
        <v>419</v>
      </c>
    </row>
    <row r="63" ht="15">
      <c r="A63" s="351" t="s">
        <v>420</v>
      </c>
    </row>
    <row r="64" ht="15">
      <c r="A64" s="351" t="s">
        <v>421</v>
      </c>
    </row>
    <row r="65" ht="15">
      <c r="A65" s="351" t="s">
        <v>422</v>
      </c>
    </row>
    <row r="66" ht="15">
      <c r="A66" s="351" t="s">
        <v>423</v>
      </c>
    </row>
    <row r="67" ht="15">
      <c r="A67" s="351" t="s">
        <v>424</v>
      </c>
    </row>
    <row r="68" ht="15">
      <c r="A68" s="351" t="s">
        <v>425</v>
      </c>
    </row>
    <row r="69" ht="15">
      <c r="A69" s="351"/>
    </row>
    <row r="70" ht="15">
      <c r="A70" s="351" t="s">
        <v>426</v>
      </c>
    </row>
    <row r="71" ht="15">
      <c r="A71" s="351" t="s">
        <v>427</v>
      </c>
    </row>
    <row r="72" ht="15">
      <c r="A72" s="351" t="s">
        <v>428</v>
      </c>
    </row>
    <row r="73" ht="15">
      <c r="A73" s="351"/>
    </row>
    <row r="74" ht="15">
      <c r="A74" s="350" t="str">
        <f>CONCATENATE("What if the ",inputPrYr!D5-2," financial records have been closed?")</f>
        <v>What if the 2012 financial records have been closed?</v>
      </c>
    </row>
    <row r="76" ht="15">
      <c r="A76" s="351" t="s">
        <v>429</v>
      </c>
    </row>
    <row r="77" ht="15">
      <c r="A77" s="351" t="str">
        <f>CONCATENATE("(i.e. an audit for ",inputPrYr!D5-2," has been completed, or the ",inputPrYr!D5)</f>
        <v>(i.e. an audit for 2012 has been completed, or the 2014</v>
      </c>
    </row>
    <row r="78" ht="15">
      <c r="A78" s="351" t="s">
        <v>430</v>
      </c>
    </row>
    <row r="79" ht="15">
      <c r="A79" s="351" t="s">
        <v>431</v>
      </c>
    </row>
    <row r="80" ht="15">
      <c r="A80" s="351"/>
    </row>
    <row r="81" ht="15">
      <c r="A81" s="351" t="s">
        <v>432</v>
      </c>
    </row>
    <row r="82" ht="15">
      <c r="A82" s="351" t="s">
        <v>433</v>
      </c>
    </row>
    <row r="83" ht="15">
      <c r="A83" s="351" t="s">
        <v>434</v>
      </c>
    </row>
    <row r="84" ht="15">
      <c r="A84" s="351"/>
    </row>
    <row r="85" ht="15">
      <c r="A85" s="351" t="s">
        <v>435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436</v>
      </c>
      <c r="B3" s="352"/>
      <c r="C3" s="352"/>
      <c r="D3" s="352"/>
      <c r="E3" s="352"/>
      <c r="F3" s="352"/>
      <c r="G3" s="352"/>
      <c r="H3" s="349"/>
      <c r="I3" s="349"/>
      <c r="J3" s="349"/>
    </row>
    <row r="5" ht="15">
      <c r="A5" s="351" t="s">
        <v>437</v>
      </c>
    </row>
    <row r="6" ht="15">
      <c r="A6" t="str">
        <f>CONCATENATE(inputPrYr!D5-2," expenditures show that you finished the year with a ")</f>
        <v>2012 expenditures show that you finished the year with a </v>
      </c>
    </row>
    <row r="7" ht="15">
      <c r="A7" t="s">
        <v>438</v>
      </c>
    </row>
    <row r="9" ht="15">
      <c r="A9" t="s">
        <v>439</v>
      </c>
    </row>
    <row r="10" ht="15">
      <c r="A10" t="s">
        <v>440</v>
      </c>
    </row>
    <row r="11" ht="15">
      <c r="A11" t="s">
        <v>441</v>
      </c>
    </row>
    <row r="13" ht="15">
      <c r="A13" s="350" t="s">
        <v>442</v>
      </c>
    </row>
    <row r="14" ht="15">
      <c r="A14" s="350"/>
    </row>
    <row r="15" ht="15">
      <c r="A15" s="351" t="s">
        <v>443</v>
      </c>
    </row>
    <row r="16" ht="15">
      <c r="A16" s="351" t="s">
        <v>444</v>
      </c>
    </row>
    <row r="17" ht="15">
      <c r="A17" s="351" t="s">
        <v>445</v>
      </c>
    </row>
    <row r="18" ht="15">
      <c r="A18" s="351"/>
    </row>
    <row r="19" ht="15">
      <c r="A19" s="350" t="s">
        <v>446</v>
      </c>
    </row>
    <row r="20" ht="15">
      <c r="A20" s="350"/>
    </row>
    <row r="21" ht="15">
      <c r="A21" s="351" t="s">
        <v>447</v>
      </c>
    </row>
    <row r="22" ht="15">
      <c r="A22" s="351" t="s">
        <v>448</v>
      </c>
    </row>
    <row r="23" ht="15">
      <c r="A23" s="351" t="s">
        <v>449</v>
      </c>
    </row>
    <row r="24" ht="15">
      <c r="A24" s="351"/>
    </row>
    <row r="25" ht="15">
      <c r="A25" s="350" t="s">
        <v>450</v>
      </c>
    </row>
    <row r="26" ht="15">
      <c r="A26" s="350"/>
    </row>
    <row r="27" ht="15">
      <c r="A27" s="351" t="s">
        <v>451</v>
      </c>
    </row>
    <row r="28" ht="15">
      <c r="A28" s="351" t="s">
        <v>452</v>
      </c>
    </row>
    <row r="29" ht="15">
      <c r="A29" s="351" t="s">
        <v>453</v>
      </c>
    </row>
    <row r="30" ht="15">
      <c r="A30" s="351"/>
    </row>
    <row r="31" ht="15">
      <c r="A31" s="350" t="s">
        <v>454</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455</v>
      </c>
      <c r="B35" s="351"/>
      <c r="C35" s="351"/>
      <c r="D35" s="351"/>
      <c r="E35" s="351"/>
      <c r="F35" s="351"/>
      <c r="G35" s="351"/>
      <c r="H35" s="351"/>
    </row>
    <row r="36" spans="1:8" ht="15">
      <c r="A36" s="351" t="s">
        <v>456</v>
      </c>
      <c r="B36" s="351"/>
      <c r="C36" s="351"/>
      <c r="D36" s="351"/>
      <c r="E36" s="351"/>
      <c r="F36" s="351"/>
      <c r="G36" s="351"/>
      <c r="H36" s="351"/>
    </row>
    <row r="37" spans="1:8" ht="15">
      <c r="A37" s="351" t="s">
        <v>457</v>
      </c>
      <c r="B37" s="351"/>
      <c r="C37" s="351"/>
      <c r="D37" s="351"/>
      <c r="E37" s="351"/>
      <c r="F37" s="351"/>
      <c r="G37" s="351"/>
      <c r="H37" s="351"/>
    </row>
    <row r="38" spans="1:8" ht="15">
      <c r="A38" s="351" t="s">
        <v>458</v>
      </c>
      <c r="B38" s="351"/>
      <c r="C38" s="351"/>
      <c r="D38" s="351"/>
      <c r="E38" s="351"/>
      <c r="F38" s="351"/>
      <c r="G38" s="351"/>
      <c r="H38" s="351"/>
    </row>
    <row r="39" spans="1:8" ht="15">
      <c r="A39" s="351" t="s">
        <v>459</v>
      </c>
      <c r="B39" s="351"/>
      <c r="C39" s="351"/>
      <c r="D39" s="351"/>
      <c r="E39" s="351"/>
      <c r="F39" s="351"/>
      <c r="G39" s="351"/>
      <c r="H39" s="351"/>
    </row>
    <row r="40" spans="1:8" ht="15">
      <c r="A40" s="351"/>
      <c r="B40" s="351"/>
      <c r="C40" s="351"/>
      <c r="D40" s="351"/>
      <c r="E40" s="351"/>
      <c r="F40" s="351"/>
      <c r="G40" s="351"/>
      <c r="H40" s="351"/>
    </row>
    <row r="41" spans="1:8" ht="15">
      <c r="A41" s="351" t="s">
        <v>460</v>
      </c>
      <c r="B41" s="351"/>
      <c r="C41" s="351"/>
      <c r="D41" s="351"/>
      <c r="E41" s="351"/>
      <c r="F41" s="351"/>
      <c r="G41" s="351"/>
      <c r="H41" s="351"/>
    </row>
    <row r="42" spans="1:8" ht="15">
      <c r="A42" s="351" t="s">
        <v>461</v>
      </c>
      <c r="B42" s="351"/>
      <c r="C42" s="351"/>
      <c r="D42" s="351"/>
      <c r="E42" s="351"/>
      <c r="F42" s="351"/>
      <c r="G42" s="351"/>
      <c r="H42" s="351"/>
    </row>
    <row r="43" spans="1:8" ht="15">
      <c r="A43" s="351" t="s">
        <v>462</v>
      </c>
      <c r="B43" s="351"/>
      <c r="C43" s="351"/>
      <c r="D43" s="351"/>
      <c r="E43" s="351"/>
      <c r="F43" s="351"/>
      <c r="G43" s="351"/>
      <c r="H43" s="351"/>
    </row>
    <row r="44" spans="1:8" ht="15">
      <c r="A44" s="351" t="s">
        <v>463</v>
      </c>
      <c r="B44" s="351"/>
      <c r="C44" s="351"/>
      <c r="D44" s="351"/>
      <c r="E44" s="351"/>
      <c r="F44" s="351"/>
      <c r="G44" s="351"/>
      <c r="H44" s="351"/>
    </row>
    <row r="45" spans="1:8" ht="15">
      <c r="A45" s="351"/>
      <c r="B45" s="351"/>
      <c r="C45" s="351"/>
      <c r="D45" s="351"/>
      <c r="E45" s="351"/>
      <c r="F45" s="351"/>
      <c r="G45" s="351"/>
      <c r="H45" s="351"/>
    </row>
    <row r="46" spans="1:8" ht="15">
      <c r="A46" s="351" t="s">
        <v>464</v>
      </c>
      <c r="B46" s="351"/>
      <c r="C46" s="351"/>
      <c r="D46" s="351"/>
      <c r="E46" s="351"/>
      <c r="F46" s="351"/>
      <c r="G46" s="351"/>
      <c r="H46" s="351"/>
    </row>
    <row r="47" spans="1:8" ht="15">
      <c r="A47" s="351" t="s">
        <v>465</v>
      </c>
      <c r="B47" s="351"/>
      <c r="C47" s="351"/>
      <c r="D47" s="351"/>
      <c r="E47" s="351"/>
      <c r="F47" s="351"/>
      <c r="G47" s="351"/>
      <c r="H47" s="351"/>
    </row>
    <row r="48" spans="1:8" ht="15">
      <c r="A48" s="351" t="s">
        <v>466</v>
      </c>
      <c r="B48" s="351"/>
      <c r="C48" s="351"/>
      <c r="D48" s="351"/>
      <c r="E48" s="351"/>
      <c r="F48" s="351"/>
      <c r="G48" s="351"/>
      <c r="H48" s="351"/>
    </row>
    <row r="49" spans="1:8" ht="15">
      <c r="A49" s="351" t="s">
        <v>467</v>
      </c>
      <c r="B49" s="351"/>
      <c r="C49" s="351"/>
      <c r="D49" s="351"/>
      <c r="E49" s="351"/>
      <c r="F49" s="351"/>
      <c r="G49" s="351"/>
      <c r="H49" s="351"/>
    </row>
    <row r="50" spans="1:8" ht="15">
      <c r="A50" s="351" t="s">
        <v>468</v>
      </c>
      <c r="B50" s="351"/>
      <c r="C50" s="351"/>
      <c r="D50" s="351"/>
      <c r="E50" s="351"/>
      <c r="F50" s="351"/>
      <c r="G50" s="351"/>
      <c r="H50" s="351"/>
    </row>
    <row r="51" spans="1:8" ht="15">
      <c r="A51" s="351"/>
      <c r="B51" s="351"/>
      <c r="C51" s="351"/>
      <c r="D51" s="351"/>
      <c r="E51" s="351"/>
      <c r="F51" s="351"/>
      <c r="G51" s="351"/>
      <c r="H51" s="351"/>
    </row>
    <row r="52" spans="1:8" ht="15">
      <c r="A52" s="350" t="s">
        <v>469</v>
      </c>
      <c r="B52" s="350"/>
      <c r="C52" s="350"/>
      <c r="D52" s="350"/>
      <c r="E52" s="350"/>
      <c r="F52" s="350"/>
      <c r="G52" s="350"/>
      <c r="H52" s="351"/>
    </row>
    <row r="53" spans="1:8" ht="15">
      <c r="A53" s="350" t="s">
        <v>470</v>
      </c>
      <c r="B53" s="350"/>
      <c r="C53" s="350"/>
      <c r="D53" s="350"/>
      <c r="E53" s="350"/>
      <c r="F53" s="350"/>
      <c r="G53" s="350"/>
      <c r="H53" s="351"/>
    </row>
    <row r="54" spans="1:8" ht="15">
      <c r="A54" s="351"/>
      <c r="B54" s="351"/>
      <c r="C54" s="351"/>
      <c r="D54" s="351"/>
      <c r="E54" s="351"/>
      <c r="F54" s="351"/>
      <c r="G54" s="351"/>
      <c r="H54" s="351"/>
    </row>
    <row r="55" spans="1:8" ht="15">
      <c r="A55" s="351" t="s">
        <v>471</v>
      </c>
      <c r="B55" s="351"/>
      <c r="C55" s="351"/>
      <c r="D55" s="351"/>
      <c r="E55" s="351"/>
      <c r="F55" s="351"/>
      <c r="G55" s="351"/>
      <c r="H55" s="351"/>
    </row>
    <row r="56" spans="1:8" ht="15">
      <c r="A56" s="351" t="s">
        <v>472</v>
      </c>
      <c r="B56" s="351"/>
      <c r="C56" s="351"/>
      <c r="D56" s="351"/>
      <c r="E56" s="351"/>
      <c r="F56" s="351"/>
      <c r="G56" s="351"/>
      <c r="H56" s="351"/>
    </row>
    <row r="57" spans="1:8" ht="15">
      <c r="A57" s="351" t="s">
        <v>473</v>
      </c>
      <c r="B57" s="351"/>
      <c r="C57" s="351"/>
      <c r="D57" s="351"/>
      <c r="E57" s="351"/>
      <c r="F57" s="351"/>
      <c r="G57" s="351"/>
      <c r="H57" s="351"/>
    </row>
    <row r="58" spans="1:8" ht="15">
      <c r="A58" s="351" t="s">
        <v>474</v>
      </c>
      <c r="B58" s="351"/>
      <c r="C58" s="351"/>
      <c r="D58" s="351"/>
      <c r="E58" s="351"/>
      <c r="F58" s="351"/>
      <c r="G58" s="351"/>
      <c r="H58" s="351"/>
    </row>
    <row r="59" spans="1:8" ht="15">
      <c r="A59" s="351"/>
      <c r="B59" s="351"/>
      <c r="C59" s="351"/>
      <c r="D59" s="351"/>
      <c r="E59" s="351"/>
      <c r="F59" s="351"/>
      <c r="G59" s="351"/>
      <c r="H59" s="351"/>
    </row>
    <row r="60" spans="1:8" ht="15">
      <c r="A60" s="351" t="s">
        <v>475</v>
      </c>
      <c r="B60" s="351"/>
      <c r="C60" s="351"/>
      <c r="D60" s="351"/>
      <c r="E60" s="351"/>
      <c r="F60" s="351"/>
      <c r="G60" s="351"/>
      <c r="H60" s="351"/>
    </row>
    <row r="61" spans="1:8" ht="15">
      <c r="A61" s="351" t="s">
        <v>476</v>
      </c>
      <c r="B61" s="351"/>
      <c r="C61" s="351"/>
      <c r="D61" s="351"/>
      <c r="E61" s="351"/>
      <c r="F61" s="351"/>
      <c r="G61" s="351"/>
      <c r="H61" s="351"/>
    </row>
    <row r="62" spans="1:8" ht="15">
      <c r="A62" s="351" t="s">
        <v>477</v>
      </c>
      <c r="B62" s="351"/>
      <c r="C62" s="351"/>
      <c r="D62" s="351"/>
      <c r="E62" s="351"/>
      <c r="F62" s="351"/>
      <c r="G62" s="351"/>
      <c r="H62" s="351"/>
    </row>
    <row r="63" spans="1:8" ht="15">
      <c r="A63" s="351" t="s">
        <v>478</v>
      </c>
      <c r="B63" s="351"/>
      <c r="C63" s="351"/>
      <c r="D63" s="351"/>
      <c r="E63" s="351"/>
      <c r="F63" s="351"/>
      <c r="G63" s="351"/>
      <c r="H63" s="351"/>
    </row>
    <row r="64" spans="1:8" ht="15">
      <c r="A64" s="351" t="s">
        <v>479</v>
      </c>
      <c r="B64" s="351"/>
      <c r="C64" s="351"/>
      <c r="D64" s="351"/>
      <c r="E64" s="351"/>
      <c r="F64" s="351"/>
      <c r="G64" s="351"/>
      <c r="H64" s="351"/>
    </row>
    <row r="65" spans="1:8" ht="15">
      <c r="A65" s="351" t="s">
        <v>480</v>
      </c>
      <c r="B65" s="351"/>
      <c r="C65" s="351"/>
      <c r="D65" s="351"/>
      <c r="E65" s="351"/>
      <c r="F65" s="351"/>
      <c r="G65" s="351"/>
      <c r="H65" s="351"/>
    </row>
    <row r="66" spans="1:8" ht="15">
      <c r="A66" s="351"/>
      <c r="B66" s="351"/>
      <c r="C66" s="351"/>
      <c r="D66" s="351"/>
      <c r="E66" s="351"/>
      <c r="F66" s="351"/>
      <c r="G66" s="351"/>
      <c r="H66" s="351"/>
    </row>
    <row r="67" spans="1:8" ht="15">
      <c r="A67" s="351" t="s">
        <v>481</v>
      </c>
      <c r="B67" s="351"/>
      <c r="C67" s="351"/>
      <c r="D67" s="351"/>
      <c r="E67" s="351"/>
      <c r="F67" s="351"/>
      <c r="G67" s="351"/>
      <c r="H67" s="351"/>
    </row>
    <row r="68" spans="1:8" ht="15">
      <c r="A68" s="351" t="s">
        <v>482</v>
      </c>
      <c r="B68" s="351"/>
      <c r="C68" s="351"/>
      <c r="D68" s="351"/>
      <c r="E68" s="351"/>
      <c r="F68" s="351"/>
      <c r="G68" s="351"/>
      <c r="H68" s="351"/>
    </row>
    <row r="69" spans="1:8" ht="15">
      <c r="A69" s="351" t="s">
        <v>483</v>
      </c>
      <c r="B69" s="351"/>
      <c r="C69" s="351"/>
      <c r="D69" s="351"/>
      <c r="E69" s="351"/>
      <c r="F69" s="351"/>
      <c r="G69" s="351"/>
      <c r="H69" s="351"/>
    </row>
    <row r="70" spans="1:8" ht="15">
      <c r="A70" s="351" t="s">
        <v>484</v>
      </c>
      <c r="B70" s="351"/>
      <c r="C70" s="351"/>
      <c r="D70" s="351"/>
      <c r="E70" s="351"/>
      <c r="F70" s="351"/>
      <c r="G70" s="351"/>
      <c r="H70" s="351"/>
    </row>
    <row r="71" spans="1:8" ht="15">
      <c r="A71" s="351" t="s">
        <v>485</v>
      </c>
      <c r="B71" s="351"/>
      <c r="C71" s="351"/>
      <c r="D71" s="351"/>
      <c r="E71" s="351"/>
      <c r="F71" s="351"/>
      <c r="G71" s="351"/>
      <c r="H71" s="351"/>
    </row>
    <row r="72" spans="1:8" ht="15">
      <c r="A72" s="351" t="s">
        <v>486</v>
      </c>
      <c r="B72" s="351"/>
      <c r="C72" s="351"/>
      <c r="D72" s="351"/>
      <c r="E72" s="351"/>
      <c r="F72" s="351"/>
      <c r="G72" s="351"/>
      <c r="H72" s="351"/>
    </row>
    <row r="73" spans="1:8" ht="15">
      <c r="A73" s="351" t="s">
        <v>487</v>
      </c>
      <c r="B73" s="351"/>
      <c r="C73" s="351"/>
      <c r="D73" s="351"/>
      <c r="E73" s="351"/>
      <c r="F73" s="351"/>
      <c r="G73" s="351"/>
      <c r="H73" s="351"/>
    </row>
    <row r="74" spans="1:8" ht="15">
      <c r="A74" s="351"/>
      <c r="B74" s="351"/>
      <c r="C74" s="351"/>
      <c r="D74" s="351"/>
      <c r="E74" s="351"/>
      <c r="F74" s="351"/>
      <c r="G74" s="351"/>
      <c r="H74" s="351"/>
    </row>
    <row r="75" spans="1:8" ht="15">
      <c r="A75" s="351" t="s">
        <v>488</v>
      </c>
      <c r="B75" s="351"/>
      <c r="C75" s="351"/>
      <c r="D75" s="351"/>
      <c r="E75" s="351"/>
      <c r="F75" s="351"/>
      <c r="G75" s="351"/>
      <c r="H75" s="351"/>
    </row>
    <row r="76" spans="1:8" ht="15">
      <c r="A76" s="351" t="s">
        <v>489</v>
      </c>
      <c r="B76" s="351"/>
      <c r="C76" s="351"/>
      <c r="D76" s="351"/>
      <c r="E76" s="351"/>
      <c r="F76" s="351"/>
      <c r="G76" s="351"/>
      <c r="H76" s="351"/>
    </row>
    <row r="77" spans="1:8" ht="15">
      <c r="A77" s="351" t="s">
        <v>490</v>
      </c>
      <c r="B77" s="351"/>
      <c r="C77" s="351"/>
      <c r="D77" s="351"/>
      <c r="E77" s="351"/>
      <c r="F77" s="351"/>
      <c r="G77" s="351"/>
      <c r="H77" s="351"/>
    </row>
    <row r="78" spans="1:8" ht="15">
      <c r="A78" s="351"/>
      <c r="B78" s="351"/>
      <c r="C78" s="351"/>
      <c r="D78" s="351"/>
      <c r="E78" s="351"/>
      <c r="F78" s="351"/>
      <c r="G78" s="351"/>
      <c r="H78" s="351"/>
    </row>
    <row r="79" ht="15">
      <c r="A79" s="351" t="s">
        <v>435</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491</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382</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492</v>
      </c>
      <c r="I7" s="352"/>
      <c r="J7" s="352"/>
      <c r="K7" s="352"/>
      <c r="L7" s="352"/>
    </row>
    <row r="8" spans="1:12" ht="15">
      <c r="A8" s="351"/>
      <c r="I8" s="352"/>
      <c r="J8" s="352"/>
      <c r="K8" s="352"/>
      <c r="L8" s="352"/>
    </row>
    <row r="9" spans="1:12" ht="15">
      <c r="A9" s="351" t="s">
        <v>493</v>
      </c>
      <c r="I9" s="352"/>
      <c r="J9" s="352"/>
      <c r="K9" s="352"/>
      <c r="L9" s="352"/>
    </row>
    <row r="10" spans="1:12" ht="15">
      <c r="A10" s="351" t="s">
        <v>494</v>
      </c>
      <c r="I10" s="352"/>
      <c r="J10" s="352"/>
      <c r="K10" s="352"/>
      <c r="L10" s="352"/>
    </row>
    <row r="11" spans="1:12" ht="15">
      <c r="A11" s="351" t="s">
        <v>495</v>
      </c>
      <c r="I11" s="352"/>
      <c r="J11" s="352"/>
      <c r="K11" s="352"/>
      <c r="L11" s="352"/>
    </row>
    <row r="12" spans="1:12" ht="15">
      <c r="A12" s="351" t="s">
        <v>496</v>
      </c>
      <c r="I12" s="352"/>
      <c r="J12" s="352"/>
      <c r="K12" s="352"/>
      <c r="L12" s="352"/>
    </row>
    <row r="13" spans="1:12" ht="15">
      <c r="A13" s="351" t="s">
        <v>497</v>
      </c>
      <c r="I13" s="352"/>
      <c r="J13" s="352"/>
      <c r="K13" s="352"/>
      <c r="L13" s="352"/>
    </row>
    <row r="14" spans="1:12" ht="15">
      <c r="A14" s="352"/>
      <c r="B14" s="352"/>
      <c r="C14" s="352"/>
      <c r="D14" s="352"/>
      <c r="E14" s="352"/>
      <c r="F14" s="352"/>
      <c r="G14" s="352"/>
      <c r="H14" s="352"/>
      <c r="I14" s="352"/>
      <c r="J14" s="352"/>
      <c r="K14" s="352"/>
      <c r="L14" s="352"/>
    </row>
    <row r="15" ht="15">
      <c r="A15" s="350" t="s">
        <v>498</v>
      </c>
    </row>
    <row r="16" ht="15">
      <c r="A16" s="350" t="s">
        <v>499</v>
      </c>
    </row>
    <row r="17" ht="15">
      <c r="A17" s="350"/>
    </row>
    <row r="18" spans="1:7" ht="15">
      <c r="A18" s="351" t="s">
        <v>500</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501</v>
      </c>
      <c r="B20" s="351"/>
      <c r="C20" s="351"/>
      <c r="D20" s="351"/>
      <c r="E20" s="351"/>
      <c r="F20" s="351"/>
      <c r="G20" s="351"/>
    </row>
    <row r="21" spans="1:7" ht="15">
      <c r="A21" s="351" t="s">
        <v>502</v>
      </c>
      <c r="B21" s="351"/>
      <c r="C21" s="351"/>
      <c r="D21" s="351"/>
      <c r="E21" s="351"/>
      <c r="F21" s="351"/>
      <c r="G21" s="351"/>
    </row>
    <row r="22" ht="15">
      <c r="A22" s="351"/>
    </row>
    <row r="23" ht="15">
      <c r="A23" s="350" t="s">
        <v>503</v>
      </c>
    </row>
    <row r="24" ht="15">
      <c r="A24" s="350"/>
    </row>
    <row r="25" ht="15">
      <c r="A25" s="351" t="s">
        <v>504</v>
      </c>
    </row>
    <row r="26" spans="1:6" ht="15">
      <c r="A26" s="351" t="s">
        <v>505</v>
      </c>
      <c r="B26" s="351"/>
      <c r="C26" s="351"/>
      <c r="D26" s="351"/>
      <c r="E26" s="351"/>
      <c r="F26" s="351"/>
    </row>
    <row r="27" spans="1:6" ht="15">
      <c r="A27" s="351" t="s">
        <v>506</v>
      </c>
      <c r="B27" s="351"/>
      <c r="C27" s="351"/>
      <c r="D27" s="351"/>
      <c r="E27" s="351"/>
      <c r="F27" s="351"/>
    </row>
    <row r="28" spans="1:6" ht="15">
      <c r="A28" s="351" t="s">
        <v>507</v>
      </c>
      <c r="B28" s="351"/>
      <c r="C28" s="351"/>
      <c r="D28" s="351"/>
      <c r="E28" s="351"/>
      <c r="F28" s="351"/>
    </row>
    <row r="29" spans="1:6" ht="15">
      <c r="A29" s="351"/>
      <c r="B29" s="351"/>
      <c r="C29" s="351"/>
      <c r="D29" s="351"/>
      <c r="E29" s="351"/>
      <c r="F29" s="351"/>
    </row>
    <row r="30" spans="1:7" ht="15">
      <c r="A30" s="350" t="s">
        <v>508</v>
      </c>
      <c r="B30" s="350"/>
      <c r="C30" s="350"/>
      <c r="D30" s="350"/>
      <c r="E30" s="350"/>
      <c r="F30" s="350"/>
      <c r="G30" s="350"/>
    </row>
    <row r="31" spans="1:7" ht="15">
      <c r="A31" s="350" t="s">
        <v>509</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510</v>
      </c>
      <c r="B34" s="351"/>
      <c r="C34" s="351"/>
      <c r="D34" s="351"/>
      <c r="E34" s="351"/>
      <c r="F34" s="351"/>
    </row>
    <row r="35" spans="1:6" ht="15">
      <c r="A35" s="363" t="s">
        <v>396</v>
      </c>
      <c r="B35" s="351"/>
      <c r="C35" s="351"/>
      <c r="D35" s="351"/>
      <c r="E35" s="351"/>
      <c r="F35" s="351"/>
    </row>
    <row r="36" spans="1:6" ht="15">
      <c r="A36" s="363" t="s">
        <v>397</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398</v>
      </c>
      <c r="B39" s="351"/>
      <c r="C39" s="351"/>
      <c r="D39" s="351"/>
      <c r="E39" s="351"/>
      <c r="F39" s="351"/>
    </row>
    <row r="40" spans="1:6" ht="15">
      <c r="A40" s="363" t="s">
        <v>399</v>
      </c>
      <c r="B40" s="351"/>
      <c r="C40" s="351"/>
      <c r="D40" s="351"/>
      <c r="E40" s="351"/>
      <c r="F40" s="351"/>
    </row>
    <row r="41" spans="1:6" ht="15">
      <c r="A41" s="363"/>
      <c r="B41" s="351"/>
      <c r="C41" s="351"/>
      <c r="D41" s="351"/>
      <c r="E41" s="351"/>
      <c r="F41" s="351"/>
    </row>
    <row r="42" spans="1:6" ht="15">
      <c r="A42" s="363" t="s">
        <v>400</v>
      </c>
      <c r="B42" s="351"/>
      <c r="C42" s="351"/>
      <c r="D42" s="351"/>
      <c r="E42" s="351"/>
      <c r="F42" s="351"/>
    </row>
    <row r="43" spans="1:6" ht="15">
      <c r="A43" s="363" t="s">
        <v>586</v>
      </c>
      <c r="B43" s="351"/>
      <c r="C43" s="351"/>
      <c r="D43" s="351"/>
      <c r="E43" s="351"/>
      <c r="F43" s="351"/>
    </row>
    <row r="44" spans="1:6" ht="15">
      <c r="A44" s="363" t="s">
        <v>587</v>
      </c>
      <c r="B44" s="351"/>
      <c r="C44" s="351"/>
      <c r="D44" s="351"/>
      <c r="E44" s="351"/>
      <c r="F44" s="351"/>
    </row>
    <row r="45" spans="1:6" ht="15">
      <c r="A45" s="363" t="s">
        <v>511</v>
      </c>
      <c r="B45" s="351"/>
      <c r="C45" s="351"/>
      <c r="D45" s="351"/>
      <c r="E45" s="351"/>
      <c r="F45" s="351"/>
    </row>
    <row r="46" spans="1:6" ht="15">
      <c r="A46" s="363" t="s">
        <v>402</v>
      </c>
      <c r="B46" s="351"/>
      <c r="C46" s="351"/>
      <c r="D46" s="351"/>
      <c r="E46" s="351"/>
      <c r="F46" s="351"/>
    </row>
    <row r="47" spans="1:6" ht="15">
      <c r="A47" s="363" t="s">
        <v>512</v>
      </c>
      <c r="B47" s="351"/>
      <c r="C47" s="351"/>
      <c r="D47" s="351"/>
      <c r="E47" s="351"/>
      <c r="F47" s="351"/>
    </row>
    <row r="48" spans="1:6" ht="15">
      <c r="A48" s="363" t="s">
        <v>513</v>
      </c>
      <c r="B48" s="351"/>
      <c r="C48" s="351"/>
      <c r="D48" s="351"/>
      <c r="E48" s="351"/>
      <c r="F48" s="351"/>
    </row>
    <row r="49" spans="1:6" ht="15">
      <c r="A49" s="363" t="s">
        <v>405</v>
      </c>
      <c r="B49" s="351"/>
      <c r="C49" s="351"/>
      <c r="D49" s="351"/>
      <c r="E49" s="351"/>
      <c r="F49" s="351"/>
    </row>
    <row r="50" spans="1:6" ht="15">
      <c r="A50" s="363"/>
      <c r="B50" s="351"/>
      <c r="C50" s="351"/>
      <c r="D50" s="351"/>
      <c r="E50" s="351"/>
      <c r="F50" s="351"/>
    </row>
    <row r="51" spans="1:6" ht="15">
      <c r="A51" s="363" t="s">
        <v>406</v>
      </c>
      <c r="B51" s="351"/>
      <c r="C51" s="351"/>
      <c r="D51" s="351"/>
      <c r="E51" s="351"/>
      <c r="F51" s="351"/>
    </row>
    <row r="52" spans="1:6" ht="15">
      <c r="A52" s="363" t="s">
        <v>407</v>
      </c>
      <c r="B52" s="351"/>
      <c r="C52" s="351"/>
      <c r="D52" s="351"/>
      <c r="E52" s="351"/>
      <c r="F52" s="351"/>
    </row>
    <row r="53" spans="1:6" ht="15">
      <c r="A53" s="363" t="s">
        <v>408</v>
      </c>
      <c r="B53" s="351"/>
      <c r="C53" s="351"/>
      <c r="D53" s="351"/>
      <c r="E53" s="351"/>
      <c r="F53" s="351"/>
    </row>
    <row r="54" spans="1:6" ht="15">
      <c r="A54" s="363"/>
      <c r="B54" s="351"/>
      <c r="C54" s="351"/>
      <c r="D54" s="351"/>
      <c r="E54" s="351"/>
      <c r="F54" s="351"/>
    </row>
    <row r="55" spans="1:6" ht="15">
      <c r="A55" s="363" t="s">
        <v>514</v>
      </c>
      <c r="B55" s="351"/>
      <c r="C55" s="351"/>
      <c r="D55" s="351"/>
      <c r="E55" s="351"/>
      <c r="F55" s="351"/>
    </row>
    <row r="56" spans="1:6" ht="15">
      <c r="A56" s="363" t="s">
        <v>515</v>
      </c>
      <c r="B56" s="351"/>
      <c r="C56" s="351"/>
      <c r="D56" s="351"/>
      <c r="E56" s="351"/>
      <c r="F56" s="351"/>
    </row>
    <row r="57" spans="1:6" ht="15">
      <c r="A57" s="363" t="s">
        <v>516</v>
      </c>
      <c r="B57" s="351"/>
      <c r="C57" s="351"/>
      <c r="D57" s="351"/>
      <c r="E57" s="351"/>
      <c r="F57" s="351"/>
    </row>
    <row r="58" spans="1:6" ht="15">
      <c r="A58" s="363" t="s">
        <v>517</v>
      </c>
      <c r="B58" s="351"/>
      <c r="C58" s="351"/>
      <c r="D58" s="351"/>
      <c r="E58" s="351"/>
      <c r="F58" s="351"/>
    </row>
    <row r="59" spans="1:6" ht="15">
      <c r="A59" s="363" t="s">
        <v>518</v>
      </c>
      <c r="B59" s="351"/>
      <c r="C59" s="351"/>
      <c r="D59" s="351"/>
      <c r="E59" s="351"/>
      <c r="F59" s="351"/>
    </row>
    <row r="60" spans="1:6" ht="15">
      <c r="A60" s="363"/>
      <c r="B60" s="351"/>
      <c r="C60" s="351"/>
      <c r="D60" s="351"/>
      <c r="E60" s="351"/>
      <c r="F60" s="351"/>
    </row>
    <row r="61" spans="1:6" ht="15">
      <c r="A61" s="364" t="s">
        <v>519</v>
      </c>
      <c r="B61" s="351"/>
      <c r="C61" s="351"/>
      <c r="D61" s="351"/>
      <c r="E61" s="351"/>
      <c r="F61" s="351"/>
    </row>
    <row r="62" spans="1:6" ht="15">
      <c r="A62" s="364" t="s">
        <v>520</v>
      </c>
      <c r="B62" s="351"/>
      <c r="C62" s="351"/>
      <c r="D62" s="351"/>
      <c r="E62" s="351"/>
      <c r="F62" s="351"/>
    </row>
    <row r="63" spans="1:6" ht="15">
      <c r="A63" s="364" t="s">
        <v>521</v>
      </c>
      <c r="B63" s="351"/>
      <c r="C63" s="351"/>
      <c r="D63" s="351"/>
      <c r="E63" s="351"/>
      <c r="F63" s="351"/>
    </row>
    <row r="64" ht="15">
      <c r="A64" s="364" t="s">
        <v>522</v>
      </c>
    </row>
    <row r="65" ht="15">
      <c r="A65" s="364" t="s">
        <v>523</v>
      </c>
    </row>
    <row r="66" ht="15">
      <c r="A66" s="364" t="s">
        <v>524</v>
      </c>
    </row>
    <row r="68" ht="15">
      <c r="A68" s="351" t="s">
        <v>525</v>
      </c>
    </row>
    <row r="69" ht="15">
      <c r="A69" s="351" t="s">
        <v>526</v>
      </c>
    </row>
    <row r="70" ht="15">
      <c r="A70" s="351" t="s">
        <v>527</v>
      </c>
    </row>
    <row r="71" ht="15">
      <c r="A71" s="351" t="s">
        <v>528</v>
      </c>
    </row>
    <row r="72" ht="15">
      <c r="A72" s="351" t="s">
        <v>529</v>
      </c>
    </row>
    <row r="73" ht="15">
      <c r="A73" s="351" t="s">
        <v>530</v>
      </c>
    </row>
    <row r="75" ht="15">
      <c r="A75" s="351" t="s">
        <v>435</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531</v>
      </c>
      <c r="B3" s="352"/>
      <c r="C3" s="352"/>
      <c r="D3" s="352"/>
      <c r="E3" s="352"/>
      <c r="F3" s="352"/>
      <c r="G3" s="352"/>
    </row>
    <row r="4" spans="1:7" ht="15">
      <c r="A4" s="352"/>
      <c r="B4" s="352"/>
      <c r="C4" s="352"/>
      <c r="D4" s="352"/>
      <c r="E4" s="352"/>
      <c r="F4" s="352"/>
      <c r="G4" s="352"/>
    </row>
    <row r="5" ht="15">
      <c r="A5" s="351" t="s">
        <v>437</v>
      </c>
    </row>
    <row r="6" ht="15">
      <c r="A6" s="351" t="str">
        <f>CONCATENATE(inputPrYr!D5," estimated expenditures show that at the end of this year")</f>
        <v>2014 estimated expenditures show that at the end of this year</v>
      </c>
    </row>
    <row r="7" ht="15">
      <c r="A7" s="351" t="s">
        <v>532</v>
      </c>
    </row>
    <row r="8" ht="15">
      <c r="A8" s="351" t="s">
        <v>533</v>
      </c>
    </row>
    <row r="10" ht="15">
      <c r="A10" t="s">
        <v>439</v>
      </c>
    </row>
    <row r="11" ht="15">
      <c r="A11" t="s">
        <v>440</v>
      </c>
    </row>
    <row r="12" ht="15">
      <c r="A12" t="s">
        <v>441</v>
      </c>
    </row>
    <row r="13" spans="1:7" ht="15">
      <c r="A13" s="352"/>
      <c r="B13" s="352"/>
      <c r="C13" s="352"/>
      <c r="D13" s="352"/>
      <c r="E13" s="352"/>
      <c r="F13" s="352"/>
      <c r="G13" s="352"/>
    </row>
    <row r="14" ht="15">
      <c r="A14" s="350" t="s">
        <v>534</v>
      </c>
    </row>
    <row r="15" ht="15">
      <c r="A15" s="351"/>
    </row>
    <row r="16" ht="15">
      <c r="A16" s="351" t="s">
        <v>535</v>
      </c>
    </row>
    <row r="17" ht="15">
      <c r="A17" s="351" t="s">
        <v>536</v>
      </c>
    </row>
    <row r="18" ht="15">
      <c r="A18" s="351" t="s">
        <v>537</v>
      </c>
    </row>
    <row r="19" ht="15">
      <c r="A19" s="351"/>
    </row>
    <row r="20" ht="15">
      <c r="A20" s="351" t="s">
        <v>538</v>
      </c>
    </row>
    <row r="21" ht="15">
      <c r="A21" s="351" t="s">
        <v>539</v>
      </c>
    </row>
    <row r="22" ht="15">
      <c r="A22" s="351" t="s">
        <v>540</v>
      </c>
    </row>
    <row r="23" ht="15">
      <c r="A23" s="351" t="s">
        <v>541</v>
      </c>
    </row>
    <row r="24" ht="15">
      <c r="A24" s="351"/>
    </row>
    <row r="25" ht="15">
      <c r="A25" s="350" t="s">
        <v>503</v>
      </c>
    </row>
    <row r="26" ht="15">
      <c r="A26" s="350"/>
    </row>
    <row r="27" ht="15">
      <c r="A27" s="351" t="s">
        <v>504</v>
      </c>
    </row>
    <row r="28" spans="1:6" ht="15">
      <c r="A28" s="351" t="s">
        <v>505</v>
      </c>
      <c r="B28" s="351"/>
      <c r="C28" s="351"/>
      <c r="D28" s="351"/>
      <c r="E28" s="351"/>
      <c r="F28" s="351"/>
    </row>
    <row r="29" spans="1:6" ht="15">
      <c r="A29" s="351" t="s">
        <v>506</v>
      </c>
      <c r="B29" s="351"/>
      <c r="C29" s="351"/>
      <c r="D29" s="351"/>
      <c r="E29" s="351"/>
      <c r="F29" s="351"/>
    </row>
    <row r="30" spans="1:6" ht="15">
      <c r="A30" s="351" t="s">
        <v>507</v>
      </c>
      <c r="B30" s="351"/>
      <c r="C30" s="351"/>
      <c r="D30" s="351"/>
      <c r="E30" s="351"/>
      <c r="F30" s="351"/>
    </row>
    <row r="31" ht="15">
      <c r="A31" s="351"/>
    </row>
    <row r="32" spans="1:7" ht="15">
      <c r="A32" s="350" t="s">
        <v>508</v>
      </c>
      <c r="B32" s="350"/>
      <c r="C32" s="350"/>
      <c r="D32" s="350"/>
      <c r="E32" s="350"/>
      <c r="F32" s="350"/>
      <c r="G32" s="350"/>
    </row>
    <row r="33" spans="1:7" ht="15">
      <c r="A33" s="350" t="s">
        <v>509</v>
      </c>
      <c r="B33" s="350"/>
      <c r="C33" s="350"/>
      <c r="D33" s="350"/>
      <c r="E33" s="350"/>
      <c r="F33" s="350"/>
      <c r="G33" s="350"/>
    </row>
    <row r="34" spans="1:7" ht="15">
      <c r="A34" s="350"/>
      <c r="B34" s="350"/>
      <c r="C34" s="350"/>
      <c r="D34" s="350"/>
      <c r="E34" s="350"/>
      <c r="F34" s="350"/>
      <c r="G34" s="350"/>
    </row>
    <row r="35" spans="1:7" ht="15">
      <c r="A35" s="351" t="s">
        <v>542</v>
      </c>
      <c r="B35" s="351"/>
      <c r="C35" s="351"/>
      <c r="D35" s="351"/>
      <c r="E35" s="351"/>
      <c r="F35" s="351"/>
      <c r="G35" s="351"/>
    </row>
    <row r="36" spans="1:7" ht="15">
      <c r="A36" s="351" t="s">
        <v>543</v>
      </c>
      <c r="B36" s="351"/>
      <c r="C36" s="351"/>
      <c r="D36" s="351"/>
      <c r="E36" s="351"/>
      <c r="F36" s="351"/>
      <c r="G36" s="351"/>
    </row>
    <row r="37" spans="1:7" ht="15">
      <c r="A37" s="351" t="s">
        <v>544</v>
      </c>
      <c r="B37" s="351"/>
      <c r="C37" s="351"/>
      <c r="D37" s="351"/>
      <c r="E37" s="351"/>
      <c r="F37" s="351"/>
      <c r="G37" s="351"/>
    </row>
    <row r="38" spans="1:7" ht="15">
      <c r="A38" s="351" t="s">
        <v>545</v>
      </c>
      <c r="B38" s="351"/>
      <c r="C38" s="351"/>
      <c r="D38" s="351"/>
      <c r="E38" s="351"/>
      <c r="F38" s="351"/>
      <c r="G38" s="351"/>
    </row>
    <row r="39" spans="1:7" ht="15">
      <c r="A39" s="351" t="s">
        <v>546</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510</v>
      </c>
      <c r="B42" s="351"/>
      <c r="C42" s="351"/>
      <c r="D42" s="351"/>
      <c r="E42" s="351"/>
      <c r="F42" s="351"/>
    </row>
    <row r="43" spans="1:6" ht="15">
      <c r="A43" s="363" t="s">
        <v>396</v>
      </c>
      <c r="B43" s="351"/>
      <c r="C43" s="351"/>
      <c r="D43" s="351"/>
      <c r="E43" s="351"/>
      <c r="F43" s="351"/>
    </row>
    <row r="44" spans="1:6" ht="15">
      <c r="A44" s="363" t="s">
        <v>397</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398</v>
      </c>
      <c r="B47" s="351"/>
      <c r="C47" s="351"/>
      <c r="D47" s="351"/>
      <c r="E47" s="351"/>
      <c r="F47" s="351"/>
    </row>
    <row r="48" spans="1:6" ht="15">
      <c r="A48" s="363" t="s">
        <v>399</v>
      </c>
      <c r="B48" s="351"/>
      <c r="C48" s="351"/>
      <c r="D48" s="351"/>
      <c r="E48" s="351"/>
      <c r="F48" s="351"/>
    </row>
    <row r="49" spans="1:7" ht="15">
      <c r="A49" s="351"/>
      <c r="B49" s="351"/>
      <c r="C49" s="351"/>
      <c r="D49" s="351"/>
      <c r="E49" s="351"/>
      <c r="F49" s="351"/>
      <c r="G49" s="351"/>
    </row>
    <row r="50" spans="1:7" ht="15">
      <c r="A50" s="351" t="s">
        <v>464</v>
      </c>
      <c r="B50" s="351"/>
      <c r="C50" s="351"/>
      <c r="D50" s="351"/>
      <c r="E50" s="351"/>
      <c r="F50" s="351"/>
      <c r="G50" s="351"/>
    </row>
    <row r="51" spans="1:7" ht="15">
      <c r="A51" s="351" t="s">
        <v>465</v>
      </c>
      <c r="B51" s="351"/>
      <c r="C51" s="351"/>
      <c r="D51" s="351"/>
      <c r="E51" s="351"/>
      <c r="F51" s="351"/>
      <c r="G51" s="351"/>
    </row>
    <row r="52" spans="1:7" ht="15">
      <c r="A52" s="351" t="s">
        <v>466</v>
      </c>
      <c r="B52" s="351"/>
      <c r="C52" s="351"/>
      <c r="D52" s="351"/>
      <c r="E52" s="351"/>
      <c r="F52" s="351"/>
      <c r="G52" s="351"/>
    </row>
    <row r="53" spans="1:7" ht="15">
      <c r="A53" s="351" t="s">
        <v>467</v>
      </c>
      <c r="B53" s="351"/>
      <c r="C53" s="351"/>
      <c r="D53" s="351"/>
      <c r="E53" s="351"/>
      <c r="F53" s="351"/>
      <c r="G53" s="351"/>
    </row>
    <row r="54" spans="1:7" ht="15">
      <c r="A54" s="351" t="s">
        <v>468</v>
      </c>
      <c r="B54" s="351"/>
      <c r="C54" s="351"/>
      <c r="D54" s="351"/>
      <c r="E54" s="351"/>
      <c r="F54" s="351"/>
      <c r="G54" s="351"/>
    </row>
    <row r="55" spans="1:7" ht="15">
      <c r="A55" s="351"/>
      <c r="B55" s="351"/>
      <c r="C55" s="351"/>
      <c r="D55" s="351"/>
      <c r="E55" s="351"/>
      <c r="F55" s="351"/>
      <c r="G55" s="351"/>
    </row>
    <row r="56" spans="1:6" ht="15">
      <c r="A56" s="363" t="s">
        <v>406</v>
      </c>
      <c r="B56" s="351"/>
      <c r="C56" s="351"/>
      <c r="D56" s="351"/>
      <c r="E56" s="351"/>
      <c r="F56" s="351"/>
    </row>
    <row r="57" spans="1:6" ht="15">
      <c r="A57" s="363" t="s">
        <v>407</v>
      </c>
      <c r="B57" s="351"/>
      <c r="C57" s="351"/>
      <c r="D57" s="351"/>
      <c r="E57" s="351"/>
      <c r="F57" s="351"/>
    </row>
    <row r="58" spans="1:6" ht="15">
      <c r="A58" s="363" t="s">
        <v>408</v>
      </c>
      <c r="B58" s="351"/>
      <c r="C58" s="351"/>
      <c r="D58" s="351"/>
      <c r="E58" s="351"/>
      <c r="F58" s="351"/>
    </row>
    <row r="59" spans="1:6" ht="15">
      <c r="A59" s="363"/>
      <c r="B59" s="351"/>
      <c r="C59" s="351"/>
      <c r="D59" s="351"/>
      <c r="E59" s="351"/>
      <c r="F59" s="351"/>
    </row>
    <row r="60" spans="1:7" ht="15">
      <c r="A60" s="351" t="s">
        <v>547</v>
      </c>
      <c r="B60" s="351"/>
      <c r="C60" s="351"/>
      <c r="D60" s="351"/>
      <c r="E60" s="351"/>
      <c r="F60" s="351"/>
      <c r="G60" s="351"/>
    </row>
    <row r="61" spans="1:7" ht="15">
      <c r="A61" s="351" t="s">
        <v>548</v>
      </c>
      <c r="B61" s="351"/>
      <c r="C61" s="351"/>
      <c r="D61" s="351"/>
      <c r="E61" s="351"/>
      <c r="F61" s="351"/>
      <c r="G61" s="351"/>
    </row>
    <row r="62" spans="1:7" ht="15">
      <c r="A62" s="351" t="s">
        <v>549</v>
      </c>
      <c r="B62" s="351"/>
      <c r="C62" s="351"/>
      <c r="D62" s="351"/>
      <c r="E62" s="351"/>
      <c r="F62" s="351"/>
      <c r="G62" s="351"/>
    </row>
    <row r="63" spans="1:7" ht="15">
      <c r="A63" s="351" t="s">
        <v>550</v>
      </c>
      <c r="B63" s="351"/>
      <c r="C63" s="351"/>
      <c r="D63" s="351"/>
      <c r="E63" s="351"/>
      <c r="F63" s="351"/>
      <c r="G63" s="351"/>
    </row>
    <row r="64" spans="1:7" ht="15">
      <c r="A64" s="351" t="s">
        <v>551</v>
      </c>
      <c r="B64" s="351"/>
      <c r="C64" s="351"/>
      <c r="D64" s="351"/>
      <c r="E64" s="351"/>
      <c r="F64" s="351"/>
      <c r="G64" s="351"/>
    </row>
    <row r="66" spans="1:6" ht="15">
      <c r="A66" s="363" t="s">
        <v>514</v>
      </c>
      <c r="B66" s="351"/>
      <c r="C66" s="351"/>
      <c r="D66" s="351"/>
      <c r="E66" s="351"/>
      <c r="F66" s="351"/>
    </row>
    <row r="67" spans="1:6" ht="15">
      <c r="A67" s="363" t="s">
        <v>515</v>
      </c>
      <c r="B67" s="351"/>
      <c r="C67" s="351"/>
      <c r="D67" s="351"/>
      <c r="E67" s="351"/>
      <c r="F67" s="351"/>
    </row>
    <row r="68" spans="1:6" ht="15">
      <c r="A68" s="363" t="s">
        <v>516</v>
      </c>
      <c r="B68" s="351"/>
      <c r="C68" s="351"/>
      <c r="D68" s="351"/>
      <c r="E68" s="351"/>
      <c r="F68" s="351"/>
    </row>
    <row r="69" spans="1:6" ht="15">
      <c r="A69" s="363" t="s">
        <v>517</v>
      </c>
      <c r="B69" s="351"/>
      <c r="C69" s="351"/>
      <c r="D69" s="351"/>
      <c r="E69" s="351"/>
      <c r="F69" s="351"/>
    </row>
    <row r="70" spans="1:6" ht="15">
      <c r="A70" s="363" t="s">
        <v>518</v>
      </c>
      <c r="B70" s="351"/>
      <c r="C70" s="351"/>
      <c r="D70" s="351"/>
      <c r="E70" s="351"/>
      <c r="F70" s="351"/>
    </row>
    <row r="71" ht="15">
      <c r="A71" s="351"/>
    </row>
    <row r="72" ht="15">
      <c r="A72" s="351" t="s">
        <v>435</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552</v>
      </c>
      <c r="B3" s="352"/>
      <c r="C3" s="352"/>
      <c r="D3" s="352"/>
      <c r="E3" s="352"/>
      <c r="F3" s="352"/>
      <c r="G3" s="352"/>
    </row>
    <row r="4" spans="1:7" ht="15">
      <c r="A4" s="352" t="s">
        <v>553</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382</v>
      </c>
    </row>
    <row r="8" ht="15">
      <c r="A8" s="351" t="str">
        <f>CONCATENATE("estimated ",inputPrYr!D5," 'total expenditures' exceed your ",inputPrYr!D5,"")</f>
        <v>estimated 2014 'total expenditures' exceed your 2014</v>
      </c>
    </row>
    <row r="9" ht="15">
      <c r="A9" s="366" t="s">
        <v>554</v>
      </c>
    </row>
    <row r="10" ht="15">
      <c r="A10" s="351"/>
    </row>
    <row r="11" ht="15">
      <c r="A11" s="351" t="s">
        <v>555</v>
      </c>
    </row>
    <row r="12" ht="15">
      <c r="A12" s="351" t="s">
        <v>556</v>
      </c>
    </row>
    <row r="13" ht="15">
      <c r="A13" s="351" t="s">
        <v>557</v>
      </c>
    </row>
    <row r="14" ht="15">
      <c r="A14" s="351"/>
    </row>
    <row r="15" ht="15">
      <c r="A15" s="350" t="s">
        <v>558</v>
      </c>
    </row>
    <row r="16" spans="1:7" ht="15">
      <c r="A16" s="352"/>
      <c r="B16" s="352"/>
      <c r="C16" s="352"/>
      <c r="D16" s="352"/>
      <c r="E16" s="352"/>
      <c r="F16" s="352"/>
      <c r="G16" s="352"/>
    </row>
    <row r="17" spans="1:8" ht="15">
      <c r="A17" s="367" t="s">
        <v>559</v>
      </c>
      <c r="B17" s="346"/>
      <c r="C17" s="346"/>
      <c r="D17" s="346"/>
      <c r="E17" s="346"/>
      <c r="F17" s="346"/>
      <c r="G17" s="346"/>
      <c r="H17" s="346"/>
    </row>
    <row r="18" spans="1:7" ht="15">
      <c r="A18" s="351" t="s">
        <v>560</v>
      </c>
      <c r="B18" s="368"/>
      <c r="C18" s="368"/>
      <c r="D18" s="368"/>
      <c r="E18" s="368"/>
      <c r="F18" s="368"/>
      <c r="G18" s="368"/>
    </row>
    <row r="19" ht="15">
      <c r="A19" s="351" t="s">
        <v>561</v>
      </c>
    </row>
    <row r="20" ht="15">
      <c r="A20" s="351" t="s">
        <v>562</v>
      </c>
    </row>
    <row r="22" ht="15">
      <c r="A22" s="350" t="s">
        <v>563</v>
      </c>
    </row>
    <row r="24" ht="15">
      <c r="A24" s="351" t="s">
        <v>564</v>
      </c>
    </row>
    <row r="25" ht="15">
      <c r="A25" s="351" t="s">
        <v>565</v>
      </c>
    </row>
    <row r="26" ht="15">
      <c r="A26" s="351" t="s">
        <v>566</v>
      </c>
    </row>
    <row r="28" ht="15">
      <c r="A28" s="350" t="s">
        <v>567</v>
      </c>
    </row>
    <row r="30" ht="15">
      <c r="A30" t="s">
        <v>568</v>
      </c>
    </row>
    <row r="31" ht="15">
      <c r="A31" t="s">
        <v>569</v>
      </c>
    </row>
    <row r="32" ht="15">
      <c r="A32" t="s">
        <v>570</v>
      </c>
    </row>
    <row r="33" ht="15">
      <c r="A33" s="351"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1" t="s">
        <v>584</v>
      </c>
    </row>
    <row r="50" ht="15">
      <c r="A50" s="351" t="s">
        <v>585</v>
      </c>
    </row>
    <row r="52" ht="15">
      <c r="A52" t="s">
        <v>435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55" t="s">
        <v>626</v>
      </c>
      <c r="C6" s="863"/>
      <c r="D6" s="863"/>
      <c r="E6" s="863"/>
      <c r="F6" s="863"/>
      <c r="G6" s="863"/>
      <c r="H6" s="863"/>
      <c r="I6" s="863"/>
      <c r="J6" s="863"/>
      <c r="K6" s="863"/>
      <c r="L6" s="405"/>
    </row>
    <row r="7" spans="1:12" ht="40.5" customHeight="1">
      <c r="A7" s="402"/>
      <c r="B7" s="875" t="s">
        <v>627</v>
      </c>
      <c r="C7" s="876"/>
      <c r="D7" s="876"/>
      <c r="E7" s="876"/>
      <c r="F7" s="876"/>
      <c r="G7" s="876"/>
      <c r="H7" s="876"/>
      <c r="I7" s="876"/>
      <c r="J7" s="876"/>
      <c r="K7" s="876"/>
      <c r="L7" s="402"/>
    </row>
    <row r="8" spans="1:12" ht="13.5">
      <c r="A8" s="402"/>
      <c r="B8" s="872" t="s">
        <v>628</v>
      </c>
      <c r="C8" s="872"/>
      <c r="D8" s="872"/>
      <c r="E8" s="872"/>
      <c r="F8" s="872"/>
      <c r="G8" s="872"/>
      <c r="H8" s="872"/>
      <c r="I8" s="872"/>
      <c r="J8" s="872"/>
      <c r="K8" s="872"/>
      <c r="L8" s="402"/>
    </row>
    <row r="9" spans="1:12" ht="13.5">
      <c r="A9" s="402"/>
      <c r="L9" s="402"/>
    </row>
    <row r="10" spans="1:12" ht="13.5">
      <c r="A10" s="402"/>
      <c r="B10" s="872" t="s">
        <v>629</v>
      </c>
      <c r="C10" s="872"/>
      <c r="D10" s="872"/>
      <c r="E10" s="872"/>
      <c r="F10" s="872"/>
      <c r="G10" s="872"/>
      <c r="H10" s="872"/>
      <c r="I10" s="872"/>
      <c r="J10" s="872"/>
      <c r="K10" s="872"/>
      <c r="L10" s="402"/>
    </row>
    <row r="11" spans="1:12" ht="13.5">
      <c r="A11" s="402"/>
      <c r="B11" s="541"/>
      <c r="C11" s="541"/>
      <c r="D11" s="541"/>
      <c r="E11" s="541"/>
      <c r="F11" s="541"/>
      <c r="G11" s="541"/>
      <c r="H11" s="541"/>
      <c r="I11" s="541"/>
      <c r="J11" s="541"/>
      <c r="K11" s="541"/>
      <c r="L11" s="402"/>
    </row>
    <row r="12" spans="1:12" ht="32.25" customHeight="1">
      <c r="A12" s="402"/>
      <c r="B12" s="856" t="s">
        <v>630</v>
      </c>
      <c r="C12" s="856"/>
      <c r="D12" s="856"/>
      <c r="E12" s="856"/>
      <c r="F12" s="856"/>
      <c r="G12" s="856"/>
      <c r="H12" s="856"/>
      <c r="I12" s="856"/>
      <c r="J12" s="856"/>
      <c r="K12" s="856"/>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58">
        <v>312000000</v>
      </c>
      <c r="G23" s="858"/>
      <c r="L23" s="402"/>
    </row>
    <row r="24" spans="1:12" ht="13.5">
      <c r="A24" s="402"/>
      <c r="L24" s="402"/>
    </row>
    <row r="25" spans="1:12" ht="13.5">
      <c r="A25" s="402"/>
      <c r="C25" s="873">
        <f>F23</f>
        <v>312000000</v>
      </c>
      <c r="D25" s="873"/>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0" t="s">
        <v>627</v>
      </c>
      <c r="C30" s="860"/>
      <c r="D30" s="860"/>
      <c r="E30" s="860"/>
      <c r="F30" s="860"/>
      <c r="G30" s="860"/>
      <c r="H30" s="860"/>
      <c r="I30" s="860"/>
      <c r="J30" s="860"/>
      <c r="K30" s="860"/>
      <c r="L30" s="402"/>
    </row>
    <row r="31" spans="1:12" ht="13.5">
      <c r="A31" s="402"/>
      <c r="B31" s="872" t="s">
        <v>639</v>
      </c>
      <c r="C31" s="872"/>
      <c r="D31" s="872"/>
      <c r="E31" s="872"/>
      <c r="F31" s="872"/>
      <c r="G31" s="872"/>
      <c r="H31" s="872"/>
      <c r="I31" s="872"/>
      <c r="J31" s="872"/>
      <c r="K31" s="872"/>
      <c r="L31" s="402"/>
    </row>
    <row r="32" spans="1:12" ht="13.5">
      <c r="A32" s="402"/>
      <c r="L32" s="402"/>
    </row>
    <row r="33" spans="1:12" ht="13.5">
      <c r="A33" s="402"/>
      <c r="B33" s="872" t="s">
        <v>640</v>
      </c>
      <c r="C33" s="872"/>
      <c r="D33" s="872"/>
      <c r="E33" s="872"/>
      <c r="F33" s="872"/>
      <c r="G33" s="872"/>
      <c r="H33" s="872"/>
      <c r="I33" s="872"/>
      <c r="J33" s="872"/>
      <c r="K33" s="872"/>
      <c r="L33" s="402"/>
    </row>
    <row r="34" spans="1:12" ht="13.5">
      <c r="A34" s="402"/>
      <c r="L34" s="402"/>
    </row>
    <row r="35" spans="1:12" ht="89.25" customHeight="1">
      <c r="A35" s="402"/>
      <c r="B35" s="856" t="s">
        <v>641</v>
      </c>
      <c r="C35" s="866"/>
      <c r="D35" s="866"/>
      <c r="E35" s="866"/>
      <c r="F35" s="866"/>
      <c r="G35" s="866"/>
      <c r="H35" s="866"/>
      <c r="I35" s="866"/>
      <c r="J35" s="866"/>
      <c r="K35" s="866"/>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74">
        <v>312000000</v>
      </c>
      <c r="D41" s="874"/>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67">
        <v>312000000</v>
      </c>
      <c r="C48" s="858"/>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68" t="s">
        <v>649</v>
      </c>
      <c r="H50" s="869"/>
      <c r="I50" s="546" t="s">
        <v>635</v>
      </c>
      <c r="J50" s="422">
        <f>B50/F50</f>
        <v>0.16025641025641027</v>
      </c>
      <c r="K50" s="414"/>
      <c r="L50" s="402"/>
    </row>
    <row r="51" spans="1:15" ht="14.25" thickBot="1">
      <c r="A51" s="402"/>
      <c r="B51" s="415"/>
      <c r="C51" s="416"/>
      <c r="D51" s="416"/>
      <c r="E51" s="416"/>
      <c r="F51" s="416"/>
      <c r="G51" s="416"/>
      <c r="H51" s="416"/>
      <c r="I51" s="870" t="s">
        <v>650</v>
      </c>
      <c r="J51" s="870"/>
      <c r="K51" s="871"/>
      <c r="L51" s="402"/>
      <c r="O51" s="423"/>
    </row>
    <row r="52" spans="1:12" ht="40.5" customHeight="1">
      <c r="A52" s="402"/>
      <c r="B52" s="860" t="s">
        <v>627</v>
      </c>
      <c r="C52" s="860"/>
      <c r="D52" s="860"/>
      <c r="E52" s="860"/>
      <c r="F52" s="860"/>
      <c r="G52" s="860"/>
      <c r="H52" s="860"/>
      <c r="I52" s="860"/>
      <c r="J52" s="860"/>
      <c r="K52" s="860"/>
      <c r="L52" s="402"/>
    </row>
    <row r="53" spans="1:12" ht="13.5">
      <c r="A53" s="402"/>
      <c r="B53" s="872" t="s">
        <v>651</v>
      </c>
      <c r="C53" s="872"/>
      <c r="D53" s="872"/>
      <c r="E53" s="872"/>
      <c r="F53" s="872"/>
      <c r="G53" s="872"/>
      <c r="H53" s="872"/>
      <c r="I53" s="872"/>
      <c r="J53" s="872"/>
      <c r="K53" s="872"/>
      <c r="L53" s="402"/>
    </row>
    <row r="54" spans="1:12" ht="13.5">
      <c r="A54" s="402"/>
      <c r="B54" s="541"/>
      <c r="C54" s="541"/>
      <c r="D54" s="541"/>
      <c r="E54" s="541"/>
      <c r="F54" s="541"/>
      <c r="G54" s="541"/>
      <c r="H54" s="541"/>
      <c r="I54" s="541"/>
      <c r="J54" s="541"/>
      <c r="K54" s="541"/>
      <c r="L54" s="402"/>
    </row>
    <row r="55" spans="1:12" ht="13.5">
      <c r="A55" s="402"/>
      <c r="B55" s="855" t="s">
        <v>652</v>
      </c>
      <c r="C55" s="855"/>
      <c r="D55" s="855"/>
      <c r="E55" s="855"/>
      <c r="F55" s="855"/>
      <c r="G55" s="855"/>
      <c r="H55" s="855"/>
      <c r="I55" s="855"/>
      <c r="J55" s="855"/>
      <c r="K55" s="855"/>
      <c r="L55" s="402"/>
    </row>
    <row r="56" spans="1:12" ht="15" customHeight="1">
      <c r="A56" s="402"/>
      <c r="L56" s="402"/>
    </row>
    <row r="57" spans="1:24" ht="74.25" customHeight="1">
      <c r="A57" s="402"/>
      <c r="B57" s="856" t="s">
        <v>653</v>
      </c>
      <c r="C57" s="866"/>
      <c r="D57" s="866"/>
      <c r="E57" s="866"/>
      <c r="F57" s="866"/>
      <c r="G57" s="866"/>
      <c r="H57" s="866"/>
      <c r="I57" s="866"/>
      <c r="J57" s="866"/>
      <c r="K57" s="866"/>
      <c r="L57" s="402"/>
      <c r="M57" s="424"/>
      <c r="N57" s="425"/>
      <c r="O57" s="425"/>
      <c r="P57" s="425"/>
      <c r="Q57" s="425"/>
      <c r="R57" s="425"/>
      <c r="S57" s="425"/>
      <c r="T57" s="425"/>
      <c r="U57" s="425"/>
      <c r="V57" s="425"/>
      <c r="W57" s="425"/>
      <c r="X57" s="425"/>
    </row>
    <row r="58" spans="1:24" ht="15" customHeight="1">
      <c r="A58" s="402"/>
      <c r="B58" s="856"/>
      <c r="C58" s="866"/>
      <c r="D58" s="866"/>
      <c r="E58" s="866"/>
      <c r="F58" s="866"/>
      <c r="G58" s="866"/>
      <c r="H58" s="866"/>
      <c r="I58" s="866"/>
      <c r="J58" s="866"/>
      <c r="K58" s="866"/>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58">
        <v>312000000</v>
      </c>
      <c r="D74" s="858"/>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58">
        <v>50000</v>
      </c>
      <c r="D77" s="858"/>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58">
        <v>100000</v>
      </c>
      <c r="D80" s="858"/>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59">
        <f>H80</f>
        <v>11500</v>
      </c>
      <c r="D83" s="859"/>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0" t="s">
        <v>627</v>
      </c>
      <c r="C85" s="860"/>
      <c r="D85" s="860"/>
      <c r="E85" s="860"/>
      <c r="F85" s="860"/>
      <c r="G85" s="860"/>
      <c r="H85" s="860"/>
      <c r="I85" s="860"/>
      <c r="J85" s="860"/>
      <c r="K85" s="860"/>
      <c r="L85" s="402"/>
    </row>
    <row r="86" spans="1:12" ht="13.5">
      <c r="A86" s="402"/>
      <c r="B86" s="855" t="s">
        <v>669</v>
      </c>
      <c r="C86" s="855"/>
      <c r="D86" s="855"/>
      <c r="E86" s="855"/>
      <c r="F86" s="855"/>
      <c r="G86" s="855"/>
      <c r="H86" s="855"/>
      <c r="I86" s="855"/>
      <c r="J86" s="855"/>
      <c r="K86" s="855"/>
      <c r="L86" s="402"/>
    </row>
    <row r="87" spans="1:12" ht="13.5">
      <c r="A87" s="402"/>
      <c r="B87" s="436"/>
      <c r="C87" s="436"/>
      <c r="D87" s="436"/>
      <c r="E87" s="436"/>
      <c r="F87" s="436"/>
      <c r="G87" s="436"/>
      <c r="H87" s="436"/>
      <c r="I87" s="436"/>
      <c r="J87" s="436"/>
      <c r="K87" s="436"/>
      <c r="L87" s="402"/>
    </row>
    <row r="88" spans="1:12" ht="13.5">
      <c r="A88" s="402"/>
      <c r="B88" s="855" t="s">
        <v>670</v>
      </c>
      <c r="C88" s="855"/>
      <c r="D88" s="855"/>
      <c r="E88" s="855"/>
      <c r="F88" s="855"/>
      <c r="G88" s="855"/>
      <c r="H88" s="855"/>
      <c r="I88" s="855"/>
      <c r="J88" s="855"/>
      <c r="K88" s="855"/>
      <c r="L88" s="402"/>
    </row>
    <row r="89" spans="1:12" ht="13.5">
      <c r="A89" s="402"/>
      <c r="B89" s="540"/>
      <c r="C89" s="540"/>
      <c r="D89" s="540"/>
      <c r="E89" s="540"/>
      <c r="F89" s="540"/>
      <c r="G89" s="540"/>
      <c r="H89" s="540"/>
      <c r="I89" s="540"/>
      <c r="J89" s="540"/>
      <c r="K89" s="540"/>
      <c r="L89" s="402"/>
    </row>
    <row r="90" spans="1:12" ht="45" customHeight="1">
      <c r="A90" s="402"/>
      <c r="B90" s="856" t="s">
        <v>671</v>
      </c>
      <c r="C90" s="856"/>
      <c r="D90" s="856"/>
      <c r="E90" s="856"/>
      <c r="F90" s="856"/>
      <c r="G90" s="856"/>
      <c r="H90" s="856"/>
      <c r="I90" s="856"/>
      <c r="J90" s="856"/>
      <c r="K90" s="856"/>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8">
        <v>312000000</v>
      </c>
      <c r="D94" s="858"/>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8">
        <v>50000</v>
      </c>
      <c r="D97" s="858"/>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8">
        <v>2500000</v>
      </c>
      <c r="D100" s="858"/>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59">
        <f>H100</f>
        <v>750000</v>
      </c>
      <c r="D103" s="85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0" t="s">
        <v>627</v>
      </c>
      <c r="C105" s="861"/>
      <c r="D105" s="861"/>
      <c r="E105" s="861"/>
      <c r="F105" s="861"/>
      <c r="G105" s="861"/>
      <c r="H105" s="861"/>
      <c r="I105" s="861"/>
      <c r="J105" s="861"/>
      <c r="K105" s="861"/>
      <c r="L105" s="402"/>
    </row>
    <row r="106" spans="1:12" ht="15" customHeight="1">
      <c r="A106" s="402"/>
      <c r="B106" s="862" t="s">
        <v>673</v>
      </c>
      <c r="C106" s="863"/>
      <c r="D106" s="863"/>
      <c r="E106" s="863"/>
      <c r="F106" s="863"/>
      <c r="G106" s="863"/>
      <c r="H106" s="863"/>
      <c r="I106" s="863"/>
      <c r="J106" s="863"/>
      <c r="K106" s="863"/>
      <c r="L106" s="402"/>
    </row>
    <row r="107" spans="1:12" ht="15" customHeight="1">
      <c r="A107" s="402"/>
      <c r="B107" s="544"/>
      <c r="C107" s="447"/>
      <c r="D107" s="447"/>
      <c r="E107" s="546"/>
      <c r="F107" s="422"/>
      <c r="G107" s="546"/>
      <c r="H107" s="546"/>
      <c r="I107" s="546"/>
      <c r="J107" s="549"/>
      <c r="K107" s="544"/>
      <c r="L107" s="402"/>
    </row>
    <row r="108" spans="1:12" ht="15" customHeight="1">
      <c r="A108" s="402"/>
      <c r="B108" s="862" t="s">
        <v>674</v>
      </c>
      <c r="C108" s="864"/>
      <c r="D108" s="864"/>
      <c r="E108" s="864"/>
      <c r="F108" s="864"/>
      <c r="G108" s="864"/>
      <c r="H108" s="864"/>
      <c r="I108" s="864"/>
      <c r="J108" s="864"/>
      <c r="K108" s="864"/>
      <c r="L108" s="402"/>
    </row>
    <row r="109" spans="1:12" ht="15" customHeight="1">
      <c r="A109" s="402"/>
      <c r="B109" s="544"/>
      <c r="C109" s="447"/>
      <c r="D109" s="447"/>
      <c r="E109" s="546"/>
      <c r="F109" s="422"/>
      <c r="G109" s="546"/>
      <c r="H109" s="546"/>
      <c r="I109" s="546"/>
      <c r="J109" s="549"/>
      <c r="K109" s="544"/>
      <c r="L109" s="402"/>
    </row>
    <row r="110" spans="1:12" ht="59.25" customHeight="1">
      <c r="A110" s="402"/>
      <c r="B110" s="865" t="s">
        <v>675</v>
      </c>
      <c r="C110" s="866"/>
      <c r="D110" s="866"/>
      <c r="E110" s="866"/>
      <c r="F110" s="866"/>
      <c r="G110" s="866"/>
      <c r="H110" s="866"/>
      <c r="I110" s="866"/>
      <c r="J110" s="866"/>
      <c r="K110" s="866"/>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58">
        <v>312000000</v>
      </c>
      <c r="D114" s="858"/>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58">
        <v>50000</v>
      </c>
      <c r="D117" s="858"/>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58">
        <v>2500000</v>
      </c>
      <c r="D120" s="858"/>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59">
        <f>H120</f>
        <v>625000</v>
      </c>
      <c r="D123" s="859"/>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0" t="s">
        <v>627</v>
      </c>
      <c r="C125" s="860"/>
      <c r="D125" s="860"/>
      <c r="E125" s="860"/>
      <c r="F125" s="860"/>
      <c r="G125" s="860"/>
      <c r="H125" s="860"/>
      <c r="I125" s="860"/>
      <c r="J125" s="860"/>
      <c r="K125" s="860"/>
      <c r="L125" s="448"/>
    </row>
    <row r="126" spans="1:12" ht="13.5">
      <c r="A126" s="402"/>
      <c r="B126" s="855" t="s">
        <v>676</v>
      </c>
      <c r="C126" s="855"/>
      <c r="D126" s="855"/>
      <c r="E126" s="855"/>
      <c r="F126" s="855"/>
      <c r="G126" s="855"/>
      <c r="H126" s="855"/>
      <c r="I126" s="855"/>
      <c r="J126" s="855"/>
      <c r="K126" s="855"/>
      <c r="L126" s="448"/>
    </row>
    <row r="127" spans="1:12" ht="13.5">
      <c r="A127" s="402"/>
      <c r="B127" s="541"/>
      <c r="C127" s="541"/>
      <c r="D127" s="541"/>
      <c r="E127" s="541"/>
      <c r="F127" s="541"/>
      <c r="G127" s="541"/>
      <c r="H127" s="541"/>
      <c r="I127" s="541"/>
      <c r="J127" s="541"/>
      <c r="K127" s="541"/>
      <c r="L127" s="448"/>
    </row>
    <row r="128" spans="1:12" ht="13.5">
      <c r="A128" s="402"/>
      <c r="B128" s="855" t="s">
        <v>677</v>
      </c>
      <c r="C128" s="855"/>
      <c r="D128" s="855"/>
      <c r="E128" s="855"/>
      <c r="F128" s="855"/>
      <c r="G128" s="855"/>
      <c r="H128" s="855"/>
      <c r="I128" s="855"/>
      <c r="J128" s="855"/>
      <c r="K128" s="855"/>
      <c r="L128" s="448"/>
    </row>
    <row r="129" spans="1:12" ht="13.5">
      <c r="A129" s="402"/>
      <c r="B129" s="540"/>
      <c r="C129" s="540"/>
      <c r="D129" s="540"/>
      <c r="E129" s="540"/>
      <c r="F129" s="540"/>
      <c r="G129" s="540"/>
      <c r="H129" s="540"/>
      <c r="I129" s="540"/>
      <c r="J129" s="540"/>
      <c r="K129" s="540"/>
      <c r="L129" s="448"/>
    </row>
    <row r="130" spans="1:12" ht="74.25" customHeight="1">
      <c r="A130" s="402"/>
      <c r="B130" s="856" t="s">
        <v>678</v>
      </c>
      <c r="C130" s="856"/>
      <c r="D130" s="856"/>
      <c r="E130" s="856"/>
      <c r="F130" s="856"/>
      <c r="G130" s="856"/>
      <c r="H130" s="856"/>
      <c r="I130" s="856"/>
      <c r="J130" s="856"/>
      <c r="K130" s="856"/>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57" t="s">
        <v>679</v>
      </c>
      <c r="D133" s="857"/>
      <c r="E133" s="412"/>
      <c r="F133" s="546" t="s">
        <v>680</v>
      </c>
      <c r="G133" s="412"/>
      <c r="H133" s="857" t="s">
        <v>665</v>
      </c>
      <c r="I133" s="857"/>
      <c r="J133" s="412"/>
      <c r="K133" s="414"/>
      <c r="L133" s="402"/>
    </row>
    <row r="134" spans="1:12" ht="13.5">
      <c r="A134" s="402"/>
      <c r="B134" s="420" t="s">
        <v>658</v>
      </c>
      <c r="C134" s="858">
        <v>100000</v>
      </c>
      <c r="D134" s="858"/>
      <c r="E134" s="546" t="s">
        <v>289</v>
      </c>
      <c r="F134" s="546">
        <v>0.115</v>
      </c>
      <c r="G134" s="546" t="s">
        <v>635</v>
      </c>
      <c r="H134" s="847">
        <f>C134*F134</f>
        <v>11500</v>
      </c>
      <c r="I134" s="847"/>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46" t="s">
        <v>665</v>
      </c>
      <c r="D136" s="846"/>
      <c r="E136" s="430"/>
      <c r="F136" s="548" t="s">
        <v>681</v>
      </c>
      <c r="G136" s="548"/>
      <c r="H136" s="430"/>
      <c r="I136" s="430"/>
      <c r="J136" s="430" t="s">
        <v>682</v>
      </c>
      <c r="K136" s="431"/>
      <c r="L136" s="402"/>
    </row>
    <row r="137" spans="1:12" ht="13.5">
      <c r="A137" s="402"/>
      <c r="B137" s="420" t="s">
        <v>661</v>
      </c>
      <c r="C137" s="847">
        <f>H134</f>
        <v>11500</v>
      </c>
      <c r="D137" s="847"/>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48" t="s">
        <v>685</v>
      </c>
      <c r="C144" s="849"/>
      <c r="D144" s="849"/>
      <c r="E144" s="849"/>
      <c r="F144" s="849"/>
      <c r="G144" s="849"/>
      <c r="H144" s="849"/>
      <c r="I144" s="849"/>
      <c r="J144" s="849"/>
      <c r="K144" s="850"/>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47" t="s">
        <v>686</v>
      </c>
      <c r="D147" s="847"/>
      <c r="E147" s="546"/>
      <c r="F147" s="466" t="s">
        <v>687</v>
      </c>
      <c r="G147" s="546"/>
      <c r="H147" s="546"/>
      <c r="I147" s="546"/>
      <c r="J147" s="851" t="s">
        <v>688</v>
      </c>
      <c r="K147" s="852"/>
      <c r="L147" s="402"/>
    </row>
    <row r="148" spans="1:12" ht="13.5">
      <c r="A148" s="402"/>
      <c r="B148" s="420"/>
      <c r="C148" s="853">
        <v>52.869</v>
      </c>
      <c r="D148" s="853"/>
      <c r="E148" s="546" t="s">
        <v>289</v>
      </c>
      <c r="F148" s="542">
        <v>312000000</v>
      </c>
      <c r="G148" s="471" t="s">
        <v>636</v>
      </c>
      <c r="H148" s="546">
        <v>1000</v>
      </c>
      <c r="I148" s="546" t="s">
        <v>635</v>
      </c>
      <c r="J148" s="851">
        <f>C148*(F148/1000)</f>
        <v>16495128</v>
      </c>
      <c r="K148" s="854"/>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2" t="s">
        <v>710</v>
      </c>
    </row>
    <row r="4" ht="17.25" customHeight="1">
      <c r="A4" s="392"/>
    </row>
    <row r="5" ht="15">
      <c r="A5" s="80"/>
    </row>
    <row r="6" ht="52.5" customHeight="1">
      <c r="A6" s="164" t="s">
        <v>358</v>
      </c>
    </row>
    <row r="7" ht="15">
      <c r="A7" s="80"/>
    </row>
    <row r="8" ht="15">
      <c r="A8" s="80"/>
    </row>
    <row r="9" ht="70.5" customHeight="1">
      <c r="A9" s="164" t="s">
        <v>359</v>
      </c>
    </row>
    <row r="10" ht="15">
      <c r="A10" s="165"/>
    </row>
    <row r="11" ht="15">
      <c r="A11" s="165"/>
    </row>
    <row r="12" ht="62.25">
      <c r="A12" s="481" t="s">
        <v>711</v>
      </c>
    </row>
    <row r="13" ht="15">
      <c r="A13" s="165"/>
    </row>
    <row r="14" ht="15">
      <c r="A14" s="165"/>
    </row>
    <row r="15" ht="62.25">
      <c r="A15" s="481"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765</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2" sqref="E12"/>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Lincoln Township</v>
      </c>
      <c r="B1" s="90"/>
      <c r="C1" s="90"/>
      <c r="D1" s="90"/>
      <c r="E1" s="90">
        <f>inputPrYr!D5</f>
        <v>2014</v>
      </c>
    </row>
    <row r="2" spans="1:5" ht="15">
      <c r="A2" s="88" t="str">
        <f>inputPrYr!D3</f>
        <v>Russell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10728732</v>
      </c>
    </row>
    <row r="8" spans="1:5" ht="15">
      <c r="A8" s="22" t="str">
        <f>CONCATENATE("New Improvements for ",E1-1,"")</f>
        <v>New Improvements for 2013</v>
      </c>
      <c r="B8" s="19"/>
      <c r="C8" s="19"/>
      <c r="D8" s="19"/>
      <c r="E8" s="283">
        <v>6424</v>
      </c>
    </row>
    <row r="9" spans="1:5" ht="15">
      <c r="A9" s="22" t="str">
        <f>CONCATENATE("Personal Property excluding oil, gas, and mobile homes - ",E1-1,"")</f>
        <v>Personal Property excluding oil, gas, and mobile homes - 2013</v>
      </c>
      <c r="B9" s="19"/>
      <c r="C9" s="19"/>
      <c r="D9" s="19"/>
      <c r="E9" s="283">
        <v>30549</v>
      </c>
    </row>
    <row r="10" spans="1:5" ht="15">
      <c r="A10" s="22" t="str">
        <f>CONCATENATE("Property that has changed in use for ",E1-1,"")</f>
        <v>Property that has changed in use for 2013</v>
      </c>
      <c r="B10" s="19"/>
      <c r="C10" s="19"/>
      <c r="D10" s="19"/>
      <c r="E10" s="283">
        <v>2437</v>
      </c>
    </row>
    <row r="11" spans="1:5" ht="15">
      <c r="A11" s="22" t="str">
        <f>CONCATENATE("Personal Property excluding oil, gas, and mobile homes- ",E1-2,"")</f>
        <v>Personal Property excluding oil, gas, and mobile homes- 2012</v>
      </c>
      <c r="B11" s="19"/>
      <c r="C11" s="19"/>
      <c r="D11" s="19"/>
      <c r="E11" s="283">
        <v>40368</v>
      </c>
    </row>
    <row r="12" spans="1:5" ht="15">
      <c r="A12" s="22" t="str">
        <f>CONCATENATE("Gross earnings (intangible) tax estimate for ",E1,"")</f>
        <v>Gross earnings (intangible) tax estimate for 2014</v>
      </c>
      <c r="B12" s="19"/>
      <c r="C12" s="19"/>
      <c r="D12" s="19"/>
      <c r="E12" s="283">
        <v>300</v>
      </c>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7.9</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7.9</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12037763</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2475</v>
      </c>
    </row>
    <row r="33" spans="1:5" ht="15">
      <c r="A33" s="296" t="s">
        <v>276</v>
      </c>
      <c r="B33" s="267"/>
      <c r="C33" s="267"/>
      <c r="D33" s="31"/>
      <c r="E33" s="34">
        <v>58</v>
      </c>
    </row>
    <row r="34" spans="1:5" ht="15">
      <c r="A34" s="296" t="s">
        <v>160</v>
      </c>
      <c r="B34" s="267"/>
      <c r="C34" s="267"/>
      <c r="D34" s="31"/>
      <c r="E34" s="34">
        <v>237</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
      <c r="A42" s="140"/>
      <c r="B42" s="140"/>
      <c r="C42" s="140"/>
      <c r="D42" s="140"/>
      <c r="E42" s="140"/>
    </row>
    <row r="43" spans="1:5" ht="15">
      <c r="A43" s="757" t="str">
        <f>CONCATENATE("From the ",E1-2," Budget Certificate Page")</f>
        <v>From the 2012 Budget Certificate Page</v>
      </c>
      <c r="B43" s="758"/>
      <c r="C43" s="140"/>
      <c r="D43" s="140"/>
      <c r="E43" s="140"/>
    </row>
    <row r="44" spans="1:5" ht="15">
      <c r="A44" s="300"/>
      <c r="B44" s="300" t="str">
        <f>CONCATENATE("",E1-2," Expenditure Amounts")</f>
        <v>2012 Expenditure Amounts</v>
      </c>
      <c r="C44" s="759" t="str">
        <f>CONCATENATE("Note: If the ",E1-2," budget was amended, then the")</f>
        <v>Note: If the 2012 budget was amended, then the</v>
      </c>
      <c r="D44" s="760"/>
      <c r="E44" s="760"/>
    </row>
    <row r="45" spans="1:5" ht="15">
      <c r="A45" s="301" t="s">
        <v>207</v>
      </c>
      <c r="B45" s="301" t="s">
        <v>208</v>
      </c>
      <c r="C45" s="302" t="s">
        <v>209</v>
      </c>
      <c r="D45" s="303"/>
      <c r="E45" s="303"/>
    </row>
    <row r="46" spans="1:5" ht="15">
      <c r="A46" s="304" t="str">
        <f>inputPrYr!B16</f>
        <v>General</v>
      </c>
      <c r="B46" s="36">
        <v>99600</v>
      </c>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877" t="s">
        <v>769</v>
      </c>
      <c r="C2" s="877"/>
      <c r="D2" s="877"/>
      <c r="E2" s="877"/>
      <c r="F2" s="877"/>
      <c r="G2" s="877"/>
      <c r="H2" s="877"/>
      <c r="I2" s="877"/>
    </row>
    <row r="3" spans="2:9" ht="15">
      <c r="B3" s="877" t="s">
        <v>770</v>
      </c>
      <c r="C3" s="877"/>
      <c r="D3" s="877"/>
      <c r="E3" s="877"/>
      <c r="F3" s="877"/>
      <c r="G3" s="877"/>
      <c r="H3" s="877"/>
      <c r="I3" s="877"/>
    </row>
    <row r="4" spans="2:9" ht="15">
      <c r="B4" s="556"/>
      <c r="C4" s="556"/>
      <c r="D4" s="556"/>
      <c r="E4" s="556"/>
      <c r="F4" s="556"/>
      <c r="G4" s="556"/>
      <c r="H4" s="556"/>
      <c r="I4" s="556"/>
    </row>
    <row r="5" spans="2:9" ht="15">
      <c r="B5" s="878" t="str">
        <f>CONCATENATE("Budgeted Year: ",inputPrYr!D5,"")</f>
        <v>Budgeted Year: 2014</v>
      </c>
      <c r="C5" s="878"/>
      <c r="D5" s="878"/>
      <c r="E5" s="878"/>
      <c r="F5" s="878"/>
      <c r="G5" s="878"/>
      <c r="H5" s="878"/>
      <c r="I5" s="878"/>
    </row>
    <row r="6" spans="2:9" ht="15">
      <c r="B6" s="557"/>
      <c r="C6" s="556"/>
      <c r="D6" s="556"/>
      <c r="E6" s="556"/>
      <c r="F6" s="556"/>
      <c r="G6" s="556"/>
      <c r="H6" s="556"/>
      <c r="I6" s="556"/>
    </row>
    <row r="7" spans="2:9" ht="15">
      <c r="B7" s="557" t="str">
        <f>CONCATENATE("Library found in: ",inputPrYr!D2,"")</f>
        <v>Library found in: Lincoln Township</v>
      </c>
      <c r="C7" s="556"/>
      <c r="D7" s="556"/>
      <c r="E7" s="556"/>
      <c r="F7" s="556"/>
      <c r="G7" s="556"/>
      <c r="H7" s="556"/>
      <c r="I7" s="556"/>
    </row>
    <row r="8" spans="2:9" ht="15">
      <c r="B8" s="557" t="str">
        <f>inputPrYr!D3</f>
        <v>Russell County</v>
      </c>
      <c r="C8" s="556"/>
      <c r="D8" s="556"/>
      <c r="E8" s="556"/>
      <c r="F8" s="556"/>
      <c r="G8" s="556"/>
      <c r="H8" s="556"/>
      <c r="I8" s="556"/>
    </row>
    <row r="9" spans="2:9" ht="15">
      <c r="B9" s="556"/>
      <c r="C9" s="556"/>
      <c r="D9" s="556"/>
      <c r="E9" s="556"/>
      <c r="F9" s="556"/>
      <c r="G9" s="556"/>
      <c r="H9" s="556"/>
      <c r="I9" s="556"/>
    </row>
    <row r="10" spans="2:9" ht="39" customHeight="1">
      <c r="B10" s="879" t="s">
        <v>771</v>
      </c>
      <c r="C10" s="879"/>
      <c r="D10" s="879"/>
      <c r="E10" s="879"/>
      <c r="F10" s="879"/>
      <c r="G10" s="879"/>
      <c r="H10" s="879"/>
      <c r="I10" s="879"/>
    </row>
    <row r="11" spans="2:9" ht="15">
      <c r="B11" s="556"/>
      <c r="C11" s="556"/>
      <c r="D11" s="556"/>
      <c r="E11" s="556"/>
      <c r="F11" s="556"/>
      <c r="G11" s="556"/>
      <c r="H11" s="556"/>
      <c r="I11" s="556"/>
    </row>
    <row r="12" spans="2:9" ht="15">
      <c r="B12" s="558" t="s">
        <v>772</v>
      </c>
      <c r="C12" s="556"/>
      <c r="D12" s="556"/>
      <c r="E12" s="556"/>
      <c r="F12" s="556"/>
      <c r="G12" s="556"/>
      <c r="H12" s="556"/>
      <c r="I12" s="556"/>
    </row>
    <row r="13" spans="2:9" ht="15">
      <c r="B13" s="556"/>
      <c r="C13" s="556"/>
      <c r="D13" s="556"/>
      <c r="E13" s="559" t="s">
        <v>12</v>
      </c>
      <c r="F13" s="556"/>
      <c r="G13" s="559" t="s">
        <v>773</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161</v>
      </c>
      <c r="C20" s="556"/>
      <c r="D20" s="556"/>
      <c r="E20" s="561">
        <v>0</v>
      </c>
      <c r="F20" s="556"/>
      <c r="G20" s="561">
        <v>0</v>
      </c>
      <c r="H20" s="556"/>
      <c r="I20" s="556"/>
    </row>
    <row r="21" spans="2:9" ht="15">
      <c r="B21" s="556"/>
      <c r="C21" s="556"/>
      <c r="D21" s="556"/>
      <c r="E21" s="561">
        <v>0</v>
      </c>
      <c r="F21" s="556"/>
      <c r="G21" s="561">
        <v>0</v>
      </c>
      <c r="H21" s="556"/>
      <c r="I21" s="556"/>
    </row>
    <row r="22" spans="2:9" ht="15">
      <c r="B22" s="556" t="s">
        <v>774</v>
      </c>
      <c r="C22" s="556"/>
      <c r="D22" s="556"/>
      <c r="E22" s="562">
        <f>SUM(E15:E21)</f>
        <v>0</v>
      </c>
      <c r="F22" s="556"/>
      <c r="G22" s="562">
        <f>SUM(G15:G21)</f>
        <v>0</v>
      </c>
      <c r="H22" s="556"/>
      <c r="I22" s="556"/>
    </row>
    <row r="23" spans="2:9" ht="15">
      <c r="B23" s="556" t="s">
        <v>775</v>
      </c>
      <c r="C23" s="556"/>
      <c r="D23" s="556"/>
      <c r="E23" s="563">
        <f>G22-E22</f>
        <v>0</v>
      </c>
      <c r="F23" s="556"/>
      <c r="G23" s="564"/>
      <c r="H23" s="556"/>
      <c r="I23" s="556"/>
    </row>
    <row r="24" spans="2:9" ht="15">
      <c r="B24" s="556" t="s">
        <v>776</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777</v>
      </c>
      <c r="C26" s="556"/>
      <c r="D26" s="556"/>
      <c r="E26" s="556"/>
      <c r="F26" s="556"/>
      <c r="G26" s="556"/>
      <c r="H26" s="556"/>
      <c r="I26" s="556"/>
    </row>
    <row r="27" spans="2:9" ht="15">
      <c r="B27" s="556" t="s">
        <v>778</v>
      </c>
      <c r="C27" s="556"/>
      <c r="D27" s="556"/>
      <c r="E27" s="561">
        <f>summ!E37</f>
        <v>12037763</v>
      </c>
      <c r="F27" s="556"/>
      <c r="G27" s="561">
        <f>summ!G37</f>
        <v>10728732</v>
      </c>
      <c r="H27" s="556"/>
      <c r="I27" s="556"/>
    </row>
    <row r="28" spans="2:9" ht="15">
      <c r="B28" s="556" t="s">
        <v>779</v>
      </c>
      <c r="C28" s="556"/>
      <c r="D28" s="556"/>
      <c r="E28" s="566" t="str">
        <f>IF(G27-E27&gt;=0,"No","Yes")</f>
        <v>Yes</v>
      </c>
      <c r="F28" s="556"/>
      <c r="G28" s="556"/>
      <c r="H28" s="556"/>
      <c r="I28" s="556"/>
    </row>
    <row r="29" spans="2:9" ht="15">
      <c r="B29" s="556" t="s">
        <v>780</v>
      </c>
      <c r="C29" s="556"/>
      <c r="D29" s="556"/>
      <c r="E29" s="567" t="str">
        <f>summ!F20</f>
        <v>  </v>
      </c>
      <c r="F29" s="556"/>
      <c r="G29" s="567" t="str">
        <f>summ!I20</f>
        <v> </v>
      </c>
      <c r="H29" s="556"/>
      <c r="I29" s="556"/>
    </row>
    <row r="30" spans="2:9" ht="15">
      <c r="B30" s="556" t="s">
        <v>781</v>
      </c>
      <c r="C30" s="556"/>
      <c r="D30" s="556"/>
      <c r="E30" s="568" t="e">
        <f>G29-E29</f>
        <v>#VALUE!</v>
      </c>
      <c r="F30" s="556"/>
      <c r="G30" s="556"/>
      <c r="H30" s="556"/>
      <c r="I30" s="556"/>
    </row>
    <row r="31" spans="2:9" ht="15">
      <c r="B31" s="556" t="s">
        <v>776</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782</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879" t="s">
        <v>783</v>
      </c>
      <c r="C36" s="879"/>
      <c r="D36" s="879"/>
      <c r="E36" s="879"/>
      <c r="F36" s="879"/>
      <c r="G36" s="879"/>
      <c r="H36" s="879"/>
      <c r="I36" s="879"/>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784</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880" t="s">
        <v>785</v>
      </c>
      <c r="C43" s="881"/>
      <c r="D43" s="881"/>
      <c r="E43" s="881"/>
      <c r="F43" s="881"/>
      <c r="G43" s="881"/>
      <c r="H43" s="881"/>
      <c r="I43" s="881"/>
    </row>
    <row r="44" spans="2:9" ht="15">
      <c r="B44" s="556"/>
      <c r="C44" s="556"/>
      <c r="D44" s="556"/>
      <c r="E44" s="556"/>
      <c r="F44" s="556"/>
      <c r="G44" s="556"/>
      <c r="H44" s="556"/>
      <c r="I44" s="556"/>
    </row>
    <row r="45" spans="2:9" ht="15">
      <c r="B45" s="573" t="s">
        <v>786</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787</v>
      </c>
      <c r="C49" s="573"/>
      <c r="D49" s="574"/>
      <c r="E49" s="574"/>
      <c r="F49" s="574"/>
      <c r="G49" s="574"/>
      <c r="H49" s="574"/>
      <c r="I49" s="574"/>
    </row>
    <row r="50" spans="2:9" ht="15">
      <c r="B50" s="573" t="s">
        <v>788</v>
      </c>
      <c r="C50" s="573"/>
      <c r="D50" s="574"/>
      <c r="E50" s="574"/>
      <c r="F50" s="574"/>
      <c r="G50" s="574"/>
      <c r="H50" s="574"/>
      <c r="I50" s="574"/>
    </row>
    <row r="51" spans="2:9" ht="15">
      <c r="B51" s="573" t="s">
        <v>789</v>
      </c>
      <c r="C51" s="573"/>
      <c r="D51" s="574"/>
      <c r="E51" s="574"/>
      <c r="F51" s="574"/>
      <c r="G51" s="574"/>
      <c r="H51" s="574"/>
      <c r="I51" s="574"/>
    </row>
    <row r="52" spans="2:9" ht="15">
      <c r="B52" s="574"/>
      <c r="C52" s="574"/>
      <c r="D52" s="574"/>
      <c r="E52" s="574"/>
      <c r="F52" s="574"/>
      <c r="G52" s="574"/>
      <c r="H52" s="574"/>
      <c r="I52" s="574"/>
    </row>
    <row r="53" spans="2:9" ht="15">
      <c r="B53" s="575" t="s">
        <v>790</v>
      </c>
      <c r="C53" s="574"/>
      <c r="D53" s="574"/>
      <c r="E53" s="574"/>
      <c r="F53" s="574"/>
      <c r="G53" s="574"/>
      <c r="H53" s="574"/>
      <c r="I53" s="574"/>
    </row>
    <row r="54" spans="2:9" ht="15">
      <c r="B54" s="574"/>
      <c r="C54" s="574"/>
      <c r="D54" s="574"/>
      <c r="E54" s="574"/>
      <c r="F54" s="574"/>
      <c r="G54" s="574"/>
      <c r="H54" s="574"/>
      <c r="I54" s="574"/>
    </row>
    <row r="55" spans="2:9" ht="15">
      <c r="B55" s="573" t="s">
        <v>791</v>
      </c>
      <c r="C55" s="574"/>
      <c r="D55" s="574"/>
      <c r="E55" s="574"/>
      <c r="F55" s="574"/>
      <c r="G55" s="574"/>
      <c r="H55" s="574"/>
      <c r="I55" s="574"/>
    </row>
    <row r="56" spans="2:9" ht="15">
      <c r="B56" s="573" t="s">
        <v>792</v>
      </c>
      <c r="C56" s="574"/>
      <c r="D56" s="574"/>
      <c r="E56" s="574"/>
      <c r="F56" s="574"/>
      <c r="G56" s="574"/>
      <c r="H56" s="574"/>
      <c r="I56" s="574"/>
    </row>
    <row r="57" spans="2:9" ht="15">
      <c r="B57" s="574"/>
      <c r="C57" s="574"/>
      <c r="D57" s="574"/>
      <c r="E57" s="574"/>
      <c r="F57" s="574"/>
      <c r="G57" s="574"/>
      <c r="H57" s="574"/>
      <c r="I57" s="574"/>
    </row>
    <row r="58" spans="2:9" ht="15">
      <c r="B58" s="575" t="s">
        <v>793</v>
      </c>
      <c r="C58" s="573"/>
      <c r="D58" s="573"/>
      <c r="E58" s="573"/>
      <c r="F58" s="573"/>
      <c r="G58" s="574"/>
      <c r="H58" s="574"/>
      <c r="I58" s="574"/>
    </row>
    <row r="59" spans="2:9" ht="15">
      <c r="B59" s="573"/>
      <c r="C59" s="573"/>
      <c r="D59" s="573"/>
      <c r="E59" s="573"/>
      <c r="F59" s="573"/>
      <c r="G59" s="574"/>
      <c r="H59" s="574"/>
      <c r="I59" s="574"/>
    </row>
    <row r="60" spans="2:9" ht="15">
      <c r="B60" s="573" t="s">
        <v>794</v>
      </c>
      <c r="C60" s="573"/>
      <c r="D60" s="573"/>
      <c r="E60" s="573"/>
      <c r="F60" s="573"/>
      <c r="G60" s="574"/>
      <c r="H60" s="574"/>
      <c r="I60" s="574"/>
    </row>
    <row r="61" spans="2:9" ht="15">
      <c r="B61" s="573" t="s">
        <v>795</v>
      </c>
      <c r="C61" s="573"/>
      <c r="D61" s="573"/>
      <c r="E61" s="573"/>
      <c r="F61" s="573"/>
      <c r="G61" s="574"/>
      <c r="H61" s="574"/>
      <c r="I61" s="574"/>
    </row>
    <row r="62" spans="2:9" ht="15">
      <c r="B62" s="573" t="s">
        <v>796</v>
      </c>
      <c r="C62" s="573"/>
      <c r="D62" s="573"/>
      <c r="E62" s="573"/>
      <c r="F62" s="573"/>
      <c r="G62" s="574"/>
      <c r="H62" s="574"/>
      <c r="I62" s="574"/>
    </row>
    <row r="63" spans="2:9" ht="15">
      <c r="B63" s="573" t="s">
        <v>797</v>
      </c>
      <c r="C63" s="573"/>
      <c r="D63" s="573"/>
      <c r="E63" s="573"/>
      <c r="F63" s="573"/>
      <c r="G63" s="574"/>
      <c r="H63" s="574"/>
      <c r="I63" s="574"/>
    </row>
    <row r="64" spans="2:9" ht="15">
      <c r="B64" s="576"/>
      <c r="C64" s="576"/>
      <c r="D64" s="576"/>
      <c r="E64" s="576"/>
      <c r="F64" s="576"/>
      <c r="G64" s="574"/>
      <c r="H64" s="574"/>
      <c r="I64" s="574"/>
    </row>
    <row r="65" spans="2:9" ht="15">
      <c r="B65" s="573" t="s">
        <v>798</v>
      </c>
      <c r="C65" s="576"/>
      <c r="D65" s="576"/>
      <c r="E65" s="576"/>
      <c r="F65" s="576"/>
      <c r="G65" s="574"/>
      <c r="H65" s="574"/>
      <c r="I65" s="574"/>
    </row>
    <row r="66" spans="2:9" ht="15">
      <c r="B66" s="573" t="s">
        <v>799</v>
      </c>
      <c r="C66" s="576"/>
      <c r="D66" s="576"/>
      <c r="E66" s="576"/>
      <c r="F66" s="576"/>
      <c r="G66" s="574"/>
      <c r="H66" s="574"/>
      <c r="I66" s="574"/>
    </row>
    <row r="67" spans="2:9" ht="15">
      <c r="B67" s="576"/>
      <c r="C67" s="576"/>
      <c r="D67" s="576"/>
      <c r="E67" s="576"/>
      <c r="F67" s="576"/>
      <c r="G67" s="574"/>
      <c r="H67" s="574"/>
      <c r="I67" s="574"/>
    </row>
    <row r="68" spans="2:9" ht="15">
      <c r="B68" s="573" t="s">
        <v>800</v>
      </c>
      <c r="C68" s="576"/>
      <c r="D68" s="576"/>
      <c r="E68" s="576"/>
      <c r="F68" s="576"/>
      <c r="G68" s="574"/>
      <c r="H68" s="574"/>
      <c r="I68" s="574"/>
    </row>
    <row r="69" spans="2:9" ht="15">
      <c r="B69" s="573" t="s">
        <v>801</v>
      </c>
      <c r="C69" s="576"/>
      <c r="D69" s="576"/>
      <c r="E69" s="576"/>
      <c r="F69" s="576"/>
      <c r="G69" s="574"/>
      <c r="H69" s="574"/>
      <c r="I69" s="574"/>
    </row>
    <row r="70" spans="2:9" ht="15">
      <c r="B70" s="576"/>
      <c r="C70" s="576"/>
      <c r="D70" s="576"/>
      <c r="E70" s="576"/>
      <c r="F70" s="576"/>
      <c r="G70" s="574"/>
      <c r="H70" s="574"/>
      <c r="I70" s="574"/>
    </row>
    <row r="71" spans="2:9" ht="15">
      <c r="B71" s="575" t="s">
        <v>802</v>
      </c>
      <c r="C71" s="576"/>
      <c r="D71" s="576"/>
      <c r="E71" s="576"/>
      <c r="F71" s="576"/>
      <c r="G71" s="574"/>
      <c r="H71" s="574"/>
      <c r="I71" s="574"/>
    </row>
    <row r="72" spans="2:9" ht="15">
      <c r="B72" s="576"/>
      <c r="C72" s="576"/>
      <c r="D72" s="576"/>
      <c r="E72" s="576"/>
      <c r="F72" s="576"/>
      <c r="G72" s="574"/>
      <c r="H72" s="574"/>
      <c r="I72" s="574"/>
    </row>
    <row r="73" spans="2:9" ht="15">
      <c r="B73" s="573" t="s">
        <v>803</v>
      </c>
      <c r="C73" s="576"/>
      <c r="D73" s="576"/>
      <c r="E73" s="576"/>
      <c r="F73" s="576"/>
      <c r="G73" s="574"/>
      <c r="H73" s="574"/>
      <c r="I73" s="574"/>
    </row>
    <row r="74" spans="2:9" ht="15">
      <c r="B74" s="573" t="s">
        <v>804</v>
      </c>
      <c r="C74" s="576"/>
      <c r="D74" s="576"/>
      <c r="E74" s="576"/>
      <c r="F74" s="576"/>
      <c r="G74" s="574"/>
      <c r="H74" s="574"/>
      <c r="I74" s="574"/>
    </row>
    <row r="75" spans="2:9" ht="15">
      <c r="B75" s="576"/>
      <c r="C75" s="576"/>
      <c r="D75" s="576"/>
      <c r="E75" s="576"/>
      <c r="F75" s="576"/>
      <c r="G75" s="574"/>
      <c r="H75" s="574"/>
      <c r="I75" s="574"/>
    </row>
    <row r="76" spans="2:9" ht="15">
      <c r="B76" s="575" t="s">
        <v>805</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806</v>
      </c>
      <c r="C79" s="576"/>
      <c r="D79" s="576"/>
      <c r="E79" s="576"/>
      <c r="F79" s="576"/>
      <c r="G79" s="574"/>
      <c r="H79" s="574"/>
      <c r="I79" s="574"/>
    </row>
    <row r="80" spans="2:9" ht="15">
      <c r="B80" s="576"/>
      <c r="C80" s="576"/>
      <c r="D80" s="576"/>
      <c r="E80" s="576"/>
      <c r="F80" s="576"/>
      <c r="G80" s="574"/>
      <c r="H80" s="574"/>
      <c r="I80" s="574"/>
    </row>
    <row r="81" spans="2:9" ht="15">
      <c r="B81" s="575" t="s">
        <v>391</v>
      </c>
      <c r="C81" s="576"/>
      <c r="D81" s="576"/>
      <c r="E81" s="576"/>
      <c r="F81" s="576"/>
      <c r="G81" s="574"/>
      <c r="H81" s="574"/>
      <c r="I81" s="574"/>
    </row>
    <row r="82" spans="2:9" ht="15">
      <c r="B82" s="576"/>
      <c r="C82" s="576"/>
      <c r="D82" s="576"/>
      <c r="E82" s="576"/>
      <c r="F82" s="576"/>
      <c r="G82" s="574"/>
      <c r="H82" s="574"/>
      <c r="I82" s="574"/>
    </row>
    <row r="83" spans="2:9" ht="15">
      <c r="B83" s="573" t="s">
        <v>807</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808</v>
      </c>
      <c r="C86" s="576"/>
      <c r="D86" s="576"/>
      <c r="E86" s="576"/>
      <c r="F86" s="576"/>
      <c r="G86" s="574"/>
      <c r="H86" s="574"/>
      <c r="I86" s="574"/>
    </row>
    <row r="87" spans="2:9" ht="15">
      <c r="B87" s="573" t="s">
        <v>809</v>
      </c>
      <c r="C87" s="576"/>
      <c r="D87" s="576"/>
      <c r="E87" s="576"/>
      <c r="F87" s="576"/>
      <c r="G87" s="574"/>
      <c r="H87" s="574"/>
      <c r="I87" s="574"/>
    </row>
    <row r="88" spans="2:9" ht="15">
      <c r="B88" s="573" t="s">
        <v>810</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811</v>
      </c>
      <c r="C92" s="576"/>
      <c r="D92" s="576"/>
      <c r="E92" s="576"/>
      <c r="F92" s="576"/>
      <c r="G92" s="574"/>
      <c r="H92" s="574"/>
      <c r="I92" s="574"/>
    </row>
    <row r="93" spans="2:9" ht="15">
      <c r="B93" s="573" t="s">
        <v>812</v>
      </c>
      <c r="C93" s="576"/>
      <c r="D93" s="576"/>
      <c r="E93" s="576"/>
      <c r="F93" s="576"/>
      <c r="G93" s="574"/>
      <c r="H93" s="574"/>
      <c r="I93" s="574"/>
    </row>
    <row r="94" spans="2:9" ht="15">
      <c r="B94" s="573" t="s">
        <v>813</v>
      </c>
      <c r="C94" s="576"/>
      <c r="D94" s="576"/>
      <c r="E94" s="576"/>
      <c r="F94" s="576"/>
      <c r="G94" s="574"/>
      <c r="H94" s="574"/>
      <c r="I94" s="574"/>
    </row>
    <row r="95" spans="2:9" ht="15">
      <c r="B95" s="576"/>
      <c r="C95" s="576"/>
      <c r="D95" s="576"/>
      <c r="E95" s="576"/>
      <c r="F95" s="576"/>
      <c r="G95" s="574"/>
      <c r="H95" s="574"/>
      <c r="I95" s="574"/>
    </row>
    <row r="96" spans="2:9" ht="15">
      <c r="B96" s="575" t="s">
        <v>814</v>
      </c>
      <c r="C96" s="576"/>
      <c r="D96" s="576"/>
      <c r="E96" s="576"/>
      <c r="F96" s="576"/>
      <c r="G96" s="574"/>
      <c r="H96" s="574"/>
      <c r="I96" s="574"/>
    </row>
    <row r="97" spans="2:9" ht="15">
      <c r="B97" s="576"/>
      <c r="C97" s="576"/>
      <c r="D97" s="576"/>
      <c r="E97" s="576"/>
      <c r="F97" s="576"/>
      <c r="G97" s="574"/>
      <c r="H97" s="574"/>
      <c r="I97" s="574"/>
    </row>
    <row r="98" spans="2:9" ht="15">
      <c r="B98" s="573" t="s">
        <v>815</v>
      </c>
      <c r="C98" s="576"/>
      <c r="D98" s="576"/>
      <c r="E98" s="576"/>
      <c r="F98" s="576"/>
      <c r="G98" s="574"/>
      <c r="H98" s="574"/>
      <c r="I98" s="574"/>
    </row>
    <row r="99" spans="2:9" ht="15">
      <c r="B99" s="573" t="s">
        <v>816</v>
      </c>
      <c r="C99" s="576"/>
      <c r="D99" s="576"/>
      <c r="E99" s="576"/>
      <c r="F99" s="576"/>
      <c r="G99" s="574"/>
      <c r="H99" s="574"/>
      <c r="I99" s="574"/>
    </row>
    <row r="100" spans="2:9" ht="15">
      <c r="B100" s="576"/>
      <c r="C100" s="576"/>
      <c r="D100" s="576"/>
      <c r="E100" s="576"/>
      <c r="F100" s="576"/>
      <c r="G100" s="574"/>
      <c r="H100" s="574"/>
      <c r="I100" s="574"/>
    </row>
    <row r="101" spans="2:9" ht="15">
      <c r="B101" s="573" t="s">
        <v>817</v>
      </c>
      <c r="C101" s="576"/>
      <c r="D101" s="576"/>
      <c r="E101" s="576"/>
      <c r="F101" s="576"/>
      <c r="G101" s="574"/>
      <c r="H101" s="574"/>
      <c r="I101" s="574"/>
    </row>
    <row r="102" spans="2:9" ht="15">
      <c r="B102" s="573" t="s">
        <v>818</v>
      </c>
      <c r="C102" s="576"/>
      <c r="D102" s="576"/>
      <c r="E102" s="576"/>
      <c r="F102" s="576"/>
      <c r="G102" s="574"/>
      <c r="H102" s="574"/>
      <c r="I102" s="574"/>
    </row>
    <row r="103" spans="2:9" ht="15">
      <c r="B103" s="573" t="s">
        <v>819</v>
      </c>
      <c r="C103" s="576"/>
      <c r="D103" s="576"/>
      <c r="E103" s="576"/>
      <c r="F103" s="576"/>
      <c r="G103" s="574"/>
      <c r="H103" s="574"/>
      <c r="I103" s="574"/>
    </row>
    <row r="104" spans="2:9" ht="15">
      <c r="B104" s="573" t="s">
        <v>820</v>
      </c>
      <c r="C104" s="576"/>
      <c r="D104" s="576"/>
      <c r="E104" s="576"/>
      <c r="F104" s="576"/>
      <c r="G104" s="574"/>
      <c r="H104" s="574"/>
      <c r="I104" s="574"/>
    </row>
    <row r="105" spans="2:9" ht="1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1.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Lincoln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
      <c r="B24" s="604"/>
      <c r="C24" s="599"/>
      <c r="D24" s="601"/>
      <c r="E24" s="602"/>
      <c r="G24" s="820" t="str">
        <f>CONCATENATE("Desired Carryover Into ",E1+1,"")</f>
        <v>Desired Carryover Into 2015</v>
      </c>
      <c r="H24" s="821"/>
      <c r="I24" s="821"/>
      <c r="J24" s="822"/>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
      <c r="B31" s="627" t="s">
        <v>212</v>
      </c>
      <c r="C31" s="607"/>
      <c r="D31" s="601"/>
      <c r="E31" s="602"/>
      <c r="G31" s="820" t="str">
        <f>CONCATENATE("Projected Carryover Into ",E1+1,"")</f>
        <v>Projected Carryover Into 2015</v>
      </c>
      <c r="H31" s="823"/>
      <c r="I31" s="823"/>
      <c r="J31" s="824"/>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
      <c r="B36" s="636"/>
      <c r="C36" s="807" t="s">
        <v>622</v>
      </c>
      <c r="D36" s="808"/>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9" t="s">
        <v>623</v>
      </c>
      <c r="D37" s="810"/>
      <c r="E37" s="597">
        <f>E33+E36</f>
        <v>0</v>
      </c>
      <c r="F37" s="635"/>
      <c r="G37" s="644"/>
      <c r="H37" s="615"/>
      <c r="I37" s="615"/>
      <c r="J37" s="628"/>
    </row>
    <row r="38" spans="2:10" ht="1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5.75" thickBot="1">
      <c r="B40" s="580"/>
      <c r="C40" s="882" t="str">
        <f>CONCATENATE("Amount of  ",E1-1," Ad Valorem Tax")</f>
        <v>Amount of  2013 Ad Valorem Tax</v>
      </c>
      <c r="D40" s="883"/>
      <c r="E40" s="653">
        <f>SUM(E38:E39)</f>
        <v>0</v>
      </c>
      <c r="F40" s="635"/>
    </row>
    <row r="41" spans="2:10" ht="15.75" thickTop="1">
      <c r="B41" s="580"/>
      <c r="C41" s="882"/>
      <c r="D41" s="883"/>
      <c r="E41" s="654"/>
      <c r="F41" s="635"/>
      <c r="G41" s="825" t="s">
        <v>825</v>
      </c>
      <c r="H41" s="826"/>
      <c r="I41" s="826"/>
      <c r="J41" s="827"/>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10</v>
      </c>
      <c r="C44" s="587" t="s">
        <v>821</v>
      </c>
      <c r="D44" s="588" t="s">
        <v>822</v>
      </c>
      <c r="E44" s="589" t="s">
        <v>823</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12.489</v>
      </c>
      <c r="H45" s="632" t="str">
        <f>CONCATENATE("Total ",E1," Mill Rate")</f>
        <v>Total 2014 Mill Rate</v>
      </c>
      <c r="I45" s="656"/>
      <c r="J45" s="657"/>
    </row>
    <row r="46" spans="2:10" ht="15">
      <c r="B46" s="594" t="s">
        <v>144</v>
      </c>
      <c r="C46" s="599">
        <v>0</v>
      </c>
      <c r="D46" s="596">
        <f>C74</f>
        <v>0</v>
      </c>
      <c r="E46" s="597">
        <f>D74</f>
        <v>0</v>
      </c>
      <c r="F46" s="635"/>
      <c r="G46" s="659">
        <f>summ!F32</f>
        <v>7.9</v>
      </c>
      <c r="H46" s="662" t="str">
        <f>CONCATENATE("Total ",E1-1," Mill Rate")</f>
        <v>Total 2013 Mill Rate</v>
      </c>
      <c r="I46" s="663"/>
      <c r="J46" s="664"/>
    </row>
    <row r="47" spans="2:6" ht="15">
      <c r="B47" s="665" t="s">
        <v>120</v>
      </c>
      <c r="C47" s="594"/>
      <c r="D47" s="596"/>
      <c r="E47" s="597"/>
      <c r="F47" s="635"/>
    </row>
    <row r="48" spans="2:9" ht="15">
      <c r="B48" s="594" t="s">
        <v>16</v>
      </c>
      <c r="C48" s="607"/>
      <c r="D48" s="596">
        <f>IF(inputPrYr!H15&gt;0,inputPrYr!G18,inputPrYr!E18)</f>
        <v>0</v>
      </c>
      <c r="E48" s="600" t="s">
        <v>289</v>
      </c>
      <c r="F48" s="635"/>
      <c r="G48" s="744" t="s">
        <v>933</v>
      </c>
      <c r="H48" s="743"/>
      <c r="I48" s="742" t="str">
        <f>cert!F37</f>
        <v>Yes</v>
      </c>
    </row>
    <row r="49" spans="2:6" ht="15">
      <c r="B49" s="594" t="s">
        <v>17</v>
      </c>
      <c r="C49" s="607"/>
      <c r="D49" s="601"/>
      <c r="E49" s="602"/>
      <c r="F49" s="635"/>
    </row>
    <row r="50" spans="2:6" ht="15">
      <c r="B50" s="594" t="s">
        <v>18</v>
      </c>
      <c r="C50" s="607"/>
      <c r="D50" s="601"/>
      <c r="E50" s="597">
        <f>mvalloc!G13</f>
        <v>0</v>
      </c>
      <c r="F50" s="635"/>
    </row>
    <row r="51" spans="2:6" ht="1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
      <c r="B64" s="604"/>
      <c r="C64" s="599"/>
      <c r="D64" s="601"/>
      <c r="E64" s="602"/>
      <c r="G64" s="820" t="str">
        <f>CONCATENATE("Desired Carryover Into ",E1+1,"")</f>
        <v>Desired Carryover Into 2015</v>
      </c>
      <c r="H64" s="821"/>
      <c r="I64" s="821"/>
      <c r="J64" s="822"/>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
      <c r="B70" s="603" t="s">
        <v>214</v>
      </c>
      <c r="C70" s="599"/>
      <c r="D70" s="601"/>
      <c r="E70" s="597">
        <f>nhood!E8</f>
      </c>
      <c r="F70" s="635"/>
    </row>
    <row r="71" spans="2:10" ht="15">
      <c r="B71" s="603" t="s">
        <v>212</v>
      </c>
      <c r="C71" s="607"/>
      <c r="D71" s="601"/>
      <c r="E71" s="602"/>
      <c r="F71" s="635"/>
      <c r="G71" s="820" t="str">
        <f>CONCATENATE("Projected Carryover Into ",E1+1,"")</f>
        <v>Projected Carryover Into 2015</v>
      </c>
      <c r="H71" s="828"/>
      <c r="I71" s="828"/>
      <c r="J71" s="824"/>
    </row>
    <row r="72" spans="2:10" ht="15">
      <c r="B72" s="603" t="s">
        <v>621</v>
      </c>
      <c r="C72" s="608">
        <f>IF(C73*0.1&lt;C71,"Exceed 10% Rule","")</f>
      </c>
      <c r="D72" s="608">
        <f>IF(D73*0.1&lt;D71,"Exceed 10% Rule","")</f>
      </c>
      <c r="E72" s="609">
        <f>IF(E73*0.1&lt;E71,"Exceed 10% Rule","")</f>
      </c>
      <c r="F72" s="635"/>
      <c r="G72" s="667"/>
      <c r="H72" s="614"/>
      <c r="I72" s="614"/>
      <c r="J72" s="668"/>
    </row>
    <row r="73" spans="2:10" ht="1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
      <c r="B76" s="636"/>
      <c r="C76" s="807" t="s">
        <v>622</v>
      </c>
      <c r="D76" s="808"/>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9" t="s">
        <v>623</v>
      </c>
      <c r="D77" s="810"/>
      <c r="E77" s="597">
        <f>E73+E76</f>
        <v>0</v>
      </c>
      <c r="F77" s="635"/>
      <c r="G77" s="672"/>
      <c r="H77" s="673"/>
      <c r="I77" s="614"/>
      <c r="J77" s="668"/>
    </row>
    <row r="78" spans="2:10" ht="1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82" t="str">
        <f>CONCATENATE("Amount of  ",E1-1," Ad Valorem Tax")</f>
        <v>Amount of  2013 Ad Valorem Tax</v>
      </c>
      <c r="D80" s="883"/>
      <c r="E80" s="653">
        <f>E78+E79</f>
        <v>0</v>
      </c>
      <c r="F80" s="676" t="e">
        <f>IF('Library Grant'!F33="","",IF('Library Grant'!F33="Qualify","Qualifies for State Library Grant","See 'Library Grant' tab"))</f>
        <v>#VALUE!</v>
      </c>
    </row>
    <row r="81" spans="2:10" ht="15.75" thickTop="1">
      <c r="B81" s="583"/>
      <c r="C81" s="882"/>
      <c r="D81" s="883"/>
      <c r="E81" s="654"/>
      <c r="F81" s="635"/>
      <c r="G81" s="825" t="s">
        <v>825</v>
      </c>
      <c r="H81" s="826"/>
      <c r="I81" s="826"/>
      <c r="J81" s="827"/>
    </row>
    <row r="82" spans="2:10" ht="15">
      <c r="B82" s="583"/>
      <c r="C82" s="583"/>
      <c r="D82" s="583"/>
      <c r="E82" s="583"/>
      <c r="G82" s="655"/>
      <c r="H82" s="632"/>
      <c r="I82" s="656"/>
      <c r="J82" s="657"/>
    </row>
    <row r="83" spans="2:10" ht="15">
      <c r="B83" s="583" t="s">
        <v>9</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12.489</v>
      </c>
      <c r="H85" s="632" t="str">
        <f>CONCATENATE("Total ",E1," Mill Rate")</f>
        <v>Total 2014 Mill Rate</v>
      </c>
      <c r="I85" s="656"/>
      <c r="J85" s="657"/>
    </row>
    <row r="86" spans="7:10" ht="15">
      <c r="G86" s="659">
        <f>summ!F32</f>
        <v>7.9</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Yes</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
      <c r="J1" s="711" t="s">
        <v>840</v>
      </c>
    </row>
    <row r="2" spans="1:10" ht="54" customHeight="1">
      <c r="A2" s="761" t="s">
        <v>371</v>
      </c>
      <c r="B2" s="762"/>
      <c r="C2" s="762"/>
      <c r="D2" s="762"/>
      <c r="E2" s="762"/>
      <c r="F2" s="762"/>
      <c r="J2" s="711" t="s">
        <v>841</v>
      </c>
    </row>
    <row r="3" ht="15">
      <c r="J3" s="711" t="s">
        <v>842</v>
      </c>
    </row>
    <row r="4" spans="1:10" ht="15">
      <c r="A4" s="474" t="s">
        <v>838</v>
      </c>
      <c r="B4" s="356"/>
      <c r="C4" s="710"/>
      <c r="J4" s="711" t="s">
        <v>843</v>
      </c>
    </row>
    <row r="5" spans="1:10" ht="15">
      <c r="A5" s="474"/>
      <c r="B5" s="710"/>
      <c r="J5" s="711" t="s">
        <v>844</v>
      </c>
    </row>
    <row r="6" spans="1:10" ht="15">
      <c r="A6" s="474" t="s">
        <v>839</v>
      </c>
      <c r="B6" s="356"/>
      <c r="J6" s="711" t="s">
        <v>845</v>
      </c>
    </row>
    <row r="7" spans="1:10" ht="15">
      <c r="A7" s="353"/>
      <c r="B7" s="353"/>
      <c r="C7" s="353"/>
      <c r="D7" s="355"/>
      <c r="E7" s="353"/>
      <c r="F7" s="353"/>
      <c r="J7" s="711" t="s">
        <v>846</v>
      </c>
    </row>
    <row r="8" spans="1:10" ht="15">
      <c r="A8" s="354" t="s">
        <v>372</v>
      </c>
      <c r="B8" s="356" t="s">
        <v>948</v>
      </c>
      <c r="C8" s="357"/>
      <c r="D8" s="354" t="s">
        <v>837</v>
      </c>
      <c r="E8" s="353"/>
      <c r="F8" s="353"/>
      <c r="J8" s="711" t="s">
        <v>847</v>
      </c>
    </row>
    <row r="9" spans="1:10" ht="15">
      <c r="A9" s="354"/>
      <c r="B9" s="358"/>
      <c r="C9" s="359"/>
      <c r="D9" s="354" t="str">
        <f>IF(B8="","",CONCATENATE("Latest date for notice to be published in your newspaper: ",G19," ",G23,", ",G24))</f>
        <v>Latest date for notice to be published in your newspaper: August 2, 2013</v>
      </c>
      <c r="E9" s="353"/>
      <c r="F9" s="353"/>
      <c r="J9" s="711" t="s">
        <v>848</v>
      </c>
    </row>
    <row r="10" spans="1:10" ht="15">
      <c r="A10" s="354" t="s">
        <v>373</v>
      </c>
      <c r="B10" s="356" t="s">
        <v>949</v>
      </c>
      <c r="C10" s="360"/>
      <c r="D10" s="354"/>
      <c r="E10" s="353"/>
      <c r="F10" s="353"/>
      <c r="J10" s="711" t="s">
        <v>849</v>
      </c>
    </row>
    <row r="11" spans="1:10" ht="15">
      <c r="A11" s="354"/>
      <c r="B11" s="354"/>
      <c r="C11" s="354"/>
      <c r="D11" s="354"/>
      <c r="E11" s="353"/>
      <c r="F11" s="353"/>
      <c r="J11" s="711" t="s">
        <v>850</v>
      </c>
    </row>
    <row r="12" spans="1:10" ht="15">
      <c r="A12" s="354" t="s">
        <v>374</v>
      </c>
      <c r="B12" s="361" t="s">
        <v>950</v>
      </c>
      <c r="C12" s="361"/>
      <c r="D12" s="361"/>
      <c r="E12" s="362"/>
      <c r="F12" s="353"/>
      <c r="J12" s="711" t="s">
        <v>851</v>
      </c>
    </row>
    <row r="13" spans="1:6" ht="15">
      <c r="A13" s="354"/>
      <c r="B13" s="354"/>
      <c r="C13" s="354"/>
      <c r="D13" s="354"/>
      <c r="E13" s="353"/>
      <c r="F13" s="353"/>
    </row>
    <row r="14" spans="1:6" ht="15">
      <c r="A14" s="354"/>
      <c r="B14" s="354"/>
      <c r="C14" s="354"/>
      <c r="D14" s="354"/>
      <c r="E14" s="353"/>
      <c r="F14" s="353"/>
    </row>
    <row r="15" spans="1:6" ht="15">
      <c r="A15" s="354" t="s">
        <v>375</v>
      </c>
      <c r="B15" s="361" t="s">
        <v>951</v>
      </c>
      <c r="C15" s="361"/>
      <c r="D15" s="361"/>
      <c r="E15" s="362"/>
      <c r="F15" s="353"/>
    </row>
    <row r="18" spans="1:6" ht="15">
      <c r="A18" s="763" t="s">
        <v>376</v>
      </c>
      <c r="B18" s="763"/>
      <c r="C18" s="354"/>
      <c r="D18" s="354"/>
      <c r="E18" s="354"/>
      <c r="F18" s="353"/>
    </row>
    <row r="19" spans="1:7" ht="15">
      <c r="A19" s="354"/>
      <c r="B19" s="354"/>
      <c r="C19" s="354"/>
      <c r="D19" s="354"/>
      <c r="E19" s="354"/>
      <c r="F19" s="353"/>
      <c r="G19" s="711" t="str">
        <f ca="1">IF(B8="","",INDIRECT(G20))</f>
        <v>August</v>
      </c>
    </row>
    <row r="20" spans="1:7" ht="15">
      <c r="A20" s="354" t="s">
        <v>372</v>
      </c>
      <c r="B20" s="358" t="s">
        <v>377</v>
      </c>
      <c r="C20" s="354"/>
      <c r="D20" s="354"/>
      <c r="E20" s="354"/>
      <c r="G20" s="712" t="str">
        <f>IF(B8="","",CONCATENATE("J",G22))</f>
        <v>J8</v>
      </c>
    </row>
    <row r="21" spans="1:7" ht="15">
      <c r="A21" s="354"/>
      <c r="B21" s="354"/>
      <c r="C21" s="354"/>
      <c r="D21" s="354"/>
      <c r="E21" s="354"/>
      <c r="G21" s="713">
        <f>B8-10</f>
        <v>41488</v>
      </c>
    </row>
    <row r="22" spans="1:7" ht="15">
      <c r="A22" s="354" t="s">
        <v>373</v>
      </c>
      <c r="B22" s="354" t="s">
        <v>378</v>
      </c>
      <c r="C22" s="354"/>
      <c r="D22" s="354"/>
      <c r="E22" s="354"/>
      <c r="G22" s="714">
        <f>IF(B8="","",MONTH(G21))</f>
        <v>8</v>
      </c>
    </row>
    <row r="23" spans="1:7" ht="15">
      <c r="A23" s="354"/>
      <c r="B23" s="354"/>
      <c r="C23" s="354"/>
      <c r="D23" s="354"/>
      <c r="E23" s="354"/>
      <c r="G23" s="715">
        <f>IF(B8="","",DAY(G21))</f>
        <v>2</v>
      </c>
    </row>
    <row r="24" spans="1:7" ht="15">
      <c r="A24" s="354" t="s">
        <v>374</v>
      </c>
      <c r="B24" s="354" t="s">
        <v>380</v>
      </c>
      <c r="C24" s="354"/>
      <c r="D24" s="354"/>
      <c r="E24" s="354"/>
      <c r="G24" s="716">
        <f>IF(B8="","",YEAR(G21))</f>
        <v>2013</v>
      </c>
    </row>
    <row r="25" spans="1:5" ht="15">
      <c r="A25" s="354"/>
      <c r="B25" s="354"/>
      <c r="C25" s="354"/>
      <c r="D25" s="354"/>
      <c r="E25" s="354"/>
    </row>
    <row r="26" spans="1:5" ht="1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6">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9" t="s">
        <v>70</v>
      </c>
      <c r="C1" s="769"/>
      <c r="D1" s="769"/>
      <c r="E1" s="769"/>
      <c r="F1" s="769"/>
      <c r="G1" s="769"/>
      <c r="H1" s="14">
        <f>inputPrYr!D5</f>
        <v>2014</v>
      </c>
    </row>
    <row r="2" spans="3:7" s="14" customFormat="1" ht="15">
      <c r="C2" s="145"/>
      <c r="D2" s="145"/>
      <c r="E2" s="145"/>
      <c r="F2" s="145"/>
      <c r="G2" s="62"/>
    </row>
    <row r="3" spans="2:8" s="14" customFormat="1" ht="15">
      <c r="B3" s="764" t="str">
        <f>CONCATENATE("To the Clerk of ",inputPrYr!D3,", State of Kansas")</f>
        <v>To the Clerk of Russell County, State of Kansas</v>
      </c>
      <c r="C3" s="777"/>
      <c r="D3" s="777"/>
      <c r="E3" s="777"/>
      <c r="F3" s="777"/>
      <c r="G3" s="777"/>
      <c r="H3" s="777"/>
    </row>
    <row r="4" spans="2:7" s="14" customFormat="1" ht="15">
      <c r="B4" s="764" t="s">
        <v>152</v>
      </c>
      <c r="C4" s="765"/>
      <c r="D4" s="765"/>
      <c r="E4" s="765"/>
      <c r="F4" s="765"/>
      <c r="G4" s="765"/>
    </row>
    <row r="5" spans="2:7" s="14" customFormat="1" ht="15">
      <c r="B5" s="766" t="str">
        <f>inputPrYr!D2</f>
        <v>Lincoln Township</v>
      </c>
      <c r="C5" s="765"/>
      <c r="D5" s="765"/>
      <c r="E5" s="765"/>
      <c r="F5" s="765"/>
      <c r="G5" s="765"/>
    </row>
    <row r="6" spans="2:7" s="14" customFormat="1" ht="1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
      <c r="D11" s="19"/>
      <c r="E11" s="773" t="str">
        <f>CONCATENATE("",H1," Adopted Budget")</f>
        <v>2014 Adopted Budget</v>
      </c>
      <c r="F11" s="774"/>
      <c r="G11" s="775"/>
    </row>
    <row r="12" spans="2:7" s="14" customFormat="1" ht="15">
      <c r="B12" s="22"/>
      <c r="D12" s="66"/>
      <c r="E12" s="255" t="s">
        <v>277</v>
      </c>
      <c r="F12" s="770" t="str">
        <f>CONCATENATE("Amount of ",H1-1," Ad Valorem Tax")</f>
        <v>Amount of 2013 Ad Valorem Tax</v>
      </c>
      <c r="G12" s="23" t="s">
        <v>278</v>
      </c>
    </row>
    <row r="13" spans="4:7" s="14" customFormat="1" ht="15">
      <c r="D13" s="23" t="s">
        <v>279</v>
      </c>
      <c r="E13" s="522" t="s">
        <v>208</v>
      </c>
      <c r="F13" s="771"/>
      <c r="G13" s="156" t="s">
        <v>280</v>
      </c>
    </row>
    <row r="14" spans="2:7" s="14" customFormat="1" ht="15">
      <c r="B14" s="71" t="s">
        <v>281</v>
      </c>
      <c r="C14" s="20"/>
      <c r="D14" s="26" t="s">
        <v>282</v>
      </c>
      <c r="E14" s="523" t="s">
        <v>719</v>
      </c>
      <c r="F14" s="772"/>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141600</v>
      </c>
      <c r="F21" s="722">
        <f>IF(gen!$E$57&lt;&gt;0,gen!$E$57,0)</f>
        <v>133988</v>
      </c>
      <c r="G21" s="723" t="str">
        <f>IF(AND(gen!E57=0,$C$40&gt;=0)," ",IF(AND(F21&gt;0,$C$40=0)," ",IF(AND(F21&gt;0,$C$40&gt;0),ROUND(F21/$C$40*1000,3))))</f>
        <v> </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141600</v>
      </c>
      <c r="F35" s="724">
        <f>SUM(F21:F30)</f>
        <v>133988</v>
      </c>
      <c r="G35" s="725">
        <f>IF(SUM(G21:G30)&gt;0,SUM(G21:G30),"")</f>
      </c>
    </row>
    <row r="36" spans="2:4" s="14" customFormat="1" ht="15.75" thickTop="1">
      <c r="B36" s="27" t="s">
        <v>168</v>
      </c>
      <c r="C36" s="259"/>
      <c r="D36" s="264">
        <f>summ!D49</f>
        <v>0</v>
      </c>
    </row>
    <row r="37" spans="2:6" s="14" customFormat="1" ht="15">
      <c r="B37" s="27" t="s">
        <v>214</v>
      </c>
      <c r="C37" s="28"/>
      <c r="D37" s="264">
        <f>IF(nhood!C38&gt;0,nhood!C38,"")</f>
      </c>
      <c r="E37" s="268" t="s">
        <v>157</v>
      </c>
      <c r="F37" s="269" t="str">
        <f>IF(F35&gt;computation!J34,"Yes","No")</f>
        <v>Yes</v>
      </c>
    </row>
    <row r="38" spans="2:6" s="14" customFormat="1" ht="15">
      <c r="B38" s="27" t="s">
        <v>156</v>
      </c>
      <c r="C38" s="28"/>
      <c r="D38" s="264">
        <f>IF(Resolution!D50&gt;0,Resolution!D50,"")</f>
      </c>
      <c r="E38" s="270"/>
      <c r="F38" s="271"/>
    </row>
    <row r="39" spans="2:7" s="14" customFormat="1" ht="15">
      <c r="B39" s="64" t="s">
        <v>97</v>
      </c>
      <c r="C39" s="779" t="s">
        <v>124</v>
      </c>
      <c r="D39" s="780"/>
      <c r="E39" s="272"/>
      <c r="G39" s="22" t="s">
        <v>290</v>
      </c>
    </row>
    <row r="40" spans="2:7" s="14" customFormat="1" ht="15">
      <c r="B40" s="27" t="s">
        <v>98</v>
      </c>
      <c r="C40" s="781"/>
      <c r="D40" s="782"/>
      <c r="E40" s="273"/>
      <c r="G40" s="22"/>
    </row>
    <row r="41" spans="2:7" s="14" customFormat="1" ht="15">
      <c r="B41" s="274"/>
      <c r="C41" s="783" t="str">
        <f>CONCATENATE("Nov. 1, ",H1-1," Valuation")</f>
        <v>Nov. 1, 2013 Valuation</v>
      </c>
      <c r="D41" s="784"/>
      <c r="E41" s="272"/>
      <c r="G41" s="22"/>
    </row>
    <row r="42" spans="2:7" s="14" customFormat="1" ht="15">
      <c r="B42" s="274" t="s">
        <v>291</v>
      </c>
      <c r="E42" s="19"/>
      <c r="G42" s="22"/>
    </row>
    <row r="43" spans="2:7" s="14" customFormat="1" ht="15">
      <c r="B43" s="275"/>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
      <c r="B54" s="49" t="s">
        <v>293</v>
      </c>
      <c r="C54" s="14"/>
      <c r="D54" s="14"/>
      <c r="E54" s="767" t="s">
        <v>292</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N108"/>
  <sheetViews>
    <sheetView zoomScale="70" zoomScaleNormal="70" zoomScalePageLayoutView="0" workbookViewId="0" topLeftCell="A1">
      <selection activeCell="B19" sqref="B19:I3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7" t="s">
        <v>71</v>
      </c>
      <c r="C2" s="768"/>
      <c r="D2" s="768"/>
      <c r="E2" s="768"/>
      <c r="F2" s="768"/>
      <c r="G2" s="768"/>
      <c r="H2" s="768"/>
      <c r="I2" s="768"/>
    </row>
    <row r="3" spans="2:9" ht="15">
      <c r="B3" s="14"/>
      <c r="C3" s="14"/>
      <c r="D3" s="14"/>
      <c r="E3" s="14"/>
      <c r="F3" s="14"/>
      <c r="G3" s="22" t="s">
        <v>37</v>
      </c>
      <c r="H3" s="22" t="s">
        <v>38</v>
      </c>
      <c r="I3" s="14"/>
    </row>
    <row r="4" spans="2:9" ht="15">
      <c r="B4" s="764" t="s">
        <v>39</v>
      </c>
      <c r="C4" s="764"/>
      <c r="D4" s="764"/>
      <c r="E4" s="764"/>
      <c r="F4" s="764"/>
      <c r="G4" s="764"/>
      <c r="H4" s="764"/>
      <c r="I4" s="764"/>
    </row>
    <row r="5" spans="2:9" ht="15">
      <c r="B5" s="766" t="str">
        <f>inputPrYr!D2</f>
        <v>Lincoln Township</v>
      </c>
      <c r="C5" s="766"/>
      <c r="D5" s="766"/>
      <c r="E5" s="766"/>
      <c r="F5" s="766"/>
      <c r="G5" s="766"/>
      <c r="H5" s="766"/>
      <c r="I5" s="766"/>
    </row>
    <row r="6" spans="2:9" ht="15">
      <c r="B6" s="766" t="str">
        <f>inputPrYr!D3</f>
        <v>Russell County</v>
      </c>
      <c r="C6" s="766"/>
      <c r="D6" s="766"/>
      <c r="E6" s="766"/>
      <c r="F6" s="766"/>
      <c r="G6" s="766"/>
      <c r="H6" s="766"/>
      <c r="I6" s="766"/>
    </row>
    <row r="7" spans="2:9" ht="15">
      <c r="B7" s="764" t="str">
        <f>CONCATENATE("will meet on ",inputBudSum!B8," at ",inputBudSum!B10," at ",inputBudSum!B12," for the purpose of hearing and")</f>
        <v>will meet on August 12, 2013 at 8 pm at the Lincoln Township Building for the purpose of hearing and</v>
      </c>
      <c r="C7" s="764"/>
      <c r="D7" s="764"/>
      <c r="E7" s="764"/>
      <c r="F7" s="764"/>
      <c r="G7" s="764"/>
      <c r="H7" s="764"/>
      <c r="I7" s="764"/>
    </row>
    <row r="8" spans="2:9" ht="15">
      <c r="B8" s="147" t="s">
        <v>602</v>
      </c>
      <c r="C8" s="145"/>
      <c r="D8" s="145"/>
      <c r="E8" s="145"/>
      <c r="F8" s="145"/>
      <c r="G8" s="145"/>
      <c r="H8" s="145"/>
      <c r="I8" s="145"/>
    </row>
    <row r="9" spans="2:9" ht="15">
      <c r="B9" s="147" t="str">
        <f>CONCATENATE("Detailed budget information is available at ",inputBudSum!B15," and will be available at this hearing.")</f>
        <v>Detailed budget information is available at the Ron Tittel residence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
      <c r="B16" s="14"/>
      <c r="C16" s="156"/>
      <c r="D16" s="156" t="s">
        <v>41</v>
      </c>
      <c r="E16" s="156"/>
      <c r="F16" s="156" t="s">
        <v>41</v>
      </c>
      <c r="G16" s="156" t="s">
        <v>208</v>
      </c>
      <c r="H16" s="785"/>
      <c r="I16" s="156" t="s">
        <v>41</v>
      </c>
      <c r="J16" s="149"/>
    </row>
    <row r="17" spans="2:10" ht="15">
      <c r="B17" s="25" t="s">
        <v>285</v>
      </c>
      <c r="C17" s="26" t="s">
        <v>42</v>
      </c>
      <c r="D17" s="26" t="s">
        <v>43</v>
      </c>
      <c r="E17" s="26" t="s">
        <v>42</v>
      </c>
      <c r="F17" s="26" t="s">
        <v>43</v>
      </c>
      <c r="G17" s="26" t="s">
        <v>719</v>
      </c>
      <c r="H17" s="786"/>
      <c r="I17" s="26" t="s">
        <v>43</v>
      </c>
      <c r="J17" s="149"/>
    </row>
    <row r="18" spans="2:10" ht="15">
      <c r="B18" s="85" t="str">
        <f>inputPrYr!B16</f>
        <v>General</v>
      </c>
      <c r="C18" s="63">
        <f>IF(gen!$C$50&lt;&gt;0,gen!$C$50,"  ")</f>
        <v>90620</v>
      </c>
      <c r="D18" s="524">
        <f>IF(inputPrYr!D42&gt;0,inputPrYr!D42,"  ")</f>
        <v>10.013</v>
      </c>
      <c r="E18" s="32">
        <f>IF(gen!$D$50&lt;&gt;0,gen!$D$50,"  ")</f>
        <v>111600</v>
      </c>
      <c r="F18" s="235">
        <f>IF(inputOth!D17&gt;0,inputOth!D17,"  ")</f>
        <v>7.9</v>
      </c>
      <c r="G18" s="32">
        <f>IF(gen!$E$50&lt;&gt;0,gen!$E$50,"  ")</f>
        <v>141600</v>
      </c>
      <c r="H18" s="32">
        <f>IF(gen!$E$57&lt;&gt;0,gen!$E$57," ")</f>
        <v>133988</v>
      </c>
      <c r="I18" s="526">
        <f>IF(gen!E57&gt;0,ROUND(H18/$G$37*1000,3)," ")</f>
        <v>12.489</v>
      </c>
      <c r="J18" s="149"/>
    </row>
    <row r="19" spans="2:10" ht="15" hidden="1">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hidden="1">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hidden="1">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791" t="str">
        <f>CONCATENATE("Estimated Value Of One Mill For ",I1,"")</f>
        <v>Estimated Value Of One Mill For 2014</v>
      </c>
      <c r="L21" s="796"/>
      <c r="M21" s="796"/>
      <c r="N21" s="797"/>
    </row>
    <row r="22" spans="2:14" ht="15" hidden="1">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hidden="1">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10729</v>
      </c>
    </row>
    <row r="24" spans="2:9" ht="15" hidden="1">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hidden="1">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791" t="str">
        <f>CONCATENATE("Want The Mill Rate The Same As For ",I1-1,"?")</f>
        <v>Want The Mill Rate The Same As For 2013?</v>
      </c>
      <c r="L25" s="794"/>
      <c r="M25" s="794"/>
      <c r="N25" s="795"/>
    </row>
    <row r="26" spans="2:14" ht="15" hidden="1">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hidden="1">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7.9</v>
      </c>
    </row>
    <row r="28" spans="2:14" ht="15" hidden="1">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hidden="1">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 hidden="1">
      <c r="B30" s="85" t="str">
        <f>IF((inputPrYr!$B34&gt;"  "),(nonbud!$A3),"  ")</f>
        <v>  </v>
      </c>
      <c r="C30" s="63" t="str">
        <f>IF((nonbud!$K$28)&lt;&gt;0,(nonbud!$K$28),"  ")</f>
        <v>  </v>
      </c>
      <c r="D30" s="157"/>
      <c r="E30" s="32"/>
      <c r="F30" s="157"/>
      <c r="G30" s="32"/>
      <c r="H30" s="32"/>
      <c r="I30" s="157"/>
      <c r="K30" s="518" t="str">
        <f>IF($N$30&lt;0,"Reduced By:","")</f>
        <v>Reduced By:</v>
      </c>
      <c r="L30" s="499"/>
      <c r="M30" s="499"/>
      <c r="N30" s="519">
        <f>IF(N36&gt;0,N36*-1,0)</f>
        <v>-49231</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90620</v>
      </c>
      <c r="D32" s="478">
        <f t="shared" si="0"/>
        <v>10.013</v>
      </c>
      <c r="E32" s="527">
        <f t="shared" si="0"/>
        <v>111600</v>
      </c>
      <c r="F32" s="478">
        <f t="shared" si="0"/>
        <v>7.9</v>
      </c>
      <c r="G32" s="527">
        <f t="shared" si="0"/>
        <v>141600</v>
      </c>
      <c r="H32" s="527">
        <f t="shared" si="0"/>
        <v>133988</v>
      </c>
      <c r="I32" s="530">
        <f t="shared" si="0"/>
        <v>12.489</v>
      </c>
      <c r="K32" s="791" t="str">
        <f>CONCATENATE("Impact On Keeping The Same Mill Rate As For ",I1-1,"")</f>
        <v>Impact On Keeping The Same Mill Rate As For 2013</v>
      </c>
      <c r="L32" s="792"/>
      <c r="M32" s="792"/>
      <c r="N32" s="793"/>
    </row>
    <row r="33" spans="2:14" ht="15">
      <c r="B33" s="274" t="s">
        <v>44</v>
      </c>
      <c r="C33" s="32">
        <f>transfer!C29</f>
        <v>35000</v>
      </c>
      <c r="D33" s="14"/>
      <c r="E33" s="32">
        <f>transfer!D29</f>
        <v>0</v>
      </c>
      <c r="F33" s="61"/>
      <c r="G33" s="32">
        <f>transfer!E29</f>
        <v>0</v>
      </c>
      <c r="H33" s="14"/>
      <c r="I33" s="14"/>
      <c r="K33" s="507"/>
      <c r="L33" s="501"/>
      <c r="M33" s="501"/>
      <c r="N33" s="508"/>
    </row>
    <row r="34" spans="2:14" ht="15.75" thickBot="1">
      <c r="B34" s="274" t="s">
        <v>45</v>
      </c>
      <c r="C34" s="528">
        <f>C32-C33</f>
        <v>55620</v>
      </c>
      <c r="D34" s="14"/>
      <c r="E34" s="528">
        <f>E32-E33</f>
        <v>111600</v>
      </c>
      <c r="F34" s="14"/>
      <c r="G34" s="528">
        <f>G32-G33</f>
        <v>141600</v>
      </c>
      <c r="H34" s="14"/>
      <c r="I34" s="14"/>
      <c r="K34" s="507" t="str">
        <f>CONCATENATE("",I1," Ad Valorem Tax Revenue:")</f>
        <v>2014 Ad Valorem Tax Revenue:</v>
      </c>
      <c r="L34" s="501"/>
      <c r="M34" s="501"/>
      <c r="N34" s="502">
        <f>H32</f>
        <v>133988</v>
      </c>
    </row>
    <row r="35" spans="2:14" ht="15.75" thickTop="1">
      <c r="B35" s="274" t="s">
        <v>46</v>
      </c>
      <c r="C35" s="529">
        <f>inputPrYr!E54</f>
        <v>93404</v>
      </c>
      <c r="D35" s="61"/>
      <c r="E35" s="529">
        <f>inputPrYr!E26</f>
        <v>95101</v>
      </c>
      <c r="F35" s="14"/>
      <c r="G35" s="520" t="s">
        <v>289</v>
      </c>
      <c r="H35" s="14"/>
      <c r="I35" s="14"/>
      <c r="K35" s="507" t="str">
        <f>CONCATENATE("",I1-1," Ad Valorem Tax Revenue:")</f>
        <v>2013 Ad Valorem Tax Revenue:</v>
      </c>
      <c r="L35" s="501"/>
      <c r="M35" s="501"/>
      <c r="N35" s="515">
        <f>ROUND(G37*N27/1000,0)</f>
        <v>84757</v>
      </c>
    </row>
    <row r="36" spans="2:14" ht="15">
      <c r="B36" s="274" t="s">
        <v>47</v>
      </c>
      <c r="C36" s="55"/>
      <c r="D36" s="61"/>
      <c r="E36" s="55"/>
      <c r="F36" s="61"/>
      <c r="G36" s="14"/>
      <c r="H36" s="14"/>
      <c r="I36" s="14"/>
      <c r="K36" s="512" t="s">
        <v>717</v>
      </c>
      <c r="L36" s="513"/>
      <c r="M36" s="513"/>
      <c r="N36" s="505">
        <f>N34-N35</f>
        <v>49231</v>
      </c>
    </row>
    <row r="37" spans="2:14" ht="15">
      <c r="B37" s="274" t="s">
        <v>48</v>
      </c>
      <c r="C37" s="32">
        <f>inputPrYr!E55</f>
        <v>9328294</v>
      </c>
      <c r="D37" s="14"/>
      <c r="E37" s="32">
        <f>inputOth!E29</f>
        <v>12037763</v>
      </c>
      <c r="F37" s="14"/>
      <c r="G37" s="32">
        <f>inputOth!E7</f>
        <v>10728732</v>
      </c>
      <c r="H37" s="14"/>
      <c r="I37" s="14"/>
      <c r="K37" s="506"/>
      <c r="L37" s="506"/>
      <c r="M37" s="506"/>
      <c r="N37" s="514"/>
    </row>
    <row r="38" spans="2:14" ht="15">
      <c r="B38" s="22" t="s">
        <v>49</v>
      </c>
      <c r="C38" s="14"/>
      <c r="D38" s="14"/>
      <c r="E38" s="14"/>
      <c r="F38" s="14"/>
      <c r="G38" s="14"/>
      <c r="H38" s="14"/>
      <c r="I38" s="14"/>
      <c r="K38" s="791" t="s">
        <v>718</v>
      </c>
      <c r="L38" s="794"/>
      <c r="M38" s="794"/>
      <c r="N38" s="795"/>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12.489</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790" t="s">
        <v>277</v>
      </c>
      <c r="C46" s="790"/>
      <c r="D46" s="14"/>
      <c r="E46" s="14"/>
      <c r="F46" s="14"/>
      <c r="G46" s="14"/>
      <c r="H46" s="14"/>
      <c r="I46" s="14"/>
    </row>
    <row r="47" spans="2:9" ht="15">
      <c r="B47" s="788" t="s">
        <v>277</v>
      </c>
      <c r="C47" s="789"/>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Lincoln Township</v>
      </c>
      <c r="D1" s="14"/>
      <c r="E1" s="14"/>
      <c r="F1" s="14"/>
      <c r="G1" s="14"/>
      <c r="H1" s="14"/>
      <c r="I1" s="14"/>
      <c r="J1" s="14">
        <f>inputPrYr!D5</f>
        <v>2014</v>
      </c>
    </row>
    <row r="2" spans="1:10" ht="15">
      <c r="A2" s="14"/>
      <c r="B2" s="14"/>
      <c r="C2" s="14"/>
      <c r="D2" s="14"/>
      <c r="E2" s="14"/>
      <c r="F2" s="14"/>
      <c r="G2" s="14"/>
      <c r="H2" s="14"/>
      <c r="I2" s="14"/>
      <c r="J2" s="14"/>
    </row>
    <row r="3" spans="1:10" ht="15">
      <c r="A3" s="787" t="str">
        <f>CONCATENATE("Computation to Determine Limit for ",J1,"")</f>
        <v>Computation to Determine Limit for 2014</v>
      </c>
      <c r="B3" s="769"/>
      <c r="C3" s="769"/>
      <c r="D3" s="769"/>
      <c r="E3" s="769"/>
      <c r="F3" s="769"/>
      <c r="G3" s="769"/>
      <c r="H3" s="769"/>
      <c r="I3" s="769"/>
      <c r="J3" s="769"/>
    </row>
    <row r="4" spans="1:10" ht="15">
      <c r="A4" s="14"/>
      <c r="B4" s="14"/>
      <c r="C4" s="14"/>
      <c r="D4" s="14"/>
      <c r="E4" s="769"/>
      <c r="F4" s="769"/>
      <c r="G4" s="769"/>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95101</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95101</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6424</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30549</v>
      </c>
      <c r="F14" s="246"/>
      <c r="G14" s="55"/>
      <c r="H14" s="55"/>
      <c r="I14" s="53"/>
      <c r="J14" s="55"/>
    </row>
    <row r="15" spans="1:10" ht="15">
      <c r="A15" s="245"/>
      <c r="B15" s="14" t="s">
        <v>87</v>
      </c>
      <c r="C15" s="14" t="str">
        <f>CONCATENATE("Personal Property ",J1-2,"")</f>
        <v>Personal Property 2012</v>
      </c>
      <c r="D15" s="245" t="s">
        <v>82</v>
      </c>
      <c r="E15" s="249">
        <f>inputOth!E11</f>
        <v>40368</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2437</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8861</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10728732</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10719871</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0.0008265957678035491</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79</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95180</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95180</v>
      </c>
    </row>
    <row r="35" spans="1:10" ht="15.75" thickTop="1">
      <c r="A35" s="14"/>
      <c r="B35" s="14"/>
      <c r="C35" s="14"/>
      <c r="D35" s="14"/>
      <c r="E35" s="14"/>
      <c r="F35" s="14"/>
      <c r="G35" s="14"/>
      <c r="H35" s="14"/>
      <c r="I35" s="14"/>
      <c r="J35" s="14"/>
    </row>
    <row r="36" spans="1:10" s="254" customFormat="1" ht="18">
      <c r="A36" s="798" t="str">
        <f>CONCATENATE("If the ",J1," budget includes tax levies exceeding the total on line 14, you must")</f>
        <v>If the 2014 budget includes tax levies exceeding the total on line 14, you must</v>
      </c>
      <c r="B36" s="798"/>
      <c r="C36" s="798"/>
      <c r="D36" s="798"/>
      <c r="E36" s="798"/>
      <c r="F36" s="798"/>
      <c r="G36" s="798"/>
      <c r="H36" s="798"/>
      <c r="I36" s="798"/>
      <c r="J36" s="798"/>
    </row>
    <row r="37" spans="1:10" s="254" customFormat="1" ht="18">
      <c r="A37" s="798" t="s">
        <v>113</v>
      </c>
      <c r="B37" s="798"/>
      <c r="C37" s="798"/>
      <c r="D37" s="798"/>
      <c r="E37" s="798"/>
      <c r="F37" s="798"/>
      <c r="G37" s="798"/>
      <c r="H37" s="798"/>
      <c r="I37" s="798"/>
      <c r="J37" s="79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4">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Lincoln Township</v>
      </c>
      <c r="C1" s="14"/>
      <c r="D1" s="14"/>
      <c r="E1" s="14"/>
      <c r="F1" s="14"/>
      <c r="G1" s="14"/>
      <c r="H1" s="14"/>
      <c r="I1" s="14"/>
      <c r="J1" s="15">
        <f>inputPrYr!D5</f>
        <v>2014</v>
      </c>
      <c r="K1" s="15"/>
      <c r="L1" s="90"/>
    </row>
    <row r="2" spans="2:12" ht="15">
      <c r="B2" s="13" t="str">
        <f>inputPrYr!D3</f>
        <v>Russell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804" t="s">
        <v>768</v>
      </c>
      <c r="C6" s="768"/>
      <c r="D6" s="768"/>
      <c r="E6" s="768"/>
      <c r="F6" s="768"/>
      <c r="G6" s="768"/>
      <c r="H6" s="768"/>
      <c r="I6" s="768"/>
      <c r="J6" s="768"/>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99" t="str">
        <f>CONCATENATE("Budget Tax Levy Rate for ",J1-1,"")</f>
        <v>Budget Tax Levy Rate for 2013</v>
      </c>
      <c r="F9" s="233"/>
      <c r="G9" s="801" t="str">
        <f>CONCATENATE("Allocation for Proposed Year ",J1,"")</f>
        <v>Allocation for Proposed Year 2014</v>
      </c>
      <c r="H9" s="802"/>
      <c r="I9" s="802"/>
      <c r="J9" s="803"/>
      <c r="K9" s="90"/>
      <c r="L9" s="90"/>
      <c r="M9" s="550"/>
    </row>
    <row r="10" spans="2:13" ht="15.75" customHeight="1">
      <c r="B10" s="552" t="str">
        <f>CONCATENATE("for ",J1-1,"")</f>
        <v>for 2013</v>
      </c>
      <c r="C10" s="177"/>
      <c r="D10" s="91" t="str">
        <f>CONCATENATE("Amount for ",J1,"")</f>
        <v>Amount for 2014</v>
      </c>
      <c r="E10" s="800"/>
      <c r="F10" s="25"/>
      <c r="G10" s="26" t="s">
        <v>77</v>
      </c>
      <c r="H10" s="26"/>
      <c r="I10" s="26" t="s">
        <v>78</v>
      </c>
      <c r="J10" s="161" t="s">
        <v>121</v>
      </c>
      <c r="K10" s="90"/>
      <c r="L10" s="90"/>
      <c r="M10" s="550"/>
    </row>
    <row r="11" spans="2:13" ht="15">
      <c r="B11" s="85" t="str">
        <f>inputPrYr!B16</f>
        <v>General</v>
      </c>
      <c r="C11" s="234"/>
      <c r="D11" s="161">
        <f>IF(inputPrYr!E16&gt;0,inputPrYr!E16,"  ")</f>
        <v>95101</v>
      </c>
      <c r="E11" s="131">
        <f>IF(inputOth!D17&gt;0,inputOth!D17,"  ")</f>
        <v>7.9</v>
      </c>
      <c r="F11" s="717"/>
      <c r="G11" s="161">
        <f>IF(inputPrYr!E16=0,0,G23-SUM(G12:G20))</f>
        <v>2475</v>
      </c>
      <c r="H11" s="718"/>
      <c r="I11" s="161">
        <f>IF(inputPrYr!E16=0,0,I25-SUM(I12:I20))</f>
        <v>58</v>
      </c>
      <c r="J11" s="161">
        <f>IF(inputPrYr!E16=0,0,J27-SUM(J12:J20))</f>
        <v>237</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95101</v>
      </c>
      <c r="E21" s="720">
        <f>SUM(E11:E20)</f>
        <v>7.9</v>
      </c>
      <c r="F21" s="721"/>
      <c r="G21" s="719">
        <f>SUM(G11:G20)</f>
        <v>2475</v>
      </c>
      <c r="H21" s="719"/>
      <c r="I21" s="719">
        <f>SUM(I11:I20)</f>
        <v>58</v>
      </c>
      <c r="J21" s="719">
        <f>SUM(J11:J20)</f>
        <v>237</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2475</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58</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237</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0.0260249629341437</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0.0006098779192647817</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0.0024920873597543665</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Lincoln Township</v>
      </c>
      <c r="B2" s="88"/>
      <c r="C2" s="14"/>
      <c r="D2" s="14"/>
      <c r="E2" s="52"/>
      <c r="F2" s="14"/>
    </row>
    <row r="3" spans="1:6" ht="15">
      <c r="A3" s="13"/>
      <c r="B3" s="88"/>
      <c r="C3" s="14"/>
      <c r="D3" s="14"/>
      <c r="E3" s="52"/>
      <c r="F3" s="14"/>
    </row>
    <row r="4" spans="1:6" ht="1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35000</v>
      </c>
      <c r="D12" s="223">
        <f>gen!$D$45</f>
        <v>0</v>
      </c>
      <c r="E12" s="223">
        <f>gen!$E$45</f>
        <v>0</v>
      </c>
      <c r="F12" s="73" t="str">
        <f>IF(C12+D12+E12&gt;0,"80-122","")</f>
        <v>80-122</v>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35000</v>
      </c>
      <c r="D27" s="228">
        <f>SUM(D10:D26)</f>
        <v>0</v>
      </c>
      <c r="E27" s="228">
        <f>SUM(E10:E26)</f>
        <v>0</v>
      </c>
      <c r="F27" s="129"/>
    </row>
    <row r="28" spans="1:6" ht="15">
      <c r="A28" s="129"/>
      <c r="B28" s="227" t="s">
        <v>609</v>
      </c>
      <c r="C28" s="129"/>
      <c r="D28" s="224"/>
      <c r="E28" s="224"/>
      <c r="F28" s="129"/>
    </row>
    <row r="29" spans="1:6" ht="15">
      <c r="A29" s="129"/>
      <c r="B29" s="179" t="s">
        <v>177</v>
      </c>
      <c r="C29" s="229">
        <f>C27</f>
        <v>35000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Mary Nuss</cp:lastModifiedBy>
  <cp:lastPrinted>2013-07-09T16:16:14Z</cp:lastPrinted>
  <dcterms:created xsi:type="dcterms:W3CDTF">1998-08-26T16:30:41Z</dcterms:created>
  <dcterms:modified xsi:type="dcterms:W3CDTF">2013-07-09T16:18:18Z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