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17"/>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gen" sheetId="9" r:id="rId9"/>
    <sheet name="road" sheetId="10" r:id="rId10"/>
    <sheet name="levypage9" sheetId="11" r:id="rId11"/>
    <sheet name="nolevypage12" sheetId="12" r:id="rId12"/>
    <sheet name="levypage10" sheetId="13" r:id="rId13"/>
    <sheet name="levypage11" sheetId="14" r:id="rId14"/>
    <sheet name="nonbud" sheetId="15" r:id="rId15"/>
    <sheet name="NonBudFunds"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Helpful Links" sheetId="25" r:id="rId25"/>
    <sheet name="legend" sheetId="26" r:id="rId26"/>
    <sheet name="TransferStatutes" sheetId="27" r:id="rId27"/>
    <sheet name="transfer" sheetId="28" r:id="rId28"/>
    <sheet name="debt-lease" sheetId="29" r:id="rId29"/>
    <sheet name="Library Grant" sheetId="30" r:id="rId30"/>
    <sheet name="DebtSvs-Library" sheetId="31" r:id="rId31"/>
  </sheets>
  <definedNames>
    <definedName name="_xlnm.Print_Area" localSheetId="30">'DebtSvs-Library'!$B$1:$E$83</definedName>
    <definedName name="_xlnm.Print_Area" localSheetId="8">'gen'!$B$1:$E$61</definedName>
    <definedName name="_xlnm.Print_Area" localSheetId="1">'inputPrYr'!$A$1:$E$85</definedName>
    <definedName name="_xlnm.Print_Area" localSheetId="12">'levypage10'!$A$1:$E$86</definedName>
    <definedName name="_xlnm.Print_Area" localSheetId="13">'levypage11'!$A$1:$E$86</definedName>
    <definedName name="_xlnm.Print_Area" localSheetId="10">'levypage9'!$A$1:$E$86</definedName>
    <definedName name="_xlnm.Print_Area" localSheetId="29">'Library Grant'!$A$1:$J$40</definedName>
    <definedName name="_xlnm.Print_Area" localSheetId="9">'road'!$B$1:$F$68</definedName>
    <definedName name="_xlnm.Print_Area" localSheetId="5">'summ'!$B$2:$I$49</definedName>
  </definedNames>
  <calcPr fullCalcOnLoad="1"/>
</workbook>
</file>

<file path=xl/sharedStrings.xml><?xml version="1.0" encoding="utf-8"?>
<sst xmlns="http://schemas.openxmlformats.org/spreadsheetml/2006/main" count="1588" uniqueCount="959">
  <si>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</si>
  <si>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</si>
  <si>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</si>
  <si>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</si>
  <si>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</si>
  <si>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</si>
  <si>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</si>
  <si>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</si>
  <si>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</si>
  <si>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</si>
  <si>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</si>
  <si>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</si>
  <si>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</si>
  <si>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</si>
  <si>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</si>
  <si>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</si>
  <si>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</si>
  <si>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</si>
  <si>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</si>
  <si>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</si>
  <si>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</si>
  <si>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</si>
  <si>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</si>
  <si>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</si>
  <si>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</si>
  <si>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</si>
  <si>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</si>
  <si>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</si>
  <si>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</si>
  <si>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</si>
  <si>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</si>
  <si>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</si>
  <si>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</si>
  <si>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</si>
  <si>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</si>
  <si>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</si>
  <si>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</si>
  <si>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</si>
  <si>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</si>
  <si>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</si>
  <si>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</si>
  <si>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</si>
  <si>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</si>
  <si>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</si>
  <si>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</si>
  <si>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</si>
  <si>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</si>
  <si>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</si>
  <si>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</si>
  <si>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</si>
  <si>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</si>
  <si>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</si>
  <si>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</si>
  <si>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</si>
  <si>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</si>
  <si>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</si>
  <si>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</si>
  <si>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</si>
  <si>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</si>
  <si>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</si>
  <si>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</si>
  <si>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</si>
  <si>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</si>
  <si>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</si>
  <si>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</si>
  <si>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</si>
  <si>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</si>
  <si>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</si>
  <si>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</si>
  <si>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</si>
  <si>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</si>
  <si>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</si>
  <si>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</si>
  <si>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</si>
  <si>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</si>
  <si>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</si>
  <si>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</si>
  <si>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</si>
  <si>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</si>
  <si>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</si>
  <si>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</si>
  <si>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</si>
  <si>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</si>
  <si>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</si>
  <si>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</si>
  <si>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</si>
  <si>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</si>
  <si>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</si>
  <si>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</si>
  <si>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</si>
  <si>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</si>
  <si>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</si>
  <si>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</si>
  <si>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</si>
  <si>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</si>
  <si>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</si>
  <si>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</si>
  <si>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</si>
  <si>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</si>
  <si>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</si>
  <si>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</si>
  <si>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</si>
  <si>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</si>
  <si>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</si>
  <si>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</si>
  <si>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</si>
  <si>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</si>
  <si>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</si>
  <si>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</si>
  <si>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</si>
  <si>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</si>
  <si>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</si>
  <si>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</si>
  <si>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</si>
  <si>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</si>
  <si>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</si>
  <si>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</si>
  <si>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</si>
  <si>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</si>
  <si>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</si>
  <si>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</si>
  <si>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</si>
  <si>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</si>
  <si>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</si>
  <si>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</si>
  <si>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</si>
  <si>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</si>
  <si>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</si>
  <si>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</si>
  <si>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</si>
  <si>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</si>
  <si>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</si>
  <si>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</si>
  <si>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</si>
  <si>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</si>
  <si>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</si>
  <si>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</si>
  <si>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</si>
  <si>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</si>
  <si>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</si>
  <si>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</si>
  <si>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</si>
  <si>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</si>
  <si>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</si>
  <si>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</si>
  <si>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</si>
  <si>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</si>
  <si>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</si>
  <si>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</si>
  <si>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</si>
  <si>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</si>
  <si>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</si>
  <si>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</si>
  <si>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</si>
  <si>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</si>
  <si>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</si>
  <si>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</si>
  <si>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</si>
  <si>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</si>
  <si>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</si>
  <si>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</si>
  <si>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</si>
  <si>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</si>
  <si>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</si>
  <si>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</si>
  <si>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</si>
  <si>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</si>
  <si>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</si>
  <si>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</si>
  <si>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</si>
  <si>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</si>
  <si>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</si>
  <si>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</si>
  <si>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</si>
  <si>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</si>
  <si>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</si>
  <si>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</si>
  <si>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</si>
  <si>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</si>
  <si>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</si>
  <si>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</si>
  <si>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</si>
  <si>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</si>
  <si>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</si>
  <si>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</si>
  <si>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</si>
  <si>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</si>
  <si>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</si>
  <si>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</si>
  <si>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</si>
  <si>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</si>
  <si>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</si>
  <si>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</si>
  <si>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</si>
  <si>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</si>
  <si>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</si>
  <si>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</si>
  <si>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</si>
  <si>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</si>
  <si>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</si>
  <si>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</si>
  <si>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</si>
  <si>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</si>
  <si>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</si>
  <si>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</si>
  <si>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</si>
  <si>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</si>
  <si>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</si>
  <si>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</si>
  <si>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</si>
  <si>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</si>
  <si>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</si>
  <si>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</si>
  <si>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</si>
  <si>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</si>
  <si>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</si>
  <si>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</si>
  <si>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</si>
  <si>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</si>
  <si>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</si>
  <si>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</si>
  <si>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</si>
  <si>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</si>
  <si>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</si>
  <si>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</si>
  <si>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</si>
  <si>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</si>
  <si>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</si>
  <si>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</si>
  <si>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</si>
  <si>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</si>
  <si>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</si>
  <si>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</si>
  <si>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</si>
  <si>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</si>
  <si>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</si>
  <si>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</si>
  <si>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</si>
  <si>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</si>
  <si>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</si>
  <si>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</si>
  <si>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</si>
  <si>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</si>
  <si>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</si>
  <si>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</si>
  <si>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</si>
  <si>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</si>
  <si>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</si>
  <si>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</si>
  <si>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</si>
  <si>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</si>
  <si>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</si>
  <si>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</si>
  <si>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</si>
  <si>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</si>
  <si>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</si>
  <si>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</si>
  <si>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</si>
  <si>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</si>
  <si>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</si>
  <si>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</si>
  <si>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</si>
  <si>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</si>
  <si>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</si>
  <si>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</si>
  <si>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</si>
  <si>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</si>
  <si>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</si>
  <si>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</si>
  <si>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</si>
  <si>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</si>
  <si>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</si>
  <si>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</si>
  <si>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</si>
  <si>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</si>
  <si>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</si>
  <si>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</si>
  <si>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</si>
  <si>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</si>
  <si>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</si>
  <si>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</si>
  <si>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</si>
  <si>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</si>
  <si>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</si>
  <si>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</si>
  <si>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</si>
  <si>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</si>
  <si>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</si>
  <si>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</si>
  <si>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</si>
  <si>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</si>
  <si>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</si>
  <si>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</si>
  <si>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</si>
  <si>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</si>
  <si>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</si>
  <si>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</si>
  <si>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</si>
  <si>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</si>
  <si>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</si>
  <si>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</si>
  <si>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</si>
  <si>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</si>
  <si>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</si>
  <si>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</si>
  <si>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</si>
  <si>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</si>
  <si>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</si>
  <si>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</si>
  <si>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</si>
  <si>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</si>
  <si>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</si>
  <si>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</si>
  <si>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</si>
  <si>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</si>
  <si>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</si>
  <si>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</si>
  <si>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</si>
  <si>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</si>
  <si>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</si>
  <si>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</si>
  <si>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</si>
  <si>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</si>
  <si>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</si>
  <si>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</si>
  <si>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</si>
  <si>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</si>
  <si>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</si>
  <si>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</si>
  <si>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</si>
  <si>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</si>
  <si>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</si>
  <si>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</si>
  <si>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</si>
  <si>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</si>
  <si>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</si>
  <si>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</si>
  <si>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</si>
  <si>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</si>
  <si>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</si>
  <si>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</si>
  <si>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</si>
  <si>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</si>
  <si>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</si>
  <si>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</si>
  <si>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</si>
  <si>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</si>
  <si>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</si>
  <si>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</si>
  <si>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</si>
  <si>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</si>
  <si>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</si>
  <si>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</si>
  <si>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</si>
  <si>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</si>
  <si>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</si>
  <si>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</si>
  <si>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</si>
  <si>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</si>
  <si>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</si>
  <si>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</si>
  <si>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</si>
  <si>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</si>
  <si>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</si>
  <si>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</si>
  <si>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</si>
  <si>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</si>
  <si>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</si>
  <si>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</si>
  <si>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</si>
  <si>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</si>
  <si>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</si>
  <si>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</si>
  <si>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</si>
  <si>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</si>
  <si>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</si>
  <si>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</si>
  <si>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</si>
  <si>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</si>
  <si>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</si>
  <si>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</si>
  <si>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</si>
  <si>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</si>
  <si>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</si>
  <si>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</si>
  <si>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</si>
  <si>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</si>
  <si>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</si>
  <si>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</si>
  <si>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</si>
  <si>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</si>
  <si>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</si>
  <si>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</si>
  <si>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</si>
  <si>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</si>
  <si>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</si>
  <si>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</si>
  <si>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</si>
  <si>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</si>
  <si>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</si>
  <si>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</si>
  <si>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</si>
  <si>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</si>
  <si>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</si>
  <si>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</si>
  <si>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</si>
  <si>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</si>
  <si>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</si>
  <si>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</si>
  <si>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</si>
  <si>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</si>
  <si>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</si>
  <si>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</si>
  <si>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</si>
  <si>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</si>
  <si>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</si>
  <si>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</si>
  <si>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</si>
  <si>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</si>
  <si>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</si>
  <si>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</si>
  <si>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</si>
  <si>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</si>
  <si>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</si>
  <si>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</si>
  <si>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</si>
  <si>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</si>
  <si>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</si>
  <si>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</si>
  <si>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</si>
  <si>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</si>
  <si>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</si>
  <si>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</si>
  <si>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</si>
  <si>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</si>
  <si>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</si>
  <si>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</si>
  <si>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</si>
  <si>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</si>
  <si>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</si>
  <si>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</si>
  <si>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</si>
  <si>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</si>
  <si>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</si>
  <si>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</si>
  <si>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</si>
  <si>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</si>
  <si>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</si>
  <si>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</si>
  <si>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</si>
  <si>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</si>
  <si>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</si>
  <si>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</si>
  <si>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</si>
  <si>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</si>
  <si>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</si>
  <si>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</si>
  <si>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</si>
  <si>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</si>
  <si>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</si>
  <si>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</si>
  <si>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</si>
  <si>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</si>
  <si>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</si>
  <si>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</si>
  <si>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</si>
  <si>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</si>
  <si>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</si>
  <si>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</si>
  <si>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</si>
  <si>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</si>
  <si>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</si>
  <si>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</si>
  <si>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</si>
  <si>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</si>
  <si>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</si>
  <si>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</si>
  <si>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</si>
  <si>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</si>
  <si>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</si>
  <si>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</si>
  <si>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</si>
  <si>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</si>
  <si>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</si>
  <si>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</si>
  <si>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</si>
  <si>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</si>
  <si>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</si>
  <si>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</si>
  <si>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</si>
  <si>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</si>
  <si>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</si>
  <si>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</si>
  <si>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</si>
  <si>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</si>
  <si>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</si>
  <si>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</si>
  <si>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</si>
  <si>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</si>
  <si>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</si>
  <si>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</si>
  <si>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</si>
  <si>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</si>
  <si>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</si>
  <si>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</si>
  <si>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</si>
  <si>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</si>
  <si>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</si>
  <si>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</si>
  <si>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</si>
  <si>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</si>
  <si>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</si>
  <si>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</si>
  <si>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</si>
  <si>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</si>
  <si>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</si>
  <si>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</si>
  <si>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</si>
  <si>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</si>
  <si>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</si>
  <si>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</si>
  <si>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</si>
  <si>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</si>
  <si>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</si>
  <si>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</si>
  <si>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</si>
  <si>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</si>
  <si>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</si>
  <si>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</si>
  <si>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</si>
  <si>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</si>
  <si>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</si>
  <si>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</si>
  <si>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</si>
  <si>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</si>
  <si>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</si>
  <si>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</si>
  <si>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</si>
  <si>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</si>
  <si>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</si>
  <si>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</si>
  <si>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</si>
  <si>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</si>
  <si>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</si>
  <si>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</si>
  <si>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</si>
  <si>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</si>
  <si>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</si>
  <si>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</si>
  <si>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</si>
  <si>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</si>
  <si>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</si>
  <si>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</si>
  <si>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</si>
  <si>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</si>
  <si>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</si>
  <si>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</si>
  <si>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</si>
  <si>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</si>
  <si>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</si>
  <si>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</si>
  <si>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</si>
  <si>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</si>
  <si>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</si>
  <si>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</si>
  <si>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</si>
  <si>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</si>
  <si>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</si>
  <si>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</si>
  <si>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</si>
  <si>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</si>
  <si>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</si>
  <si>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</si>
  <si>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</si>
  <si>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</si>
  <si>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</si>
  <si>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</si>
  <si>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</si>
  <si>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</si>
  <si>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</si>
  <si>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</si>
  <si>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</si>
  <si>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</si>
  <si>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</si>
  <si>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</si>
  <si>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</si>
  <si>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</si>
  <si>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</si>
  <si>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</si>
  <si>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</si>
  <si>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</si>
  <si>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</si>
  <si>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</si>
  <si>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</si>
  <si>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</si>
  <si>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</si>
  <si>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</si>
  <si>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</si>
  <si>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</si>
  <si>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</si>
  <si>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</si>
  <si>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</si>
  <si>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</si>
  <si>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</si>
  <si>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</si>
  <si>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</si>
  <si>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</si>
  <si>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</si>
  <si>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</si>
  <si>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</si>
  <si>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</si>
  <si>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</si>
  <si>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</si>
  <si>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</si>
  <si>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</si>
  <si>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</si>
  <si>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</si>
  <si>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</si>
  <si>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</si>
  <si>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</si>
  <si>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</si>
  <si>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</si>
  <si>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</si>
  <si>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</si>
  <si>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</si>
  <si>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</si>
  <si>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</si>
  <si>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</si>
  <si>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</si>
  <si>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</si>
  <si>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</si>
  <si>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</si>
  <si>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</si>
  <si>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</si>
  <si>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</si>
  <si>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</si>
  <si>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</si>
  <si>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</si>
  <si>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</si>
  <si>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</si>
  <si>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</si>
  <si>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</si>
  <si>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</si>
  <si>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</si>
  <si>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</si>
  <si>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</si>
  <si>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</si>
  <si>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</si>
  <si>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</si>
  <si>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</si>
  <si>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</si>
  <si>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</si>
  <si>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</si>
  <si>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</si>
  <si>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</si>
  <si>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</si>
  <si>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</si>
  <si>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</si>
  <si>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</si>
  <si>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</si>
  <si>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</si>
  <si>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</si>
  <si>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</si>
  <si>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</si>
  <si>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</si>
  <si>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</si>
  <si>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</si>
  <si>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</si>
  <si>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</si>
  <si>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</si>
  <si>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</si>
  <si>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</si>
  <si>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</si>
  <si>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</si>
  <si>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</si>
  <si>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</si>
  <si>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</si>
  <si>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</si>
  <si>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</si>
  <si>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</si>
  <si>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</si>
  <si>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</si>
  <si>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</si>
  <si>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</si>
  <si>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</si>
  <si>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</si>
  <si>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</si>
  <si>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</si>
  <si>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</si>
  <si>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</si>
  <si>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</si>
  <si>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</si>
  <si>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</si>
  <si>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</si>
  <si>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</si>
  <si>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</si>
  <si>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</si>
  <si>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</si>
  <si>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</si>
  <si>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</si>
  <si>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</si>
  <si>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</si>
  <si>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</si>
  <si>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</si>
  <si>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</si>
  <si>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</si>
  <si>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</si>
  <si>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</si>
  <si>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</si>
  <si>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</si>
  <si>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</si>
  <si>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</si>
  <si>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</si>
  <si>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</si>
  <si>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</si>
  <si>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</si>
  <si>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</si>
  <si>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</si>
  <si>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</si>
  <si>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</si>
  <si>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</si>
  <si>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</si>
  <si>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</si>
  <si>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</si>
  <si>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</si>
  <si>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</si>
  <si>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</si>
  <si>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</si>
  <si>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</si>
  <si>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</si>
  <si>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</si>
  <si>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</si>
  <si>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</si>
  <si>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</si>
  <si>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</si>
  <si>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</si>
  <si>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</si>
  <si>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</si>
  <si>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</si>
  <si>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</si>
  <si>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</si>
  <si>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</si>
  <si>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</si>
  <si>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</si>
  <si>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</si>
  <si>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</si>
  <si>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</si>
  <si>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</si>
  <si>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</si>
  <si>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</si>
  <si>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</si>
  <si>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</si>
  <si>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</si>
  <si>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</si>
  <si>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</si>
  <si>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</si>
  <si>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</si>
  <si>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</si>
  <si>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</si>
  <si>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</si>
  <si>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</si>
  <si>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</si>
  <si>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</si>
  <si>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</si>
  <si>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</si>
  <si>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</si>
  <si>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</si>
  <si>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</si>
  <si>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</si>
  <si>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</si>
  <si>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</si>
  <si>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</si>
  <si>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</si>
  <si>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</si>
  <si>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</si>
  <si>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</si>
  <si>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</si>
  <si>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</si>
  <si>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</si>
  <si>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</si>
  <si>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</si>
  <si>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</si>
  <si>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</si>
  <si>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</si>
  <si>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</si>
  <si>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</si>
  <si>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</si>
  <si>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</si>
  <si>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</si>
  <si>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</si>
  <si>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</si>
  <si>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</si>
  <si>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</si>
  <si>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</si>
  <si>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</si>
  <si>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</si>
  <si>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</si>
  <si>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</si>
  <si>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</si>
  <si>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</si>
  <si>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</si>
  <si>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</si>
  <si>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</si>
  <si>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</si>
  <si>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</si>
  <si>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</si>
  <si>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</si>
  <si>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</si>
  <si>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</si>
  <si>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</si>
  <si>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</si>
  <si>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</si>
  <si>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</si>
  <si>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</si>
  <si>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</si>
  <si>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</si>
  <si>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</si>
  <si>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</si>
  <si>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</si>
  <si>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</si>
  <si>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</si>
  <si>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</si>
  <si>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</si>
  <si>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</si>
  <si>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</si>
  <si>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</si>
  <si>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</si>
  <si>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</si>
  <si>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</si>
  <si>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</si>
  <si>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</si>
  <si>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</si>
  <si>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</si>
  <si>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</si>
  <si>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</si>
  <si>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</si>
  <si>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</si>
  <si>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</si>
  <si>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</si>
  <si>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</si>
  <si>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</si>
  <si>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</si>
  <si>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</si>
  <si>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</si>
  <si>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</si>
  <si>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</si>
  <si>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</si>
  <si>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</si>
  <si>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</si>
  <si>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</si>
  <si>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</si>
  <si>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</si>
  <si>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</si>
  <si>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</si>
  <si>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</si>
  <si>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</si>
  <si>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</si>
  <si>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</si>
  <si>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</si>
  <si>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</si>
  <si>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</si>
  <si>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</si>
  <si>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</si>
  <si>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</si>
  <si>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</si>
  <si>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</si>
  <si>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</si>
  <si>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</si>
  <si>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</si>
  <si>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</si>
  <si>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</si>
  <si>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</si>
  <si>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</si>
  <si>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</si>
  <si>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</si>
  <si>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</si>
  <si>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</si>
  <si>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</si>
  <si>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</si>
  <si>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</si>
  <si>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</si>
  <si>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</si>
  <si>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</si>
  <si>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</si>
  <si>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</si>
  <si>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</si>
  <si>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</si>
  <si>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</si>
  <si>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</si>
  <si>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</si>
  <si>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</si>
  <si>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</si>
  <si>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</si>
  <si>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</si>
  <si>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</si>
  <si>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</si>
  <si>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</si>
  <si>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</si>
  <si>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</si>
  <si>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</si>
  <si>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</si>
  <si>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</si>
  <si>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</si>
  <si>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</si>
  <si>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</si>
  <si>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</si>
  <si>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</si>
  <si>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</si>
  <si>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</si>
  <si>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</si>
  <si>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</si>
  <si>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</si>
  <si>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</si>
  <si>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</si>
  <si>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</si>
  <si>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</si>
  <si>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</si>
  <si>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</si>
  <si>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</si>
  <si>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</si>
  <si>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</si>
  <si>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</si>
  <si>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</si>
  <si>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</si>
  <si>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</si>
  <si>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</si>
  <si>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</si>
  <si>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</si>
  <si>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</si>
  <si>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</si>
  <si>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</si>
  <si>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</si>
  <si>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</si>
  <si>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</si>
  <si>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</si>
  <si>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</si>
  <si>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</si>
  <si>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</si>
  <si>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</si>
  <si>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</si>
  <si>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</si>
  <si>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Grant Township</t>
  </si>
  <si>
    <t>Russell County</t>
  </si>
  <si>
    <t>Fire</t>
  </si>
  <si>
    <t>80-1903</t>
  </si>
  <si>
    <t>Accounting</t>
  </si>
  <si>
    <t>Insurance Damage reimbursement</t>
  </si>
  <si>
    <t>tax refund</t>
  </si>
  <si>
    <t>Fuel</t>
  </si>
  <si>
    <t>Officer Pay</t>
  </si>
  <si>
    <t xml:space="preserve">  </t>
  </si>
  <si>
    <t>operating and payroll</t>
  </si>
  <si>
    <t>Transfer to fire spec mach</t>
  </si>
  <si>
    <t>Fire Spec Machine</t>
  </si>
  <si>
    <t>Transfer from Fire fund</t>
  </si>
  <si>
    <t>August 12, 2013</t>
  </si>
  <si>
    <t>the Grant Township Building</t>
  </si>
  <si>
    <t>the Jason Ney residence</t>
  </si>
  <si>
    <t>8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</si>
</sst>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8" fillId="4" borderId="0" xfId="0"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Grant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24707</v>
      </c>
      <c r="D6" s="387">
        <f>C44</f>
        <v>24649.97</v>
      </c>
      <c r="E6" s="32">
        <f>D44</f>
        <v>11838.970000000001</v>
      </c>
    </row>
    <row r="7" spans="2:5" ht="15">
      <c r="B7" s="27" t="s">
        <v>120</v>
      </c>
      <c r="C7" s="387"/>
      <c r="D7" s="387"/>
      <c r="E7" s="33"/>
    </row>
    <row r="8" spans="2:5" ht="15">
      <c r="B8" s="27" t="s">
        <v>16</v>
      </c>
      <c r="C8" s="29">
        <v>113586</v>
      </c>
      <c r="D8" s="387">
        <f>IF(inputPrYr!H15&gt;0,inputPrYr!G19,inputPrYr!E19)</f>
        <v>135725</v>
      </c>
      <c r="E8" s="33" t="s">
        <v>289</v>
      </c>
    </row>
    <row r="9" spans="2:5" ht="15">
      <c r="B9" s="27" t="s">
        <v>17</v>
      </c>
      <c r="C9" s="29">
        <v>1316</v>
      </c>
      <c r="D9" s="29"/>
      <c r="E9" s="34"/>
    </row>
    <row r="10" spans="2:5" ht="15">
      <c r="B10" s="27" t="s">
        <v>18</v>
      </c>
      <c r="C10" s="29">
        <v>5400</v>
      </c>
      <c r="D10" s="29">
        <v>4191</v>
      </c>
      <c r="E10" s="32">
        <f>mvalloc!G14</f>
        <v>4597</v>
      </c>
    </row>
    <row r="11" spans="2:5" ht="15">
      <c r="B11" s="27" t="s">
        <v>19</v>
      </c>
      <c r="C11" s="29">
        <v>38</v>
      </c>
      <c r="D11" s="29">
        <v>37</v>
      </c>
      <c r="E11" s="32">
        <f>mvalloc!I14</f>
        <v>33</v>
      </c>
    </row>
    <row r="12" spans="2:5" ht="15">
      <c r="B12" s="27" t="s">
        <v>99</v>
      </c>
      <c r="C12" s="29">
        <v>652</v>
      </c>
      <c r="D12" s="29">
        <v>426</v>
      </c>
      <c r="E12" s="32">
        <f>mvalloc!J14</f>
        <v>526</v>
      </c>
    </row>
    <row r="13" spans="2:5" ht="15">
      <c r="B13" s="27" t="s">
        <v>100</v>
      </c>
      <c r="C13" s="29">
        <v>3959</v>
      </c>
      <c r="D13" s="29">
        <v>3610</v>
      </c>
      <c r="E13" s="32">
        <f>inputOth!E36</f>
        <v>3515</v>
      </c>
    </row>
    <row r="14" spans="2:5" ht="15">
      <c r="B14" s="38" t="s">
        <v>946</v>
      </c>
      <c r="C14" s="29">
        <v>3431</v>
      </c>
      <c r="D14" s="29"/>
      <c r="E14" s="34"/>
    </row>
    <row r="15" spans="2:5" ht="15">
      <c r="B15" s="38" t="s">
        <v>947</v>
      </c>
      <c r="C15" s="29">
        <v>83</v>
      </c>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v>280</v>
      </c>
      <c r="D20" s="29">
        <v>300</v>
      </c>
      <c r="E20" s="34">
        <v>300</v>
      </c>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128745</v>
      </c>
      <c r="D23" s="389">
        <f>SUM(D8:D21)</f>
        <v>144289</v>
      </c>
      <c r="E23" s="42">
        <f>SUM(E8:E21)</f>
        <v>8971</v>
      </c>
    </row>
    <row r="24" spans="2:5" ht="15">
      <c r="B24" s="43" t="s">
        <v>24</v>
      </c>
      <c r="C24" s="389">
        <f>C23+C6</f>
        <v>153452</v>
      </c>
      <c r="D24" s="389">
        <f>D23+D6</f>
        <v>168938.97</v>
      </c>
      <c r="E24" s="42">
        <f>E23+E6</f>
        <v>20809.97</v>
      </c>
    </row>
    <row r="25" spans="2:5" ht="15">
      <c r="B25" s="27" t="s">
        <v>25</v>
      </c>
      <c r="C25" s="387"/>
      <c r="D25" s="387"/>
      <c r="E25" s="32"/>
    </row>
    <row r="26" spans="2:5" ht="15">
      <c r="B26" s="38" t="s">
        <v>950</v>
      </c>
      <c r="C26" s="29"/>
      <c r="D26" s="29"/>
      <c r="E26" s="34"/>
    </row>
    <row r="27" spans="2:5" ht="15">
      <c r="B27" s="37" t="s">
        <v>277</v>
      </c>
      <c r="C27" s="29"/>
      <c r="D27" s="29"/>
      <c r="E27" s="34"/>
    </row>
    <row r="28" spans="2:5" ht="15">
      <c r="B28" s="38" t="s">
        <v>949</v>
      </c>
      <c r="C28" s="29">
        <v>2990</v>
      </c>
      <c r="D28" s="29">
        <v>4000</v>
      </c>
      <c r="E28" s="34">
        <v>4000</v>
      </c>
    </row>
    <row r="29" spans="2:5" ht="15">
      <c r="B29" s="38" t="s">
        <v>125</v>
      </c>
      <c r="C29" s="29">
        <v>30504</v>
      </c>
      <c r="D29" s="29">
        <v>35000</v>
      </c>
      <c r="E29" s="34">
        <v>35000</v>
      </c>
    </row>
    <row r="30" spans="2:5" ht="15">
      <c r="B30" s="38" t="s">
        <v>102</v>
      </c>
      <c r="C30" s="29">
        <v>13751</v>
      </c>
      <c r="D30" s="29">
        <v>17000</v>
      </c>
      <c r="E30" s="34">
        <v>17000</v>
      </c>
    </row>
    <row r="31" spans="2:5" ht="15">
      <c r="B31" s="38" t="s">
        <v>127</v>
      </c>
      <c r="C31" s="29">
        <v>3025</v>
      </c>
      <c r="D31" s="29">
        <v>9000</v>
      </c>
      <c r="E31" s="34">
        <v>9000</v>
      </c>
    </row>
    <row r="32" spans="2:5" ht="15">
      <c r="B32" s="38" t="s">
        <v>105</v>
      </c>
      <c r="C32" s="29">
        <v>4935</v>
      </c>
      <c r="D32" s="29">
        <v>14100</v>
      </c>
      <c r="E32" s="34">
        <v>18500</v>
      </c>
    </row>
    <row r="33" spans="2:5" ht="15">
      <c r="B33" s="38" t="s">
        <v>103</v>
      </c>
      <c r="C33" s="29">
        <v>13290</v>
      </c>
      <c r="D33" s="29">
        <v>41000</v>
      </c>
      <c r="E33" s="34">
        <v>41000</v>
      </c>
    </row>
    <row r="34" spans="2:10" ht="15">
      <c r="B34" s="37" t="s">
        <v>948</v>
      </c>
      <c r="C34" s="29">
        <v>16501.03</v>
      </c>
      <c r="D34" s="29">
        <v>25000</v>
      </c>
      <c r="E34" s="34">
        <v>25000</v>
      </c>
      <c r="G34" s="811" t="str">
        <f>CONCATENATE("Desired Carryover Into ",E1+1,"")</f>
        <v>Desired Carryover Into 2015</v>
      </c>
      <c r="H34" s="812"/>
      <c r="I34" s="812"/>
      <c r="J34" s="813"/>
    </row>
    <row r="35" spans="2:10" ht="15">
      <c r="B35" s="37" t="s">
        <v>128</v>
      </c>
      <c r="C35" s="29">
        <v>9806</v>
      </c>
      <c r="D35" s="29">
        <v>12000</v>
      </c>
      <c r="E35" s="34">
        <v>12000</v>
      </c>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34000</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11" t="str">
        <f>CONCATENATE("Projected Carryover Into ",E1+1,"")</f>
        <v>Projected Carryover Into 2015</v>
      </c>
      <c r="H41" s="812"/>
      <c r="I41" s="812"/>
      <c r="J41" s="813"/>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128802.03</v>
      </c>
      <c r="D43" s="389">
        <f>SUM(D26:D38,D40:D41)</f>
        <v>157100</v>
      </c>
      <c r="E43" s="42">
        <f>SUM(E26:E38,E40:E41)</f>
        <v>161500</v>
      </c>
      <c r="G43" s="484">
        <f>D44</f>
        <v>11838.970000000001</v>
      </c>
      <c r="H43" s="485" t="str">
        <f>CONCATENATE("",E1-1," Ending Cash Balance (est.)")</f>
        <v>2013 Ending Cash Balance (est.)</v>
      </c>
      <c r="I43" s="486"/>
      <c r="J43" s="257"/>
    </row>
    <row r="44" spans="2:10" ht="15">
      <c r="B44" s="27" t="s">
        <v>119</v>
      </c>
      <c r="C44" s="382">
        <f>C24-C43</f>
        <v>24649.97</v>
      </c>
      <c r="D44" s="382">
        <f>D24-D43</f>
        <v>11838.970000000001</v>
      </c>
      <c r="E44" s="33" t="s">
        <v>289</v>
      </c>
      <c r="G44" s="484">
        <f>E23</f>
        <v>8971</v>
      </c>
      <c r="H44" s="487" t="str">
        <f>CONCATENATE("",E1," Non-AV Receipts (est.)")</f>
        <v>2014 Non-AV Receipts (est.)</v>
      </c>
      <c r="I44" s="486"/>
      <c r="J44" s="257"/>
    </row>
    <row r="45" spans="2:11" ht="15">
      <c r="B45" s="48" t="str">
        <f>CONCATENATE("",E1-2,"/",E1-1," Budget Authority Amount:")</f>
        <v>2012/2013 Budget Authority Amount:</v>
      </c>
      <c r="C45" s="132">
        <f>inputOth!B49</f>
        <v>138100</v>
      </c>
      <c r="D45" s="161">
        <f>inputPrYr!D19</f>
        <v>157100</v>
      </c>
      <c r="E45" s="33" t="s">
        <v>289</v>
      </c>
      <c r="F45" s="50"/>
      <c r="G45" s="488">
        <f>IF(D49&gt;0,E48,E50)</f>
        <v>140690.03</v>
      </c>
      <c r="H45" s="487" t="str">
        <f>CONCATENATE("",E1," Ad Valorem Tax (est.)")</f>
        <v>2014 Ad Valorem Tax (est.)</v>
      </c>
      <c r="I45" s="486"/>
      <c r="J45" s="257"/>
      <c r="K45" s="701">
        <f>IF(G45=E50,"","Note: Does not include Delinquent Taxes")</f>
      </c>
    </row>
    <row r="46" spans="2:10" ht="15">
      <c r="B46" s="48"/>
      <c r="C46" s="807" t="s">
        <v>622</v>
      </c>
      <c r="D46" s="808"/>
      <c r="E46" s="34"/>
      <c r="F46" s="482">
        <f>IF(E43/0.95-E43&lt;E46,"Exceeds 5%","")</f>
      </c>
      <c r="G46" s="484">
        <f>SUM(G43:G45)</f>
        <v>161500</v>
      </c>
      <c r="H46" s="487" t="str">
        <f>CONCATENATE("Total ",E1," Resources Available")</f>
        <v>Total 2014 Resources Available</v>
      </c>
      <c r="I46" s="486"/>
      <c r="J46" s="257"/>
    </row>
    <row r="47" spans="2:10" ht="15">
      <c r="B47" s="395" t="str">
        <f>CONCATENATE(C74,"     ",D74)</f>
        <v>     </v>
      </c>
      <c r="C47" s="809" t="s">
        <v>623</v>
      </c>
      <c r="D47" s="810"/>
      <c r="E47" s="32">
        <f>E43+E46</f>
        <v>161500</v>
      </c>
      <c r="G47" s="489"/>
      <c r="H47" s="487"/>
      <c r="I47" s="487"/>
      <c r="J47" s="257"/>
    </row>
    <row r="48" spans="2:10" ht="15">
      <c r="B48" s="395" t="str">
        <f>CONCATENATE(C75,"     ",D75)</f>
        <v>     </v>
      </c>
      <c r="C48" s="60"/>
      <c r="D48" s="52" t="s">
        <v>28</v>
      </c>
      <c r="E48" s="46">
        <f>IF(E47-E24&gt;0,E47-E24,0)</f>
        <v>140690.03</v>
      </c>
      <c r="G48" s="488">
        <f>ROUND(C43*0.05+C43,0)</f>
        <v>135242</v>
      </c>
      <c r="H48" s="487" t="str">
        <f>CONCATENATE("Less ",E1-2," Expenditures + 5%")</f>
        <v>Less 2012 Expenditures + 5%</v>
      </c>
      <c r="I48" s="486"/>
      <c r="J48" s="257"/>
    </row>
    <row r="49" spans="2:10" ht="15">
      <c r="B49" s="52"/>
      <c r="C49" s="399" t="s">
        <v>624</v>
      </c>
      <c r="D49" s="689">
        <f>inputOth!$E$40</f>
        <v>0</v>
      </c>
      <c r="E49" s="32">
        <f>ROUND(IF(D49&gt;0,(E48*D49),0),0)</f>
        <v>0</v>
      </c>
      <c r="G49" s="490">
        <f>G46-G48</f>
        <v>26258</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140690.03</v>
      </c>
    </row>
    <row r="51" spans="2:10" ht="15">
      <c r="B51" s="14"/>
      <c r="C51" s="14"/>
      <c r="D51" s="14"/>
      <c r="E51" s="14"/>
      <c r="G51" s="814" t="s">
        <v>825</v>
      </c>
      <c r="H51" s="815"/>
      <c r="I51" s="815"/>
      <c r="J51" s="816"/>
    </row>
    <row r="52" spans="2:10" ht="15">
      <c r="B52" s="14"/>
      <c r="C52" s="14"/>
      <c r="D52" s="14"/>
      <c r="E52" s="14"/>
      <c r="G52" s="702"/>
      <c r="H52" s="485"/>
      <c r="I52" s="691"/>
      <c r="J52" s="703"/>
    </row>
    <row r="53" spans="2:10" ht="15">
      <c r="B53" s="68" t="s">
        <v>30</v>
      </c>
      <c r="C53" s="70"/>
      <c r="D53" s="14"/>
      <c r="E53" s="14"/>
      <c r="G53" s="704">
        <f>summ!I21</f>
        <v>14.464</v>
      </c>
      <c r="H53" s="485" t="str">
        <f>CONCATENATE("",E1," Fund Mill Rate")</f>
        <v>2014 Fund Mill Rate</v>
      </c>
      <c r="I53" s="691"/>
      <c r="J53" s="703"/>
    </row>
    <row r="54" spans="2:10" ht="15">
      <c r="B54" s="71" t="s">
        <v>31</v>
      </c>
      <c r="C54" s="400" t="str">
        <f>CONCATENATE("",E1-2," Actual Year")</f>
        <v>2012 Actual Year</v>
      </c>
      <c r="D54" s="14"/>
      <c r="E54" s="14"/>
      <c r="G54" s="705">
        <f>summ!F21</f>
        <v>14.314</v>
      </c>
      <c r="H54" s="485" t="str">
        <f>CONCATENATE("",E1-1," Fund Mill Rate")</f>
        <v>2013 Fund Mill Rate</v>
      </c>
      <c r="I54" s="691"/>
      <c r="J54" s="703"/>
    </row>
    <row r="55" spans="2:10" ht="15">
      <c r="B55" s="72" t="s">
        <v>14</v>
      </c>
      <c r="C55" s="130">
        <v>212118</v>
      </c>
      <c r="D55" s="14"/>
      <c r="E55" s="14"/>
      <c r="G55" s="706">
        <f>summ!I32</f>
        <v>19.589</v>
      </c>
      <c r="H55" s="485" t="str">
        <f>CONCATENATE("Total ",E1," Mill Rate")</f>
        <v>Total 2014 Mill Rate</v>
      </c>
      <c r="I55" s="691"/>
      <c r="J55" s="703"/>
    </row>
    <row r="56" spans="2:10" ht="15">
      <c r="B56" s="72" t="s">
        <v>33</v>
      </c>
      <c r="C56" s="132"/>
      <c r="D56" s="14"/>
      <c r="E56" s="14"/>
      <c r="G56" s="705">
        <f>summ!F32</f>
        <v>19.681</v>
      </c>
      <c r="H56" s="707" t="str">
        <f>CONCATENATE("Total ",E1-1," Mill Rate")</f>
        <v>Total 2013 Mill Rate</v>
      </c>
      <c r="I56" s="708"/>
      <c r="J56" s="709"/>
    </row>
    <row r="57" spans="2:5" ht="15">
      <c r="B57" s="72" t="s">
        <v>34</v>
      </c>
      <c r="C57" s="398">
        <f>C38</f>
        <v>34000</v>
      </c>
      <c r="D57" s="74"/>
      <c r="E57" s="14"/>
    </row>
    <row r="58" spans="2:9" ht="15">
      <c r="B58" s="72" t="s">
        <v>246</v>
      </c>
      <c r="C58" s="398">
        <f>gen!C43</f>
        <v>0</v>
      </c>
      <c r="D58" s="817">
        <f>IF(AND(C58&gt;0,C59&gt;0),"Not Auth. Two General Transfers - Only One","")</f>
      </c>
      <c r="E58" s="818"/>
      <c r="G58" s="744" t="s">
        <v>933</v>
      </c>
      <c r="H58" s="743"/>
      <c r="I58" s="742" t="str">
        <f>cert!F37</f>
        <v>Yes</v>
      </c>
    </row>
    <row r="59" spans="2:5" ht="15">
      <c r="B59" s="75" t="s">
        <v>247</v>
      </c>
      <c r="C59" s="398">
        <f>gen!C45</f>
        <v>0</v>
      </c>
      <c r="D59" s="819"/>
      <c r="E59" s="818"/>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246118</v>
      </c>
      <c r="D63" s="14"/>
      <c r="E63" s="14"/>
    </row>
    <row r="64" spans="2:5" ht="15">
      <c r="B64" s="77" t="s">
        <v>26</v>
      </c>
      <c r="C64" s="130">
        <v>98880</v>
      </c>
      <c r="D64" s="14"/>
      <c r="E64" s="14"/>
    </row>
    <row r="65" spans="2:5" ht="15">
      <c r="B65" s="77" t="s">
        <v>27</v>
      </c>
      <c r="C65" s="397">
        <f>SUM(C63-C64)</f>
        <v>147238</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17" operator="greaterThan" stopIfTrue="1">
      <formula>#REF!</formula>
    </cfRule>
  </conditionalFormatting>
  <conditionalFormatting sqref="D43">
    <cfRule type="cellIs" priority="13" dxfId="17" operator="greaterThan" stopIfTrue="1">
      <formula>$D$45</formula>
    </cfRule>
  </conditionalFormatting>
  <conditionalFormatting sqref="D38">
    <cfRule type="cellIs" priority="14" dxfId="17" operator="greaterThan" stopIfTrue="1">
      <formula>$D$24*0.25</formula>
    </cfRule>
  </conditionalFormatting>
  <conditionalFormatting sqref="E38">
    <cfRule type="cellIs" priority="15" dxfId="17"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Grant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t="str">
        <f>inputPrYr!B20</f>
        <v>Fire</v>
      </c>
      <c r="C5" s="386" t="str">
        <f>gen!C5</f>
        <v>Actual for 2012</v>
      </c>
      <c r="D5" s="386" t="str">
        <f>gen!D5</f>
        <v>Estimate for 2013</v>
      </c>
      <c r="E5" s="26" t="str">
        <f>gen!E5</f>
        <v>Year for 2014</v>
      </c>
    </row>
    <row r="6" spans="2:5" ht="15">
      <c r="B6" s="27" t="s">
        <v>118</v>
      </c>
      <c r="C6" s="29">
        <v>2910</v>
      </c>
      <c r="D6" s="387">
        <f>C34</f>
        <v>9835</v>
      </c>
      <c r="E6" s="32">
        <f>D34</f>
        <v>7017</v>
      </c>
    </row>
    <row r="7" spans="2:5" ht="15">
      <c r="B7" s="27" t="s">
        <v>120</v>
      </c>
      <c r="C7" s="387"/>
      <c r="D7" s="387"/>
      <c r="E7" s="33"/>
    </row>
    <row r="8" spans="2:5" ht="15">
      <c r="B8" s="27" t="s">
        <v>16</v>
      </c>
      <c r="C8" s="29">
        <v>45314</v>
      </c>
      <c r="D8" s="387">
        <f>IF(inputPrYr!H15&gt;0,inputPrYr!G20,inputPrYr!E20)</f>
        <v>47425</v>
      </c>
      <c r="E8" s="33" t="s">
        <v>289</v>
      </c>
    </row>
    <row r="9" spans="2:5" ht="15">
      <c r="B9" s="27" t="s">
        <v>17</v>
      </c>
      <c r="C9" s="29">
        <v>416</v>
      </c>
      <c r="D9" s="29"/>
      <c r="E9" s="34"/>
    </row>
    <row r="10" spans="2:5" ht="15">
      <c r="B10" s="27" t="s">
        <v>18</v>
      </c>
      <c r="C10" s="29">
        <v>931</v>
      </c>
      <c r="D10" s="29">
        <v>1672</v>
      </c>
      <c r="E10" s="32">
        <f>mvalloc!G15</f>
        <v>1606</v>
      </c>
    </row>
    <row r="11" spans="2:5" ht="15">
      <c r="B11" s="27" t="s">
        <v>19</v>
      </c>
      <c r="C11" s="29">
        <v>6</v>
      </c>
      <c r="D11" s="29">
        <v>15</v>
      </c>
      <c r="E11" s="32">
        <f>mvalloc!I15</f>
        <v>11</v>
      </c>
    </row>
    <row r="12" spans="2:5" ht="15">
      <c r="B12" s="35" t="s">
        <v>69</v>
      </c>
      <c r="C12" s="29">
        <v>3</v>
      </c>
      <c r="D12" s="29">
        <v>170</v>
      </c>
      <c r="E12" s="32">
        <f>mvalloc!J15</f>
        <v>184</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46670</v>
      </c>
      <c r="D20" s="389">
        <f>SUM(D8:D18)</f>
        <v>49282</v>
      </c>
      <c r="E20" s="42">
        <f>SUM(E8:E18)</f>
        <v>1801</v>
      </c>
    </row>
    <row r="21" spans="2:5" ht="15">
      <c r="B21" s="43" t="s">
        <v>24</v>
      </c>
      <c r="C21" s="389">
        <f>C20+C6</f>
        <v>49580</v>
      </c>
      <c r="D21" s="389">
        <f>D20+D6</f>
        <v>59117</v>
      </c>
      <c r="E21" s="42">
        <f>E20+E6</f>
        <v>8818</v>
      </c>
    </row>
    <row r="22" spans="2:5" ht="15">
      <c r="B22" s="27" t="s">
        <v>25</v>
      </c>
      <c r="C22" s="387"/>
      <c r="D22" s="387"/>
      <c r="E22" s="32"/>
    </row>
    <row r="23" spans="2:5" ht="15">
      <c r="B23" s="38"/>
      <c r="C23" s="29"/>
      <c r="D23" s="29"/>
      <c r="E23" s="34"/>
    </row>
    <row r="24" spans="2:11" ht="15">
      <c r="B24" s="38" t="s">
        <v>951</v>
      </c>
      <c r="C24" s="29">
        <v>27745</v>
      </c>
      <c r="D24" s="29">
        <v>52100</v>
      </c>
      <c r="E24" s="34">
        <v>56000</v>
      </c>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t="s">
        <v>952</v>
      </c>
      <c r="C28" s="29">
        <v>12000</v>
      </c>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39745</v>
      </c>
      <c r="D33" s="389">
        <f>SUM(D23:D31)</f>
        <v>52100</v>
      </c>
      <c r="E33" s="42">
        <f>SUM(E23:E31)</f>
        <v>56000</v>
      </c>
      <c r="G33" s="631">
        <f>D34</f>
        <v>7017</v>
      </c>
      <c r="H33" s="632" t="str">
        <f>CONCATENATE("",E1-1," Ending Cash Balance (est.)")</f>
        <v>2013 Ending Cash Balance (est.)</v>
      </c>
      <c r="I33" s="633"/>
      <c r="J33" s="628"/>
      <c r="K33" s="582"/>
    </row>
    <row r="34" spans="2:11" ht="15">
      <c r="B34" s="27" t="s">
        <v>119</v>
      </c>
      <c r="C34" s="382">
        <f>C21-C33</f>
        <v>9835</v>
      </c>
      <c r="D34" s="382">
        <f>D21-D33</f>
        <v>7017</v>
      </c>
      <c r="E34" s="33" t="s">
        <v>289</v>
      </c>
      <c r="G34" s="631">
        <f>E20</f>
        <v>1801</v>
      </c>
      <c r="H34" s="615" t="str">
        <f>CONCATENATE("",E1," Non-AV Receipts (est.)")</f>
        <v>2014 Non-AV Receipts (est.)</v>
      </c>
      <c r="I34" s="633"/>
      <c r="J34" s="628"/>
      <c r="K34" s="582"/>
    </row>
    <row r="35" spans="2:11" ht="15">
      <c r="B35" s="48" t="str">
        <f>CONCATENATE("",E1-2,"/",E1-1," Budget Authority Amount:")</f>
        <v>2012/2013 Budget Authority Amount:</v>
      </c>
      <c r="C35" s="132">
        <f>inputOth!B50</f>
        <v>48000</v>
      </c>
      <c r="D35" s="161">
        <f>inputPrYr!D20</f>
        <v>52100</v>
      </c>
      <c r="E35" s="33" t="s">
        <v>289</v>
      </c>
      <c r="F35" s="50"/>
      <c r="G35" s="640">
        <f>IF(E39&gt;0,E38,E40)</f>
        <v>47182</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56000</v>
      </c>
      <c r="H36" s="615" t="str">
        <f>CONCATENATE("Total ",E1," Resources Available")</f>
        <v>Total 2014 Resources Available</v>
      </c>
      <c r="I36" s="633"/>
      <c r="J36" s="628"/>
      <c r="K36" s="582"/>
    </row>
    <row r="37" spans="2:11" ht="15">
      <c r="B37" s="395" t="str">
        <f>CONCATENATE(C92,"     ",D92)</f>
        <v>     </v>
      </c>
      <c r="C37" s="809" t="s">
        <v>623</v>
      </c>
      <c r="D37" s="810"/>
      <c r="E37" s="32">
        <f>E33+E36</f>
        <v>56000</v>
      </c>
      <c r="G37" s="644"/>
      <c r="H37" s="615"/>
      <c r="I37" s="615"/>
      <c r="J37" s="628"/>
      <c r="K37" s="582"/>
    </row>
    <row r="38" spans="2:11" ht="15">
      <c r="B38" s="395" t="str">
        <f>CONCATENATE(C93,"     ",D93)</f>
        <v>     </v>
      </c>
      <c r="C38" s="60"/>
      <c r="D38" s="52" t="s">
        <v>28</v>
      </c>
      <c r="E38" s="46">
        <f>IF(E37-E21&gt;0,E37-E21,0)</f>
        <v>47182</v>
      </c>
      <c r="G38" s="640">
        <f>C33*0.05+C33</f>
        <v>41732.25</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14267.75</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47182</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f>summ!I22</f>
        <v>4.851</v>
      </c>
      <c r="H43" s="632" t="str">
        <f>CONCATENATE("",E1," Fund Mill Rate")</f>
        <v>2014 Fund Mill Rate</v>
      </c>
      <c r="I43" s="656"/>
      <c r="J43" s="657"/>
      <c r="K43" s="582"/>
    </row>
    <row r="44" spans="2:11" ht="15">
      <c r="B44" s="14"/>
      <c r="C44" s="385" t="s">
        <v>11</v>
      </c>
      <c r="D44" s="388" t="s">
        <v>12</v>
      </c>
      <c r="E44" s="23" t="s">
        <v>13</v>
      </c>
      <c r="G44" s="659">
        <f>summ!F22</f>
        <v>5.002</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19.589</v>
      </c>
      <c r="H45" s="632" t="str">
        <f>CONCATENATE("Total ",E1," Mill Rate")</f>
        <v>Total 2014 Mill Rate</v>
      </c>
      <c r="I45" s="656"/>
      <c r="J45" s="657"/>
      <c r="K45" s="582"/>
    </row>
    <row r="46" spans="2:11" ht="15">
      <c r="B46" s="27" t="s">
        <v>118</v>
      </c>
      <c r="C46" s="29"/>
      <c r="D46" s="387">
        <f>C74</f>
        <v>0</v>
      </c>
      <c r="E46" s="32">
        <f>D74</f>
        <v>0</v>
      </c>
      <c r="G46" s="659">
        <f>summ!F32</f>
        <v>19.681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19.589</v>
      </c>
      <c r="H85" s="632" t="str">
        <f>CONCATENATE("Total ",E1," Mill Rate")</f>
        <v>Total 2014 Mill Rate</v>
      </c>
      <c r="I85" s="656"/>
      <c r="J85" s="657"/>
      <c r="K85" s="582"/>
    </row>
    <row r="86" spans="7:11" ht="15">
      <c r="G86" s="659">
        <f>summ!F32</f>
        <v>19.681</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7" operator="greaterThan" stopIfTrue="1">
      <formula>$C$75</formula>
    </cfRule>
  </conditionalFormatting>
  <conditionalFormatting sqref="D73">
    <cfRule type="cellIs" priority="19" dxfId="17" operator="greaterThan" stopIfTrue="1">
      <formula>$D$75</formula>
    </cfRule>
  </conditionalFormatting>
  <conditionalFormatting sqref="C33">
    <cfRule type="cellIs" priority="20" dxfId="17" operator="greaterThan" stopIfTrue="1">
      <formula>$C$35</formula>
    </cfRule>
  </conditionalFormatting>
  <conditionalFormatting sqref="D33">
    <cfRule type="cellIs" priority="21" dxfId="17"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B10" sqref="B10"/>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Grant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t="str">
        <f>inputPrYr!B29</f>
        <v>Fire Spec Machine</v>
      </c>
      <c r="C5" s="26" t="str">
        <f>gen!C5</f>
        <v>Actual for 2012</v>
      </c>
      <c r="D5" s="26" t="str">
        <f>gen!D5</f>
        <v>Estimate for 2013</v>
      </c>
      <c r="E5" s="26" t="str">
        <f>gen!E5</f>
        <v>Year for 2014</v>
      </c>
    </row>
    <row r="6" spans="2:5" ht="15">
      <c r="B6" s="83" t="s">
        <v>144</v>
      </c>
      <c r="C6" s="34">
        <v>106431</v>
      </c>
      <c r="D6" s="32">
        <f>C29</f>
        <v>118431</v>
      </c>
      <c r="E6" s="32">
        <f>D29</f>
        <v>118431</v>
      </c>
    </row>
    <row r="7" spans="2:5" s="16" customFormat="1" ht="15">
      <c r="B7" s="84" t="s">
        <v>120</v>
      </c>
      <c r="C7" s="85"/>
      <c r="D7" s="85"/>
      <c r="E7" s="85"/>
    </row>
    <row r="8" spans="2:5" ht="15">
      <c r="B8" s="37"/>
      <c r="C8" s="34"/>
      <c r="D8" s="34"/>
      <c r="E8" s="34"/>
    </row>
    <row r="9" spans="2:5" ht="15">
      <c r="B9" s="37" t="s">
        <v>954</v>
      </c>
      <c r="C9" s="34">
        <v>12000</v>
      </c>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12000</v>
      </c>
      <c r="D15" s="42">
        <f>SUM(D8:D13)</f>
        <v>0</v>
      </c>
      <c r="E15" s="42">
        <f>SUM(E8:E13)</f>
        <v>0</v>
      </c>
    </row>
    <row r="16" spans="2:5" ht="15">
      <c r="B16" s="43" t="s">
        <v>24</v>
      </c>
      <c r="C16" s="42">
        <f>C6+C15</f>
        <v>118431</v>
      </c>
      <c r="D16" s="42">
        <f>D6+D15</f>
        <v>118431</v>
      </c>
      <c r="E16" s="42">
        <f>E6+E15</f>
        <v>118431</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118431</v>
      </c>
      <c r="D29" s="46">
        <f>D16-D28</f>
        <v>118431</v>
      </c>
      <c r="E29" s="46">
        <f>E16-E28</f>
        <v>118431</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7" operator="greaterThan" stopIfTrue="1">
      <formula>$C$61</formula>
    </cfRule>
  </conditionalFormatting>
  <conditionalFormatting sqref="C60 E60 E29 C29">
    <cfRule type="cellIs" priority="16" dxfId="17" operator="lessThan" stopIfTrue="1">
      <formula>0</formula>
    </cfRule>
  </conditionalFormatting>
  <conditionalFormatting sqref="C28">
    <cfRule type="cellIs" priority="17" dxfId="17" operator="greaterThan" stopIfTrue="1">
      <formula>$C$30</formula>
    </cfRule>
  </conditionalFormatting>
  <conditionalFormatting sqref="D28">
    <cfRule type="cellIs" priority="18" dxfId="17" operator="greaterThan" stopIfTrue="1">
      <formula>$D$30</formula>
    </cfRule>
  </conditionalFormatting>
  <conditionalFormatting sqref="D59">
    <cfRule type="cellIs" priority="19" dxfId="17"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Grant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19.589</v>
      </c>
      <c r="H45" s="632" t="str">
        <f>CONCATENATE("Total ",E1," Mill Rate")</f>
        <v>Total 2014 Mill Rate</v>
      </c>
      <c r="I45" s="656"/>
      <c r="J45" s="657"/>
      <c r="K45" s="582"/>
    </row>
    <row r="46" spans="2:11" ht="15">
      <c r="B46" s="27" t="s">
        <v>118</v>
      </c>
      <c r="C46" s="29"/>
      <c r="D46" s="387">
        <f>C74</f>
        <v>0</v>
      </c>
      <c r="E46" s="32">
        <f>D74</f>
        <v>0</v>
      </c>
      <c r="G46" s="659">
        <f>summ!F32</f>
        <v>19.681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19.589</v>
      </c>
      <c r="H85" s="632" t="str">
        <f>CONCATENATE("Total ",E1," Mill Rate")</f>
        <v>Total 2014 Mill Rate</v>
      </c>
      <c r="I85" s="656"/>
      <c r="J85" s="657"/>
      <c r="K85" s="582"/>
    </row>
    <row r="86" spans="7:11" ht="15">
      <c r="G86" s="659">
        <f>summ!F32</f>
        <v>19.681</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7" operator="greaterThan" stopIfTrue="1">
      <formula>$C$75</formula>
    </cfRule>
  </conditionalFormatting>
  <conditionalFormatting sqref="D73">
    <cfRule type="cellIs" priority="20" dxfId="17" operator="greaterThan" stopIfTrue="1">
      <formula>$D$75</formula>
    </cfRule>
  </conditionalFormatting>
  <conditionalFormatting sqref="C33">
    <cfRule type="cellIs" priority="21" dxfId="17" operator="greaterThan" stopIfTrue="1">
      <formula>$C$35</formula>
    </cfRule>
  </conditionalFormatting>
  <conditionalFormatting sqref="D33">
    <cfRule type="cellIs" priority="22" dxfId="17"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Grant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19.589</v>
      </c>
      <c r="H45" s="632" t="str">
        <f>CONCATENATE("Total ",E1," Mill Rate")</f>
        <v>Total 2014 Mill Rate</v>
      </c>
      <c r="I45" s="656"/>
      <c r="J45" s="657"/>
      <c r="K45" s="582"/>
    </row>
    <row r="46" spans="2:11" ht="15">
      <c r="B46" s="27" t="s">
        <v>118</v>
      </c>
      <c r="C46" s="29"/>
      <c r="D46" s="387">
        <f>C74</f>
        <v>0</v>
      </c>
      <c r="E46" s="32">
        <f>D74</f>
        <v>0</v>
      </c>
      <c r="G46" s="659">
        <f>summ!F32</f>
        <v>19.681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623</v>
      </c>
      <c r="D77" s="810"/>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19.589</v>
      </c>
      <c r="H85" s="632" t="str">
        <f>CONCATENATE("Total ",E1," Mill Rate")</f>
        <v>Total 2014 Mill Rate</v>
      </c>
      <c r="I85" s="656"/>
      <c r="J85" s="657"/>
      <c r="K85" s="582"/>
    </row>
    <row r="86" spans="7:11" ht="15">
      <c r="G86" s="659">
        <f>summ!F32</f>
        <v>19.681</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7" operator="greaterThan" stopIfTrue="1">
      <formula>$C$75</formula>
    </cfRule>
  </conditionalFormatting>
  <conditionalFormatting sqref="D73">
    <cfRule type="cellIs" priority="19" dxfId="17" operator="greaterThan" stopIfTrue="1">
      <formula>$D$75</formula>
    </cfRule>
  </conditionalFormatting>
  <conditionalFormatting sqref="C33">
    <cfRule type="cellIs" priority="20" dxfId="17" operator="greaterThan" stopIfTrue="1">
      <formula>$C$35</formula>
    </cfRule>
  </conditionalFormatting>
  <conditionalFormatting sqref="D33">
    <cfRule type="cellIs" priority="21" dxfId="17"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Grant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6.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Grant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t="str">
        <f>inputPrYr!B20</f>
        <v>Fire</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34" t="str">
        <f>CONCATENATE("",F1-1," July 1 Valuation:")</f>
        <v>2013 July 1 Valuation:</v>
      </c>
      <c r="B19" s="833"/>
      <c r="C19" s="834"/>
      <c r="D19" s="136">
        <f>inputOth!E7</f>
        <v>9726655</v>
      </c>
      <c r="E19" s="14"/>
      <c r="F19" s="129"/>
    </row>
    <row r="20" spans="1:6" ht="15">
      <c r="A20" s="14"/>
      <c r="B20" s="14"/>
      <c r="C20" s="14"/>
      <c r="D20" s="14"/>
      <c r="E20" s="14"/>
      <c r="F20" s="129"/>
    </row>
    <row r="21" spans="1:6" ht="15">
      <c r="A21" s="14"/>
      <c r="B21" s="834" t="s">
        <v>365</v>
      </c>
      <c r="C21" s="834"/>
      <c r="D21" s="137">
        <f>IF(D19&gt;0,(D19*0.001),"")</f>
        <v>9726.655</v>
      </c>
      <c r="E21" s="14"/>
      <c r="F21" s="129"/>
    </row>
    <row r="22" spans="1:6" ht="15">
      <c r="A22" s="14"/>
      <c r="B22" s="48"/>
      <c r="C22" s="48"/>
      <c r="D22" s="138"/>
      <c r="E22" s="14"/>
      <c r="F22" s="129"/>
    </row>
    <row r="23" spans="1:6" ht="15">
      <c r="A23" s="832" t="s">
        <v>367</v>
      </c>
      <c r="B23" s="768"/>
      <c r="C23" s="768"/>
      <c r="D23" s="139">
        <f>inputOth!E13</f>
        <v>0</v>
      </c>
      <c r="E23" s="140"/>
      <c r="F23" s="140"/>
    </row>
    <row r="24" spans="1:6" ht="15">
      <c r="A24" s="140"/>
      <c r="B24" s="140"/>
      <c r="C24" s="140"/>
      <c r="D24" s="141"/>
      <c r="E24" s="140"/>
      <c r="F24" s="140"/>
    </row>
    <row r="25" spans="1:6" ht="15">
      <c r="A25" s="140"/>
      <c r="B25" s="832" t="s">
        <v>368</v>
      </c>
      <c r="C25" s="833"/>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50" sqref="D50"/>
    </sheetView>
  </sheetViews>
  <sheetFormatPr defaultColWidth="8.796875" defaultRowHeight="15.75"/>
  <sheetData>
    <row r="1" spans="1:7" ht="15">
      <c r="A1" s="842" t="s">
        <v>129</v>
      </c>
      <c r="B1" s="842"/>
      <c r="C1" s="842"/>
      <c r="D1" s="842"/>
      <c r="E1" s="842"/>
      <c r="F1" s="842"/>
      <c r="G1" s="842"/>
    </row>
    <row r="2" ht="15">
      <c r="A2" s="1"/>
    </row>
    <row r="3" spans="1:7" ht="15">
      <c r="A3" s="843" t="s">
        <v>130</v>
      </c>
      <c r="B3" s="843"/>
      <c r="C3" s="843"/>
      <c r="D3" s="843"/>
      <c r="E3" s="843"/>
      <c r="F3" s="843"/>
      <c r="G3" s="843"/>
    </row>
    <row r="4" ht="15">
      <c r="A4" s="2"/>
    </row>
    <row r="5" ht="15">
      <c r="A5" s="2"/>
    </row>
    <row r="6" spans="1:9" ht="15">
      <c r="A6" s="8" t="str">
        <f>CONCATENATE("A resolution expressing the property taxation policy of the Board of ",(inputPrYr!D2)," ")</f>
        <v>A resolution expressing the property taxation policy of the Board of Grant Township </v>
      </c>
      <c r="I6">
        <f>CONCATENATE(I7)</f>
      </c>
    </row>
    <row r="7" spans="1:7" ht="15">
      <c r="A7" s="844" t="str">
        <f>CONCATENATE("   with respect to financing the ",inputPrYr!D5," annual budget for ",(inputPrYr!D2)," , ",(inputPrYr!D3)," , Kansas.")</f>
        <v>   with respect to financing the 2014 annual budget for Grant Township , Russell County , Kansas.</v>
      </c>
      <c r="B7" s="837"/>
      <c r="C7" s="837"/>
      <c r="D7" s="837"/>
      <c r="E7" s="837"/>
      <c r="F7" s="837"/>
      <c r="G7" s="837"/>
    </row>
    <row r="8" spans="1:7" ht="15">
      <c r="A8" s="837"/>
      <c r="B8" s="837"/>
      <c r="C8" s="837"/>
      <c r="D8" s="837"/>
      <c r="E8" s="837"/>
      <c r="F8" s="837"/>
      <c r="G8" s="837"/>
    </row>
    <row r="9" ht="15">
      <c r="A9" s="1"/>
    </row>
    <row r="10" ht="15">
      <c r="A10" s="9" t="s">
        <v>131</v>
      </c>
    </row>
    <row r="11" ht="15">
      <c r="A11" s="7" t="str">
        <f>CONCATENATE("to finance the ",inputPrYr!D5," ",(inputPrYr!D2)," budget exceed the amount levied to finance the ",inputPrYr!D5-1,"")</f>
        <v>to finance the 2014 Grant Township budget exceed the amount levied to finance the 2013</v>
      </c>
    </row>
    <row r="12" spans="1:7" ht="15">
      <c r="A12" s="840" t="str">
        <f>CONCATENATE((inputPrYr!D2),"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837"/>
      <c r="C12" s="837"/>
      <c r="D12" s="837"/>
      <c r="E12" s="837"/>
      <c r="F12" s="837"/>
      <c r="G12" s="837"/>
    </row>
    <row r="13" spans="1:7" ht="15">
      <c r="A13" s="837"/>
      <c r="B13" s="837"/>
      <c r="C13" s="837"/>
      <c r="D13" s="837"/>
      <c r="E13" s="837"/>
      <c r="F13" s="837"/>
      <c r="G13" s="837"/>
    </row>
    <row r="14" spans="1:7" ht="15">
      <c r="A14" s="840" t="s">
        <v>136</v>
      </c>
      <c r="B14" s="837"/>
      <c r="C14" s="837"/>
      <c r="D14" s="837"/>
      <c r="E14" s="837"/>
      <c r="F14" s="837"/>
      <c r="G14" s="837"/>
    </row>
    <row r="15" spans="1:7" ht="15">
      <c r="A15" s="837"/>
      <c r="B15" s="837"/>
      <c r="C15" s="837"/>
      <c r="D15" s="837"/>
      <c r="E15" s="837"/>
      <c r="F15" s="837"/>
      <c r="G15" s="837"/>
    </row>
    <row r="16" spans="1:7" ht="15">
      <c r="A16" s="841"/>
      <c r="B16" s="841"/>
      <c r="C16" s="841"/>
      <c r="D16" s="841"/>
      <c r="E16" s="841"/>
      <c r="F16" s="841"/>
      <c r="G16" s="841"/>
    </row>
    <row r="17" ht="15">
      <c r="A17" s="2"/>
    </row>
    <row r="18" spans="1:7" ht="15">
      <c r="A18" s="836" t="s">
        <v>132</v>
      </c>
      <c r="B18" s="837"/>
      <c r="C18" s="837"/>
      <c r="D18" s="837"/>
      <c r="E18" s="837"/>
      <c r="F18" s="837"/>
      <c r="G18" s="837"/>
    </row>
    <row r="19" spans="1:7" ht="15">
      <c r="A19" s="837"/>
      <c r="B19" s="837"/>
      <c r="C19" s="837"/>
      <c r="D19" s="837"/>
      <c r="E19" s="837"/>
      <c r="F19" s="837"/>
      <c r="G19" s="837"/>
    </row>
    <row r="20" ht="15">
      <c r="A20" s="2"/>
    </row>
    <row r="21" spans="1:7" ht="15">
      <c r="A21" s="836" t="str">
        <f>CONCATENATE("Whereas, ",(inputPrYr!D2)," provides essential services to protect the safety and well being of the citizens of the township; and")</f>
        <v>Whereas, Grant Township provides essential services to protect the safety and well being of the citizens of the township; and</v>
      </c>
      <c r="B21" s="837"/>
      <c r="C21" s="837"/>
      <c r="D21" s="837"/>
      <c r="E21" s="837"/>
      <c r="F21" s="837"/>
      <c r="G21" s="837"/>
    </row>
    <row r="22" spans="1:7" ht="15">
      <c r="A22" s="837"/>
      <c r="B22" s="837"/>
      <c r="C22" s="837"/>
      <c r="D22" s="837"/>
      <c r="E22" s="837"/>
      <c r="F22" s="837"/>
      <c r="G22" s="837"/>
    </row>
    <row r="23" ht="15">
      <c r="A23" s="4"/>
    </row>
    <row r="24" ht="15">
      <c r="A24" s="3" t="s">
        <v>133</v>
      </c>
    </row>
    <row r="25" ht="15">
      <c r="A25" s="4"/>
    </row>
    <row r="26" spans="1:7" ht="15">
      <c r="A26" s="836" t="str">
        <f>CONCATENATE("NOW, THEREFORE, BE IT RESOLVED by the Board of ",(inputPrYr!D2)," of ",(inputPrYr!D3),", Kansas that is our desire to notify the public of increased property taxes to finance the ",inputPrYr!D5," ",(inputPrYr!D2),"  budget as defined above.")</f>
        <v>NOW, THEREFORE, BE IT RESOLVED by the Board of Grant Township of Russell County, Kansas that is our desire to notify the public of increased property taxes to finance the 2014 Grant Township  budget as defined above.</v>
      </c>
      <c r="B26" s="837"/>
      <c r="C26" s="837"/>
      <c r="D26" s="837"/>
      <c r="E26" s="837"/>
      <c r="F26" s="837"/>
      <c r="G26" s="837"/>
    </row>
    <row r="27" spans="1:7" ht="15">
      <c r="A27" s="837"/>
      <c r="B27" s="837"/>
      <c r="C27" s="837"/>
      <c r="D27" s="837"/>
      <c r="E27" s="837"/>
      <c r="F27" s="837"/>
      <c r="G27" s="837"/>
    </row>
    <row r="28" spans="1:7" ht="15">
      <c r="A28" s="837"/>
      <c r="B28" s="837"/>
      <c r="C28" s="837"/>
      <c r="D28" s="837"/>
      <c r="E28" s="837"/>
      <c r="F28" s="837"/>
      <c r="G28" s="837"/>
    </row>
    <row r="29" ht="15">
      <c r="A29" s="4"/>
    </row>
    <row r="30" spans="1:7" ht="15">
      <c r="A30" s="839" t="str">
        <f>CONCATENATE("Adopted this _________ day of ___________, ",inputPrYr!D5-1," by the ",(inputPrYr!D2)," Board, ",(inputPrYr!D3),", Kansas.")</f>
        <v>Adopted this _________ day of ___________, 2013 by the Grant Township Board, Russell County, Kansas.</v>
      </c>
      <c r="B30" s="837"/>
      <c r="C30" s="837"/>
      <c r="D30" s="837"/>
      <c r="E30" s="837"/>
      <c r="F30" s="837"/>
      <c r="G30" s="837"/>
    </row>
    <row r="31" spans="1:7" ht="15">
      <c r="A31" s="837"/>
      <c r="B31" s="837"/>
      <c r="C31" s="837"/>
      <c r="D31" s="837"/>
      <c r="E31" s="837"/>
      <c r="F31" s="837"/>
      <c r="G31" s="837"/>
    </row>
    <row r="32" ht="15">
      <c r="A32" s="4"/>
    </row>
    <row r="33" spans="4:7" ht="15">
      <c r="D33" s="838" t="str">
        <f>CONCATENATE((inputPrYr!D2)," Board")</f>
        <v>Grant Township Board</v>
      </c>
      <c r="E33" s="838"/>
      <c r="F33" s="838"/>
      <c r="G33" s="838"/>
    </row>
    <row r="35" spans="4:7" ht="15">
      <c r="D35" s="835" t="s">
        <v>134</v>
      </c>
      <c r="E35" s="835"/>
      <c r="F35" s="835"/>
      <c r="G35" s="835"/>
    </row>
    <row r="36" spans="1:7" ht="15">
      <c r="A36" s="5"/>
      <c r="D36" s="835" t="s">
        <v>138</v>
      </c>
      <c r="E36" s="835"/>
      <c r="F36" s="835"/>
      <c r="G36" s="835"/>
    </row>
    <row r="37" spans="4:7" ht="15">
      <c r="D37" s="835"/>
      <c r="E37" s="835"/>
      <c r="F37" s="835"/>
      <c r="G37" s="835"/>
    </row>
    <row r="38" spans="4:7" ht="15">
      <c r="D38" s="835" t="s">
        <v>134</v>
      </c>
      <c r="E38" s="835"/>
      <c r="F38" s="835"/>
      <c r="G38" s="835"/>
    </row>
    <row r="39" spans="1:7" ht="15">
      <c r="A39" s="4"/>
      <c r="D39" s="835" t="s">
        <v>139</v>
      </c>
      <c r="E39" s="835"/>
      <c r="F39" s="835"/>
      <c r="G39" s="835"/>
    </row>
    <row r="40" spans="4:7" ht="15">
      <c r="D40" s="835"/>
      <c r="E40" s="835"/>
      <c r="F40" s="835"/>
      <c r="G40" s="835"/>
    </row>
    <row r="41" spans="4:7" ht="15">
      <c r="D41" s="835" t="s">
        <v>137</v>
      </c>
      <c r="E41" s="835"/>
      <c r="F41" s="835"/>
      <c r="G41" s="835"/>
    </row>
    <row r="42" spans="1:7" ht="15">
      <c r="A42" s="4"/>
      <c r="D42" s="835" t="s">
        <v>140</v>
      </c>
      <c r="E42" s="835"/>
      <c r="F42" s="835"/>
      <c r="G42" s="835"/>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9">
      <selection activeCell="B30" sqref="B3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10000</v>
      </c>
      <c r="E16" s="187">
        <v>3457</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157100</v>
      </c>
      <c r="E19" s="187">
        <v>135725</v>
      </c>
      <c r="G19" s="32">
        <f>IF(H15&gt;0,ROUND(E19-(E19*H15),0),0)</f>
        <v>0</v>
      </c>
    </row>
    <row r="20" spans="1:7" ht="15">
      <c r="A20" s="14"/>
      <c r="B20" s="379" t="s">
        <v>943</v>
      </c>
      <c r="C20" s="380" t="s">
        <v>944</v>
      </c>
      <c r="D20" s="187">
        <v>52100</v>
      </c>
      <c r="E20" s="187">
        <v>47425</v>
      </c>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186607</v>
      </c>
    </row>
    <row r="27" spans="1:5" ht="15">
      <c r="A27" s="19"/>
      <c r="B27" s="19"/>
      <c r="C27" s="19"/>
      <c r="D27" s="24"/>
      <c r="E27" s="140"/>
    </row>
    <row r="28" spans="1:5" ht="15">
      <c r="A28" s="14" t="s">
        <v>142</v>
      </c>
      <c r="B28" s="14"/>
      <c r="C28" s="14"/>
      <c r="D28" s="14"/>
      <c r="E28" s="14"/>
    </row>
    <row r="29" spans="1:5" ht="15">
      <c r="A29" s="14"/>
      <c r="B29" s="224" t="s">
        <v>953</v>
      </c>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219200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0.65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13.561</v>
      </c>
      <c r="E45" s="14"/>
    </row>
    <row r="46" spans="1:5" ht="15">
      <c r="A46" s="14"/>
      <c r="B46" s="72" t="str">
        <f t="shared" si="0"/>
        <v>Fire</v>
      </c>
      <c r="C46" s="14"/>
      <c r="D46" s="322">
        <v>5.41</v>
      </c>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19.621000000000002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168990</v>
      </c>
    </row>
    <row r="55" spans="1:5" ht="15">
      <c r="A55" s="327" t="str">
        <f>CONCATENATE("Assessed Valuation (",D5-2," budget column)")</f>
        <v>Assessed Valuation (2012 budget column)</v>
      </c>
      <c r="B55" s="328"/>
      <c r="C55" s="267"/>
      <c r="D55" s="28"/>
      <c r="E55" s="187">
        <v>8612367</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4" t="s">
        <v>626</v>
      </c>
      <c r="C6" s="862"/>
      <c r="D6" s="862"/>
      <c r="E6" s="862"/>
      <c r="F6" s="862"/>
      <c r="G6" s="862"/>
      <c r="H6" s="862"/>
      <c r="I6" s="862"/>
      <c r="J6" s="862"/>
      <c r="K6" s="862"/>
      <c r="L6" s="405"/>
    </row>
    <row r="7" spans="1:12" ht="40.5" customHeight="1">
      <c r="A7" s="402"/>
      <c r="B7" s="874" t="s">
        <v>627</v>
      </c>
      <c r="C7" s="875"/>
      <c r="D7" s="875"/>
      <c r="E7" s="875"/>
      <c r="F7" s="875"/>
      <c r="G7" s="875"/>
      <c r="H7" s="875"/>
      <c r="I7" s="875"/>
      <c r="J7" s="875"/>
      <c r="K7" s="875"/>
      <c r="L7" s="402"/>
    </row>
    <row r="8" spans="1:12" ht="13.5">
      <c r="A8" s="402"/>
      <c r="B8" s="871" t="s">
        <v>628</v>
      </c>
      <c r="C8" s="871"/>
      <c r="D8" s="871"/>
      <c r="E8" s="871"/>
      <c r="F8" s="871"/>
      <c r="G8" s="871"/>
      <c r="H8" s="871"/>
      <c r="I8" s="871"/>
      <c r="J8" s="871"/>
      <c r="K8" s="871"/>
      <c r="L8" s="402"/>
    </row>
    <row r="9" spans="1:12" ht="13.5">
      <c r="A9" s="402"/>
      <c r="L9" s="402"/>
    </row>
    <row r="10" spans="1:12" ht="13.5">
      <c r="A10" s="402"/>
      <c r="B10" s="871" t="s">
        <v>629</v>
      </c>
      <c r="C10" s="871"/>
      <c r="D10" s="871"/>
      <c r="E10" s="871"/>
      <c r="F10" s="871"/>
      <c r="G10" s="871"/>
      <c r="H10" s="871"/>
      <c r="I10" s="871"/>
      <c r="J10" s="871"/>
      <c r="K10" s="871"/>
      <c r="L10" s="402"/>
    </row>
    <row r="11" spans="1:12" ht="13.5">
      <c r="A11" s="402"/>
      <c r="B11" s="541"/>
      <c r="C11" s="541"/>
      <c r="D11" s="541"/>
      <c r="E11" s="541"/>
      <c r="F11" s="541"/>
      <c r="G11" s="541"/>
      <c r="H11" s="541"/>
      <c r="I11" s="541"/>
      <c r="J11" s="541"/>
      <c r="K11" s="541"/>
      <c r="L11" s="402"/>
    </row>
    <row r="12" spans="1:12" ht="32.25" customHeight="1">
      <c r="A12" s="402"/>
      <c r="B12" s="855" t="s">
        <v>630</v>
      </c>
      <c r="C12" s="855"/>
      <c r="D12" s="855"/>
      <c r="E12" s="855"/>
      <c r="F12" s="855"/>
      <c r="G12" s="855"/>
      <c r="H12" s="855"/>
      <c r="I12" s="855"/>
      <c r="J12" s="855"/>
      <c r="K12" s="855"/>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7">
        <v>312000000</v>
      </c>
      <c r="G23" s="857"/>
      <c r="L23" s="402"/>
    </row>
    <row r="24" spans="1:12" ht="13.5">
      <c r="A24" s="402"/>
      <c r="L24" s="402"/>
    </row>
    <row r="25" spans="1:12" ht="13.5">
      <c r="A25" s="402"/>
      <c r="C25" s="872">
        <f>F23</f>
        <v>312000000</v>
      </c>
      <c r="D25" s="872"/>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59" t="s">
        <v>627</v>
      </c>
      <c r="C30" s="859"/>
      <c r="D30" s="859"/>
      <c r="E30" s="859"/>
      <c r="F30" s="859"/>
      <c r="G30" s="859"/>
      <c r="H30" s="859"/>
      <c r="I30" s="859"/>
      <c r="J30" s="859"/>
      <c r="K30" s="859"/>
      <c r="L30" s="402"/>
    </row>
    <row r="31" spans="1:12" ht="13.5">
      <c r="A31" s="402"/>
      <c r="B31" s="871" t="s">
        <v>639</v>
      </c>
      <c r="C31" s="871"/>
      <c r="D31" s="871"/>
      <c r="E31" s="871"/>
      <c r="F31" s="871"/>
      <c r="G31" s="871"/>
      <c r="H31" s="871"/>
      <c r="I31" s="871"/>
      <c r="J31" s="871"/>
      <c r="K31" s="871"/>
      <c r="L31" s="402"/>
    </row>
    <row r="32" spans="1:12" ht="13.5">
      <c r="A32" s="402"/>
      <c r="L32" s="402"/>
    </row>
    <row r="33" spans="1:12" ht="13.5">
      <c r="A33" s="402"/>
      <c r="B33" s="871" t="s">
        <v>640</v>
      </c>
      <c r="C33" s="871"/>
      <c r="D33" s="871"/>
      <c r="E33" s="871"/>
      <c r="F33" s="871"/>
      <c r="G33" s="871"/>
      <c r="H33" s="871"/>
      <c r="I33" s="871"/>
      <c r="J33" s="871"/>
      <c r="K33" s="871"/>
      <c r="L33" s="402"/>
    </row>
    <row r="34" spans="1:12" ht="13.5">
      <c r="A34" s="402"/>
      <c r="L34" s="402"/>
    </row>
    <row r="35" spans="1:12" ht="89.25" customHeight="1">
      <c r="A35" s="402"/>
      <c r="B35" s="855" t="s">
        <v>641</v>
      </c>
      <c r="C35" s="865"/>
      <c r="D35" s="865"/>
      <c r="E35" s="865"/>
      <c r="F35" s="865"/>
      <c r="G35" s="865"/>
      <c r="H35" s="865"/>
      <c r="I35" s="865"/>
      <c r="J35" s="865"/>
      <c r="K35" s="865"/>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73">
        <v>312000000</v>
      </c>
      <c r="D41" s="87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6">
        <v>312000000</v>
      </c>
      <c r="C48" s="857"/>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7" t="s">
        <v>649</v>
      </c>
      <c r="H50" s="868"/>
      <c r="I50" s="546" t="s">
        <v>635</v>
      </c>
      <c r="J50" s="422">
        <f>B50/F50</f>
        <v>0.16025641025641027</v>
      </c>
      <c r="K50" s="414"/>
      <c r="L50" s="402"/>
    </row>
    <row r="51" spans="1:15" ht="14.25" thickBot="1">
      <c r="A51" s="402"/>
      <c r="B51" s="415"/>
      <c r="C51" s="416"/>
      <c r="D51" s="416"/>
      <c r="E51" s="416"/>
      <c r="F51" s="416"/>
      <c r="G51" s="416"/>
      <c r="H51" s="416"/>
      <c r="I51" s="869" t="s">
        <v>650</v>
      </c>
      <c r="J51" s="869"/>
      <c r="K51" s="870"/>
      <c r="L51" s="402"/>
      <c r="O51" s="423"/>
    </row>
    <row r="52" spans="1:12" ht="40.5" customHeight="1">
      <c r="A52" s="402"/>
      <c r="B52" s="859" t="s">
        <v>627</v>
      </c>
      <c r="C52" s="859"/>
      <c r="D52" s="859"/>
      <c r="E52" s="859"/>
      <c r="F52" s="859"/>
      <c r="G52" s="859"/>
      <c r="H52" s="859"/>
      <c r="I52" s="859"/>
      <c r="J52" s="859"/>
      <c r="K52" s="859"/>
      <c r="L52" s="402"/>
    </row>
    <row r="53" spans="1:12" ht="13.5">
      <c r="A53" s="402"/>
      <c r="B53" s="871" t="s">
        <v>651</v>
      </c>
      <c r="C53" s="871"/>
      <c r="D53" s="871"/>
      <c r="E53" s="871"/>
      <c r="F53" s="871"/>
      <c r="G53" s="871"/>
      <c r="H53" s="871"/>
      <c r="I53" s="871"/>
      <c r="J53" s="871"/>
      <c r="K53" s="871"/>
      <c r="L53" s="402"/>
    </row>
    <row r="54" spans="1:12" ht="13.5">
      <c r="A54" s="402"/>
      <c r="B54" s="541"/>
      <c r="C54" s="541"/>
      <c r="D54" s="541"/>
      <c r="E54" s="541"/>
      <c r="F54" s="541"/>
      <c r="G54" s="541"/>
      <c r="H54" s="541"/>
      <c r="I54" s="541"/>
      <c r="J54" s="541"/>
      <c r="K54" s="541"/>
      <c r="L54" s="402"/>
    </row>
    <row r="55" spans="1:12" ht="13.5">
      <c r="A55" s="402"/>
      <c r="B55" s="854" t="s">
        <v>652</v>
      </c>
      <c r="C55" s="854"/>
      <c r="D55" s="854"/>
      <c r="E55" s="854"/>
      <c r="F55" s="854"/>
      <c r="G55" s="854"/>
      <c r="H55" s="854"/>
      <c r="I55" s="854"/>
      <c r="J55" s="854"/>
      <c r="K55" s="854"/>
      <c r="L55" s="402"/>
    </row>
    <row r="56" spans="1:12" ht="15" customHeight="1">
      <c r="A56" s="402"/>
      <c r="L56" s="402"/>
    </row>
    <row r="57" spans="1:24" ht="74.25" customHeight="1">
      <c r="A57" s="402"/>
      <c r="B57" s="855" t="s">
        <v>653</v>
      </c>
      <c r="C57" s="865"/>
      <c r="D57" s="865"/>
      <c r="E57" s="865"/>
      <c r="F57" s="865"/>
      <c r="G57" s="865"/>
      <c r="H57" s="865"/>
      <c r="I57" s="865"/>
      <c r="J57" s="865"/>
      <c r="K57" s="865"/>
      <c r="L57" s="402"/>
      <c r="M57" s="424"/>
      <c r="N57" s="425"/>
      <c r="O57" s="425"/>
      <c r="P57" s="425"/>
      <c r="Q57" s="425"/>
      <c r="R57" s="425"/>
      <c r="S57" s="425"/>
      <c r="T57" s="425"/>
      <c r="U57" s="425"/>
      <c r="V57" s="425"/>
      <c r="W57" s="425"/>
      <c r="X57" s="425"/>
    </row>
    <row r="58" spans="1:24" ht="15" customHeight="1">
      <c r="A58" s="402"/>
      <c r="B58" s="855"/>
      <c r="C58" s="865"/>
      <c r="D58" s="865"/>
      <c r="E58" s="865"/>
      <c r="F58" s="865"/>
      <c r="G58" s="865"/>
      <c r="H58" s="865"/>
      <c r="I58" s="865"/>
      <c r="J58" s="865"/>
      <c r="K58" s="865"/>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7">
        <v>312000000</v>
      </c>
      <c r="D74" s="857"/>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7">
        <v>50000</v>
      </c>
      <c r="D77" s="857"/>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7">
        <v>100000</v>
      </c>
      <c r="D80" s="857"/>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58">
        <f>H80</f>
        <v>11500</v>
      </c>
      <c r="D83" s="858"/>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59" t="s">
        <v>627</v>
      </c>
      <c r="C85" s="859"/>
      <c r="D85" s="859"/>
      <c r="E85" s="859"/>
      <c r="F85" s="859"/>
      <c r="G85" s="859"/>
      <c r="H85" s="859"/>
      <c r="I85" s="859"/>
      <c r="J85" s="859"/>
      <c r="K85" s="859"/>
      <c r="L85" s="402"/>
    </row>
    <row r="86" spans="1:12" ht="13.5">
      <c r="A86" s="402"/>
      <c r="B86" s="854" t="s">
        <v>669</v>
      </c>
      <c r="C86" s="854"/>
      <c r="D86" s="854"/>
      <c r="E86" s="854"/>
      <c r="F86" s="854"/>
      <c r="G86" s="854"/>
      <c r="H86" s="854"/>
      <c r="I86" s="854"/>
      <c r="J86" s="854"/>
      <c r="K86" s="854"/>
      <c r="L86" s="402"/>
    </row>
    <row r="87" spans="1:12" ht="13.5">
      <c r="A87" s="402"/>
      <c r="B87" s="436"/>
      <c r="C87" s="436"/>
      <c r="D87" s="436"/>
      <c r="E87" s="436"/>
      <c r="F87" s="436"/>
      <c r="G87" s="436"/>
      <c r="H87" s="436"/>
      <c r="I87" s="436"/>
      <c r="J87" s="436"/>
      <c r="K87" s="436"/>
      <c r="L87" s="402"/>
    </row>
    <row r="88" spans="1:12" ht="13.5">
      <c r="A88" s="402"/>
      <c r="B88" s="854" t="s">
        <v>670</v>
      </c>
      <c r="C88" s="854"/>
      <c r="D88" s="854"/>
      <c r="E88" s="854"/>
      <c r="F88" s="854"/>
      <c r="G88" s="854"/>
      <c r="H88" s="854"/>
      <c r="I88" s="854"/>
      <c r="J88" s="854"/>
      <c r="K88" s="854"/>
      <c r="L88" s="402"/>
    </row>
    <row r="89" spans="1:12" ht="13.5">
      <c r="A89" s="402"/>
      <c r="B89" s="540"/>
      <c r="C89" s="540"/>
      <c r="D89" s="540"/>
      <c r="E89" s="540"/>
      <c r="F89" s="540"/>
      <c r="G89" s="540"/>
      <c r="H89" s="540"/>
      <c r="I89" s="540"/>
      <c r="J89" s="540"/>
      <c r="K89" s="540"/>
      <c r="L89" s="402"/>
    </row>
    <row r="90" spans="1:12" ht="45" customHeight="1">
      <c r="A90" s="402"/>
      <c r="B90" s="855" t="s">
        <v>671</v>
      </c>
      <c r="C90" s="855"/>
      <c r="D90" s="855"/>
      <c r="E90" s="855"/>
      <c r="F90" s="855"/>
      <c r="G90" s="855"/>
      <c r="H90" s="855"/>
      <c r="I90" s="855"/>
      <c r="J90" s="855"/>
      <c r="K90" s="855"/>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7">
        <v>312000000</v>
      </c>
      <c r="D94" s="857"/>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7">
        <v>50000</v>
      </c>
      <c r="D97" s="857"/>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7">
        <v>2500000</v>
      </c>
      <c r="D100" s="857"/>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58">
        <f>H100</f>
        <v>750000</v>
      </c>
      <c r="D103" s="858"/>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9" t="s">
        <v>627</v>
      </c>
      <c r="C105" s="860"/>
      <c r="D105" s="860"/>
      <c r="E105" s="860"/>
      <c r="F105" s="860"/>
      <c r="G105" s="860"/>
      <c r="H105" s="860"/>
      <c r="I105" s="860"/>
      <c r="J105" s="860"/>
      <c r="K105" s="860"/>
      <c r="L105" s="402"/>
    </row>
    <row r="106" spans="1:12" ht="15" customHeight="1">
      <c r="A106" s="402"/>
      <c r="B106" s="861" t="s">
        <v>673</v>
      </c>
      <c r="C106" s="862"/>
      <c r="D106" s="862"/>
      <c r="E106" s="862"/>
      <c r="F106" s="862"/>
      <c r="G106" s="862"/>
      <c r="H106" s="862"/>
      <c r="I106" s="862"/>
      <c r="J106" s="862"/>
      <c r="K106" s="862"/>
      <c r="L106" s="402"/>
    </row>
    <row r="107" spans="1:12" ht="15" customHeight="1">
      <c r="A107" s="402"/>
      <c r="B107" s="544"/>
      <c r="C107" s="447"/>
      <c r="D107" s="447"/>
      <c r="E107" s="546"/>
      <c r="F107" s="422"/>
      <c r="G107" s="546"/>
      <c r="H107" s="546"/>
      <c r="I107" s="546"/>
      <c r="J107" s="549"/>
      <c r="K107" s="544"/>
      <c r="L107" s="402"/>
    </row>
    <row r="108" spans="1:12" ht="15" customHeight="1">
      <c r="A108" s="402"/>
      <c r="B108" s="861" t="s">
        <v>674</v>
      </c>
      <c r="C108" s="863"/>
      <c r="D108" s="863"/>
      <c r="E108" s="863"/>
      <c r="F108" s="863"/>
      <c r="G108" s="863"/>
      <c r="H108" s="863"/>
      <c r="I108" s="863"/>
      <c r="J108" s="863"/>
      <c r="K108" s="863"/>
      <c r="L108" s="402"/>
    </row>
    <row r="109" spans="1:12" ht="15" customHeight="1">
      <c r="A109" s="402"/>
      <c r="B109" s="544"/>
      <c r="C109" s="447"/>
      <c r="D109" s="447"/>
      <c r="E109" s="546"/>
      <c r="F109" s="422"/>
      <c r="G109" s="546"/>
      <c r="H109" s="546"/>
      <c r="I109" s="546"/>
      <c r="J109" s="549"/>
      <c r="K109" s="544"/>
      <c r="L109" s="402"/>
    </row>
    <row r="110" spans="1:12" ht="59.25" customHeight="1">
      <c r="A110" s="402"/>
      <c r="B110" s="864" t="s">
        <v>675</v>
      </c>
      <c r="C110" s="865"/>
      <c r="D110" s="865"/>
      <c r="E110" s="865"/>
      <c r="F110" s="865"/>
      <c r="G110" s="865"/>
      <c r="H110" s="865"/>
      <c r="I110" s="865"/>
      <c r="J110" s="865"/>
      <c r="K110" s="865"/>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7">
        <v>312000000</v>
      </c>
      <c r="D114" s="857"/>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7">
        <v>50000</v>
      </c>
      <c r="D117" s="857"/>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7">
        <v>2500000</v>
      </c>
      <c r="D120" s="857"/>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58">
        <f>H120</f>
        <v>625000</v>
      </c>
      <c r="D123" s="858"/>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59" t="s">
        <v>627</v>
      </c>
      <c r="C125" s="859"/>
      <c r="D125" s="859"/>
      <c r="E125" s="859"/>
      <c r="F125" s="859"/>
      <c r="G125" s="859"/>
      <c r="H125" s="859"/>
      <c r="I125" s="859"/>
      <c r="J125" s="859"/>
      <c r="K125" s="859"/>
      <c r="L125" s="448"/>
    </row>
    <row r="126" spans="1:12" ht="13.5">
      <c r="A126" s="402"/>
      <c r="B126" s="854" t="s">
        <v>676</v>
      </c>
      <c r="C126" s="854"/>
      <c r="D126" s="854"/>
      <c r="E126" s="854"/>
      <c r="F126" s="854"/>
      <c r="G126" s="854"/>
      <c r="H126" s="854"/>
      <c r="I126" s="854"/>
      <c r="J126" s="854"/>
      <c r="K126" s="854"/>
      <c r="L126" s="448"/>
    </row>
    <row r="127" spans="1:12" ht="13.5">
      <c r="A127" s="402"/>
      <c r="B127" s="541"/>
      <c r="C127" s="541"/>
      <c r="D127" s="541"/>
      <c r="E127" s="541"/>
      <c r="F127" s="541"/>
      <c r="G127" s="541"/>
      <c r="H127" s="541"/>
      <c r="I127" s="541"/>
      <c r="J127" s="541"/>
      <c r="K127" s="541"/>
      <c r="L127" s="448"/>
    </row>
    <row r="128" spans="1:12" ht="13.5">
      <c r="A128" s="402"/>
      <c r="B128" s="854" t="s">
        <v>677</v>
      </c>
      <c r="C128" s="854"/>
      <c r="D128" s="854"/>
      <c r="E128" s="854"/>
      <c r="F128" s="854"/>
      <c r="G128" s="854"/>
      <c r="H128" s="854"/>
      <c r="I128" s="854"/>
      <c r="J128" s="854"/>
      <c r="K128" s="854"/>
      <c r="L128" s="448"/>
    </row>
    <row r="129" spans="1:12" ht="13.5">
      <c r="A129" s="402"/>
      <c r="B129" s="540"/>
      <c r="C129" s="540"/>
      <c r="D129" s="540"/>
      <c r="E129" s="540"/>
      <c r="F129" s="540"/>
      <c r="G129" s="540"/>
      <c r="H129" s="540"/>
      <c r="I129" s="540"/>
      <c r="J129" s="540"/>
      <c r="K129" s="540"/>
      <c r="L129" s="448"/>
    </row>
    <row r="130" spans="1:12" ht="74.25" customHeight="1">
      <c r="A130" s="402"/>
      <c r="B130" s="855" t="s">
        <v>678</v>
      </c>
      <c r="C130" s="855"/>
      <c r="D130" s="855"/>
      <c r="E130" s="855"/>
      <c r="F130" s="855"/>
      <c r="G130" s="855"/>
      <c r="H130" s="855"/>
      <c r="I130" s="855"/>
      <c r="J130" s="855"/>
      <c r="K130" s="855"/>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56" t="s">
        <v>679</v>
      </c>
      <c r="D133" s="856"/>
      <c r="E133" s="412"/>
      <c r="F133" s="546" t="s">
        <v>680</v>
      </c>
      <c r="G133" s="412"/>
      <c r="H133" s="856" t="s">
        <v>665</v>
      </c>
      <c r="I133" s="856"/>
      <c r="J133" s="412"/>
      <c r="K133" s="414"/>
      <c r="L133" s="402"/>
    </row>
    <row r="134" spans="1:12" ht="13.5">
      <c r="A134" s="402"/>
      <c r="B134" s="420" t="s">
        <v>658</v>
      </c>
      <c r="C134" s="857">
        <v>100000</v>
      </c>
      <c r="D134" s="857"/>
      <c r="E134" s="546" t="s">
        <v>289</v>
      </c>
      <c r="F134" s="546">
        <v>0.115</v>
      </c>
      <c r="G134" s="546" t="s">
        <v>635</v>
      </c>
      <c r="H134" s="846">
        <f>C134*F134</f>
        <v>11500</v>
      </c>
      <c r="I134" s="846"/>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45" t="s">
        <v>665</v>
      </c>
      <c r="D136" s="845"/>
      <c r="E136" s="430"/>
      <c r="F136" s="548" t="s">
        <v>681</v>
      </c>
      <c r="G136" s="548"/>
      <c r="H136" s="430"/>
      <c r="I136" s="430"/>
      <c r="J136" s="430" t="s">
        <v>682</v>
      </c>
      <c r="K136" s="431"/>
      <c r="L136" s="402"/>
    </row>
    <row r="137" spans="1:12" ht="13.5">
      <c r="A137" s="402"/>
      <c r="B137" s="420" t="s">
        <v>661</v>
      </c>
      <c r="C137" s="846">
        <f>H134</f>
        <v>11500</v>
      </c>
      <c r="D137" s="846"/>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47" t="s">
        <v>685</v>
      </c>
      <c r="C144" s="848"/>
      <c r="D144" s="848"/>
      <c r="E144" s="848"/>
      <c r="F144" s="848"/>
      <c r="G144" s="848"/>
      <c r="H144" s="848"/>
      <c r="I144" s="848"/>
      <c r="J144" s="848"/>
      <c r="K144" s="84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46" t="s">
        <v>686</v>
      </c>
      <c r="D147" s="846"/>
      <c r="E147" s="546"/>
      <c r="F147" s="466" t="s">
        <v>687</v>
      </c>
      <c r="G147" s="546"/>
      <c r="H147" s="546"/>
      <c r="I147" s="546"/>
      <c r="J147" s="850" t="s">
        <v>688</v>
      </c>
      <c r="K147" s="851"/>
      <c r="L147" s="402"/>
    </row>
    <row r="148" spans="1:12" ht="13.5">
      <c r="A148" s="402"/>
      <c r="B148" s="420"/>
      <c r="C148" s="852">
        <v>52.869</v>
      </c>
      <c r="D148" s="852"/>
      <c r="E148" s="546" t="s">
        <v>289</v>
      </c>
      <c r="F148" s="542">
        <v>312000000</v>
      </c>
      <c r="G148" s="471" t="s">
        <v>636</v>
      </c>
      <c r="H148" s="546">
        <v>1000</v>
      </c>
      <c r="I148" s="546" t="s">
        <v>635</v>
      </c>
      <c r="J148" s="850">
        <f>C148*(F148/1000)</f>
        <v>16495128</v>
      </c>
      <c r="K148" s="85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Grant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34000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34000</v>
      </c>
      <c r="D27" s="228">
        <f>SUM(D10:D26)</f>
        <v>0</v>
      </c>
      <c r="E27" s="228">
        <f>SUM(E10:E26)</f>
        <v>0</v>
      </c>
      <c r="F27" s="129"/>
    </row>
    <row r="28" spans="1:6" ht="15">
      <c r="A28" s="129"/>
      <c r="B28" s="227" t="s">
        <v>609</v>
      </c>
      <c r="C28" s="129"/>
      <c r="D28" s="224"/>
      <c r="E28" s="224"/>
      <c r="F28" s="129"/>
    </row>
    <row r="29" spans="1:6" ht="15">
      <c r="A29" s="129"/>
      <c r="B29" s="179" t="s">
        <v>177</v>
      </c>
      <c r="C29" s="229">
        <f>C27</f>
        <v>34000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Grant Township</v>
      </c>
      <c r="C1" s="167"/>
      <c r="D1" s="167"/>
      <c r="E1" s="167"/>
      <c r="F1" s="167"/>
      <c r="G1" s="167"/>
      <c r="H1" s="167"/>
      <c r="I1" s="167"/>
      <c r="J1" s="14"/>
      <c r="K1" s="14"/>
      <c r="L1" s="15">
        <f>inputPrYr!D5</f>
        <v>2014</v>
      </c>
    </row>
    <row r="2" spans="2:12" ht="15">
      <c r="B2" s="166" t="str">
        <f>inputPrYr!$D$3</f>
        <v>Russell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876"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1" sqref="E1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Grant Township</v>
      </c>
      <c r="B1" s="90"/>
      <c r="C1" s="90"/>
      <c r="D1" s="90"/>
      <c r="E1" s="90">
        <f>inputPrYr!D5</f>
        <v>2014</v>
      </c>
    </row>
    <row r="2" spans="1:5" ht="15">
      <c r="A2" s="88" t="str">
        <f>inputPrYr!D3</f>
        <v>Russell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9726655</v>
      </c>
    </row>
    <row r="8" spans="1:5" ht="15">
      <c r="A8" s="22" t="str">
        <f>CONCATENATE("New Improvements for ",E1-1,"")</f>
        <v>New Improvements for 2013</v>
      </c>
      <c r="B8" s="19"/>
      <c r="C8" s="19"/>
      <c r="D8" s="19"/>
      <c r="E8" s="283">
        <v>10249</v>
      </c>
    </row>
    <row r="9" spans="1:5" ht="15">
      <c r="A9" s="22" t="str">
        <f>CONCATENATE("Personal Property excluding oil, gas, and mobile homes - ",E1-1,"")</f>
        <v>Personal Property excluding oil, gas, and mobile homes - 2013</v>
      </c>
      <c r="B9" s="19"/>
      <c r="C9" s="19"/>
      <c r="D9" s="19"/>
      <c r="E9" s="283">
        <v>115098</v>
      </c>
    </row>
    <row r="10" spans="1:5" ht="15">
      <c r="A10" s="22" t="str">
        <f>CONCATENATE("Property that has changed in use for ",E1-1,"")</f>
        <v>Property that has changed in use for 2013</v>
      </c>
      <c r="B10" s="19"/>
      <c r="C10" s="19"/>
      <c r="D10" s="19"/>
      <c r="E10" s="283">
        <v>11773</v>
      </c>
    </row>
    <row r="11" spans="1:5" ht="15">
      <c r="A11" s="22" t="str">
        <f>CONCATENATE("Personal Property excluding oil, gas, and mobile homes- ",E1-2,"")</f>
        <v>Personal Property excluding oil, gas, and mobile homes- 2012</v>
      </c>
      <c r="B11" s="19"/>
      <c r="C11" s="19"/>
      <c r="D11" s="19"/>
      <c r="E11" s="283">
        <v>110696</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0.365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14.314</v>
      </c>
      <c r="E20" s="286"/>
    </row>
    <row r="21" spans="1:5" ht="15">
      <c r="A21" s="71" t="str">
        <f>inputPrYr!B20</f>
        <v>Fire</v>
      </c>
      <c r="B21" s="267"/>
      <c r="C21" s="19"/>
      <c r="D21" s="289">
        <v>5.002</v>
      </c>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19.681</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9482232</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6321</v>
      </c>
    </row>
    <row r="33" spans="1:5" ht="15">
      <c r="A33" s="296" t="s">
        <v>276</v>
      </c>
      <c r="B33" s="267"/>
      <c r="C33" s="267"/>
      <c r="D33" s="31"/>
      <c r="E33" s="34">
        <v>45</v>
      </c>
    </row>
    <row r="34" spans="1:5" ht="15">
      <c r="A34" s="296" t="s">
        <v>160</v>
      </c>
      <c r="B34" s="267"/>
      <c r="C34" s="267"/>
      <c r="D34" s="31"/>
      <c r="E34" s="34">
        <v>723</v>
      </c>
    </row>
    <row r="35" spans="1:5" ht="15">
      <c r="A35" s="296" t="s">
        <v>161</v>
      </c>
      <c r="B35" s="267"/>
      <c r="C35" s="267"/>
      <c r="D35" s="31"/>
      <c r="E35" s="34"/>
    </row>
    <row r="36" spans="1:5" ht="15">
      <c r="A36" s="296" t="s">
        <v>100</v>
      </c>
      <c r="B36" s="20"/>
      <c r="C36" s="20"/>
      <c r="D36" s="295"/>
      <c r="E36" s="34">
        <v>3515</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10100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138100</v>
      </c>
      <c r="C49" s="140"/>
      <c r="D49" s="140"/>
      <c r="E49" s="140"/>
    </row>
    <row r="50" spans="1:5" ht="15">
      <c r="A50" s="304" t="str">
        <f>inputPrYr!B20</f>
        <v>Fire</v>
      </c>
      <c r="B50" s="36">
        <v>48000</v>
      </c>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t="str">
        <f>inputPrYr!B29</f>
        <v>Fire Spec Machine</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877" t="s">
        <v>769</v>
      </c>
      <c r="C2" s="877"/>
      <c r="D2" s="877"/>
      <c r="E2" s="877"/>
      <c r="F2" s="877"/>
      <c r="G2" s="877"/>
      <c r="H2" s="877"/>
      <c r="I2" s="877"/>
    </row>
    <row r="3" spans="2:9" ht="15">
      <c r="B3" s="877" t="s">
        <v>770</v>
      </c>
      <c r="C3" s="877"/>
      <c r="D3" s="877"/>
      <c r="E3" s="877"/>
      <c r="F3" s="877"/>
      <c r="G3" s="877"/>
      <c r="H3" s="877"/>
      <c r="I3" s="877"/>
    </row>
    <row r="4" spans="2:9" ht="15">
      <c r="B4" s="556"/>
      <c r="C4" s="556"/>
      <c r="D4" s="556"/>
      <c r="E4" s="556"/>
      <c r="F4" s="556"/>
      <c r="G4" s="556"/>
      <c r="H4" s="556"/>
      <c r="I4" s="556"/>
    </row>
    <row r="5" spans="2:9" ht="15">
      <c r="B5" s="878" t="str">
        <f>CONCATENATE("Budgeted Year: ",inputPrYr!D5,"")</f>
        <v>Budgeted Year: 2014</v>
      </c>
      <c r="C5" s="878"/>
      <c r="D5" s="878"/>
      <c r="E5" s="878"/>
      <c r="F5" s="878"/>
      <c r="G5" s="878"/>
      <c r="H5" s="878"/>
      <c r="I5" s="878"/>
    </row>
    <row r="6" spans="2:9" ht="15">
      <c r="B6" s="557"/>
      <c r="C6" s="556"/>
      <c r="D6" s="556"/>
      <c r="E6" s="556"/>
      <c r="F6" s="556"/>
      <c r="G6" s="556"/>
      <c r="H6" s="556"/>
      <c r="I6" s="556"/>
    </row>
    <row r="7" spans="2:9" ht="15">
      <c r="B7" s="557" t="str">
        <f>CONCATENATE("Library found in: ",inputPrYr!D2,"")</f>
        <v>Library found in: Grant Township</v>
      </c>
      <c r="C7" s="556"/>
      <c r="D7" s="556"/>
      <c r="E7" s="556"/>
      <c r="F7" s="556"/>
      <c r="G7" s="556"/>
      <c r="H7" s="556"/>
      <c r="I7" s="556"/>
    </row>
    <row r="8" spans="2:9" ht="15">
      <c r="B8" s="557" t="str">
        <f>inputPrYr!D3</f>
        <v>Russell County</v>
      </c>
      <c r="C8" s="556"/>
      <c r="D8" s="556"/>
      <c r="E8" s="556"/>
      <c r="F8" s="556"/>
      <c r="G8" s="556"/>
      <c r="H8" s="556"/>
      <c r="I8" s="556"/>
    </row>
    <row r="9" spans="2:9" ht="15">
      <c r="B9" s="556"/>
      <c r="C9" s="556"/>
      <c r="D9" s="556"/>
      <c r="E9" s="556"/>
      <c r="F9" s="556"/>
      <c r="G9" s="556"/>
      <c r="H9" s="556"/>
      <c r="I9" s="556"/>
    </row>
    <row r="10" spans="2:9" ht="39" customHeight="1">
      <c r="B10" s="879" t="s">
        <v>771</v>
      </c>
      <c r="C10" s="879"/>
      <c r="D10" s="879"/>
      <c r="E10" s="879"/>
      <c r="F10" s="879"/>
      <c r="G10" s="879"/>
      <c r="H10" s="879"/>
      <c r="I10" s="879"/>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9482232</v>
      </c>
      <c r="F27" s="556"/>
      <c r="G27" s="561">
        <f>summ!G37</f>
        <v>9726655</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879" t="s">
        <v>783</v>
      </c>
      <c r="C36" s="879"/>
      <c r="D36" s="879"/>
      <c r="E36" s="879"/>
      <c r="F36" s="879"/>
      <c r="G36" s="879"/>
      <c r="H36" s="879"/>
      <c r="I36" s="879"/>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880" t="s">
        <v>785</v>
      </c>
      <c r="C43" s="881"/>
      <c r="D43" s="881"/>
      <c r="E43" s="881"/>
      <c r="F43" s="881"/>
      <c r="G43" s="881"/>
      <c r="H43" s="881"/>
      <c r="I43" s="881"/>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Grant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20" t="str">
        <f>CONCATENATE("Desired Carryover Into ",E1+1,"")</f>
        <v>Desired Carryover Into 2015</v>
      </c>
      <c r="H24" s="821"/>
      <c r="I24" s="821"/>
      <c r="J24" s="822"/>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20" t="str">
        <f>CONCATENATE("Projected Carryover Into ",E1+1,"")</f>
        <v>Projected Carryover Into 2015</v>
      </c>
      <c r="H31" s="823"/>
      <c r="I31" s="823"/>
      <c r="J31" s="824"/>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7" t="s">
        <v>622</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623</v>
      </c>
      <c r="D37" s="810"/>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82" t="str">
        <f>CONCATENATE("Amount of  ",E1-1," Ad Valorem Tax")</f>
        <v>Amount of  2013 Ad Valorem Tax</v>
      </c>
      <c r="D40" s="883"/>
      <c r="E40" s="653">
        <f>SUM(E38:E39)</f>
        <v>0</v>
      </c>
      <c r="F40" s="635"/>
    </row>
    <row r="41" spans="2:10" ht="15.75" thickTop="1">
      <c r="B41" s="580"/>
      <c r="C41" s="882"/>
      <c r="D41" s="883"/>
      <c r="E41" s="654"/>
      <c r="F41" s="635"/>
      <c r="G41" s="825" t="s">
        <v>825</v>
      </c>
      <c r="H41" s="826"/>
      <c r="I41" s="826"/>
      <c r="J41" s="827"/>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19.589</v>
      </c>
      <c r="H45" s="632" t="str">
        <f>CONCATENATE("Total ",E1," Mill Rate")</f>
        <v>Total 2014 Mill Rate</v>
      </c>
      <c r="I45" s="656"/>
      <c r="J45" s="657"/>
    </row>
    <row r="46" spans="2:10" ht="15">
      <c r="B46" s="594" t="s">
        <v>144</v>
      </c>
      <c r="C46" s="599">
        <v>0</v>
      </c>
      <c r="D46" s="596">
        <f>C74</f>
        <v>0</v>
      </c>
      <c r="E46" s="597">
        <f>D74</f>
        <v>0</v>
      </c>
      <c r="F46" s="635"/>
      <c r="G46" s="659">
        <f>summ!F32</f>
        <v>19.681</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Yes</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20" t="str">
        <f>CONCATENATE("Desired Carryover Into ",E1+1,"")</f>
        <v>Desired Carryover Into 2015</v>
      </c>
      <c r="H64" s="821"/>
      <c r="I64" s="821"/>
      <c r="J64" s="822"/>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20" t="str">
        <f>CONCATENATE("Projected Carryover Into ",E1+1,"")</f>
        <v>Projected Carryover Into 2015</v>
      </c>
      <c r="H71" s="828"/>
      <c r="I71" s="828"/>
      <c r="J71" s="824"/>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7" t="s">
        <v>622</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623</v>
      </c>
      <c r="D77" s="810"/>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82" t="str">
        <f>CONCATENATE("Amount of  ",E1-1," Ad Valorem Tax")</f>
        <v>Amount of  2013 Ad Valorem Tax</v>
      </c>
      <c r="D80" s="883"/>
      <c r="E80" s="653">
        <f>E78+E79</f>
        <v>0</v>
      </c>
      <c r="F80" s="676" t="e">
        <f>IF('Library Grant'!F33="","",IF('Library Grant'!F33="Qualify","Qualifies for State Library Grant","See 'Library Grant' tab"))</f>
        <v>#VALUE!</v>
      </c>
    </row>
    <row r="81" spans="2:10" ht="15.75" thickTop="1">
      <c r="B81" s="583"/>
      <c r="C81" s="882"/>
      <c r="D81" s="883"/>
      <c r="E81" s="654"/>
      <c r="F81" s="635"/>
      <c r="G81" s="825" t="s">
        <v>825</v>
      </c>
      <c r="H81" s="826"/>
      <c r="I81" s="826"/>
      <c r="J81" s="827"/>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19.589</v>
      </c>
      <c r="H85" s="632" t="str">
        <f>CONCATENATE("Total ",E1," Mill Rate")</f>
        <v>Total 2014 Mill Rate</v>
      </c>
      <c r="I85" s="656"/>
      <c r="J85" s="657"/>
    </row>
    <row r="86" spans="7:10" ht="15">
      <c r="G86" s="659">
        <f>summ!F32</f>
        <v>19.681</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Yes</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c r="C4" s="710"/>
      <c r="J4" s="711" t="s">
        <v>843</v>
      </c>
    </row>
    <row r="5" spans="1:10" ht="15">
      <c r="A5" s="474"/>
      <c r="B5" s="710"/>
      <c r="J5" s="711" t="s">
        <v>844</v>
      </c>
    </row>
    <row r="6" spans="1:10" ht="15">
      <c r="A6" s="474" t="s">
        <v>839</v>
      </c>
      <c r="B6" s="356"/>
      <c r="J6" s="711" t="s">
        <v>845</v>
      </c>
    </row>
    <row r="7" spans="1:10" ht="15">
      <c r="A7" s="353"/>
      <c r="B7" s="353"/>
      <c r="C7" s="353"/>
      <c r="D7" s="355"/>
      <c r="E7" s="353"/>
      <c r="F7" s="353"/>
      <c r="J7" s="711" t="s">
        <v>846</v>
      </c>
    </row>
    <row r="8" spans="1:10" ht="15">
      <c r="A8" s="354" t="s">
        <v>372</v>
      </c>
      <c r="B8" s="356" t="s">
        <v>955</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958</v>
      </c>
      <c r="C10" s="360"/>
      <c r="D10" s="354"/>
      <c r="E10" s="353"/>
      <c r="F10" s="353"/>
      <c r="J10" s="711" t="s">
        <v>849</v>
      </c>
    </row>
    <row r="11" spans="1:10" ht="15">
      <c r="A11" s="354"/>
      <c r="B11" s="354"/>
      <c r="C11" s="354"/>
      <c r="D11" s="354"/>
      <c r="E11" s="353"/>
      <c r="F11" s="353"/>
      <c r="J11" s="711" t="s">
        <v>850</v>
      </c>
    </row>
    <row r="12" spans="1:10" ht="15">
      <c r="A12" s="354" t="s">
        <v>374</v>
      </c>
      <c r="B12" s="361" t="s">
        <v>956</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957</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Russell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Grant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10000</v>
      </c>
      <c r="F21" s="722">
        <f>IF(gen!$E$57&lt;&gt;0,gen!$E$57,0)</f>
        <v>2661</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161500</v>
      </c>
      <c r="F24" s="722">
        <f>IF(road!$E$50&lt;&gt;0,road!$E$50,"  ")</f>
        <v>140690.03</v>
      </c>
      <c r="G24" s="723" t="str">
        <f>IF(AND(road!E50=0,$C$40&gt;=0)," ",IF(AND(F24&gt;0,$C$40=0)," ",IF(AND(F24&gt;0,$C$40&gt;0),ROUND(F24/$C$40*1000,3))))</f>
        <v> </v>
      </c>
    </row>
    <row r="25" spans="2:7" s="14" customFormat="1" ht="15">
      <c r="B25" s="85" t="str">
        <f>IF(inputPrYr!$B20&gt;"  ",inputPrYr!$B20,"  ")</f>
        <v>Fire</v>
      </c>
      <c r="C25" s="260" t="str">
        <f>IF(inputPrYr!C20&gt;0,inputPrYr!C20,"  ")</f>
        <v>80-1903</v>
      </c>
      <c r="D25" s="261" t="str">
        <f>IF(levypage9!C81&gt;0,levypage9!C81,"  ")</f>
        <v>  </v>
      </c>
      <c r="E25" s="722">
        <f>IF(levypage9!$E$33&lt;&gt;0,levypage9!$E$33,"  ")</f>
        <v>56000</v>
      </c>
      <c r="F25" s="722">
        <f>IF(levypage9!$E$40&lt;&gt;0,levypage9!$E$40,"  ")</f>
        <v>47182</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Fire Spec Machine</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227500</v>
      </c>
      <c r="F35" s="724">
        <f>SUM(F21:F30)</f>
        <v>190533.03</v>
      </c>
      <c r="G35" s="725">
        <f>IF(SUM(G21:G30)&gt;0,SUM(G21:G30),"")</f>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Yes</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N108"/>
  <sheetViews>
    <sheetView zoomScale="70" zoomScaleNormal="70" zoomScalePageLayoutView="0" workbookViewId="0" topLeftCell="A7">
      <selection activeCell="B19" sqref="B19:I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7"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Grant Township</v>
      </c>
      <c r="C5" s="766"/>
      <c r="D5" s="766"/>
      <c r="E5" s="766"/>
      <c r="F5" s="766"/>
      <c r="G5" s="766"/>
      <c r="H5" s="766"/>
      <c r="I5" s="766"/>
    </row>
    <row r="6" spans="2:9" ht="15">
      <c r="B6" s="766" t="str">
        <f>inputPrYr!D3</f>
        <v>Russell County</v>
      </c>
      <c r="C6" s="766"/>
      <c r="D6" s="766"/>
      <c r="E6" s="766"/>
      <c r="F6" s="766"/>
      <c r="G6" s="766"/>
      <c r="H6" s="766"/>
      <c r="I6" s="766"/>
    </row>
    <row r="7" spans="2:9" ht="15">
      <c r="B7" s="764" t="str">
        <f>CONCATENATE("will meet on ",inputBudSum!B8," at ",inputBudSum!B10," at ",inputBudSum!B12," for the purpose of hearing and")</f>
        <v>will meet on August 12, 2013 at 8 pm at the Grant Township Building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the Jason Ney residence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785"/>
      <c r="I16" s="156" t="s">
        <v>41</v>
      </c>
      <c r="J16" s="149"/>
    </row>
    <row r="17" spans="2:10" ht="15">
      <c r="B17" s="25" t="s">
        <v>285</v>
      </c>
      <c r="C17" s="26" t="s">
        <v>42</v>
      </c>
      <c r="D17" s="26" t="s">
        <v>43</v>
      </c>
      <c r="E17" s="26" t="s">
        <v>42</v>
      </c>
      <c r="F17" s="26" t="s">
        <v>43</v>
      </c>
      <c r="G17" s="26" t="s">
        <v>719</v>
      </c>
      <c r="H17" s="786"/>
      <c r="I17" s="26" t="s">
        <v>43</v>
      </c>
      <c r="J17" s="149"/>
    </row>
    <row r="18" spans="2:10" ht="15">
      <c r="B18" s="85" t="str">
        <f>inputPrYr!B16</f>
        <v>General</v>
      </c>
      <c r="C18" s="63">
        <f>IF(gen!$C$50&lt;&gt;0,gen!$C$50,"  ")</f>
        <v>2957</v>
      </c>
      <c r="D18" s="524">
        <f>IF(inputPrYr!D42&gt;0,inputPrYr!D42,"  ")</f>
        <v>0.65</v>
      </c>
      <c r="E18" s="32">
        <f>IF(gen!$D$50&lt;&gt;0,gen!$D$50,"  ")</f>
        <v>10000</v>
      </c>
      <c r="F18" s="235">
        <f>IF(inputOth!D17&gt;0,inputOth!D17,"  ")</f>
        <v>0.365</v>
      </c>
      <c r="G18" s="32">
        <f>IF(gen!$E$50&lt;&gt;0,gen!$E$50,"  ")</f>
        <v>10000</v>
      </c>
      <c r="H18" s="32">
        <f>IF(gen!$E$57&lt;&gt;0,gen!$E$57," ")</f>
        <v>2661</v>
      </c>
      <c r="I18" s="526">
        <f>IF(gen!E57&gt;0,ROUND(H18/$G$37*1000,3)," ")</f>
        <v>0.274</v>
      </c>
      <c r="J18" s="149"/>
    </row>
    <row r="19" spans="2:10" ht="15" hidden="1">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hidden="1">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128802.03</v>
      </c>
      <c r="D21" s="524">
        <f>IF(inputPrYr!D45&gt;0,inputPrYr!D45,"  ")</f>
        <v>13.561</v>
      </c>
      <c r="E21" s="32">
        <f>IF(road!$D$43&lt;&gt;0,road!$D$43,"  ")</f>
        <v>157100</v>
      </c>
      <c r="F21" s="235">
        <f>IF(inputOth!D20&gt;0,inputOth!D20,"  ")</f>
        <v>14.314</v>
      </c>
      <c r="G21" s="32">
        <f>IF(road!$E$43&lt;&gt;0,road!$E$43,"  ")</f>
        <v>161500</v>
      </c>
      <c r="H21" s="32">
        <f>IF(road!$E$50&lt;&gt;0,road!$E$50,"  ")</f>
        <v>140690.03</v>
      </c>
      <c r="I21" s="526">
        <f>IF(road!E50&gt;0,ROUND(H21/$G$37*1000,3)," ")</f>
        <v>14.464</v>
      </c>
      <c r="K21" s="791" t="str">
        <f>CONCATENATE("Estimated Value Of One Mill For ",I1,"")</f>
        <v>Estimated Value Of One Mill For 2014</v>
      </c>
      <c r="L21" s="796"/>
      <c r="M21" s="796"/>
      <c r="N21" s="797"/>
    </row>
    <row r="22" spans="2:14" ht="15">
      <c r="B22" s="85" t="str">
        <f>IF(inputPrYr!$B20&gt;"  ",inputPrYr!$B20,"  ")</f>
        <v>Fire</v>
      </c>
      <c r="C22" s="32">
        <f>IF(levypage9!$C$33&lt;&gt;0,levypage9!$C$33,"  ")</f>
        <v>39745</v>
      </c>
      <c r="D22" s="524">
        <f>IF(inputPrYr!D46&gt;0,inputPrYr!D46,"  ")</f>
        <v>5.41</v>
      </c>
      <c r="E22" s="32">
        <f>IF(levypage9!$D$33&lt;&gt;0,levypage9!$D$33,"  ")</f>
        <v>52100</v>
      </c>
      <c r="F22" s="235">
        <f>IF(inputOth!D21&gt;0,inputOth!D21,"  ")</f>
        <v>5.002</v>
      </c>
      <c r="G22" s="32">
        <f>IF(levypage9!$E$33&lt;&gt;0,levypage9!$E$33,"  ")</f>
        <v>56000</v>
      </c>
      <c r="H22" s="32">
        <f>IF(levypage9!$E$40&lt;&gt;0,levypage9!$E$40,"  ")</f>
        <v>47182</v>
      </c>
      <c r="I22" s="526">
        <f>IF(levypage9!E40&gt;0,ROUND(H22/$G$37*1000,3)," ")</f>
        <v>4.851</v>
      </c>
      <c r="K22" s="500"/>
      <c r="L22" s="501"/>
      <c r="M22" s="501"/>
      <c r="N22" s="502"/>
    </row>
    <row r="23" spans="2:14" ht="15" hidden="1">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9727</v>
      </c>
    </row>
    <row r="24" spans="2:9" ht="15" hidden="1">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hidden="1">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791" t="str">
        <f>CONCATENATE("Want The Mill Rate The Same As For ",I1-1,"?")</f>
        <v>Want The Mill Rate The Same As For 2013?</v>
      </c>
      <c r="L25" s="794"/>
      <c r="M25" s="794"/>
      <c r="N25" s="795"/>
    </row>
    <row r="26" spans="2:14" ht="15" hidden="1">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hidden="1">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19.681</v>
      </c>
    </row>
    <row r="28" spans="2:14" ht="15">
      <c r="B28" s="85" t="str">
        <f>IF(inputPrYr!$B29&gt;"  ",inputPrYr!$B29,"  ")</f>
        <v>Fire Spec Machine</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hidden="1">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896.9700000000012</v>
      </c>
    </row>
    <row r="30" spans="2:14" ht="15" hidden="1">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98880</v>
      </c>
      <c r="D31" s="480"/>
      <c r="E31" s="525"/>
      <c r="F31" s="480"/>
      <c r="G31" s="525"/>
      <c r="H31" s="525"/>
      <c r="I31" s="480"/>
      <c r="K31" s="514"/>
      <c r="L31" s="514"/>
      <c r="M31" s="514"/>
      <c r="N31" s="514"/>
    </row>
    <row r="32" spans="2:14" ht="15">
      <c r="B32" s="72" t="s">
        <v>288</v>
      </c>
      <c r="C32" s="527">
        <f aca="true" t="shared" si="0" ref="C32:I32">SUM(C18:C31)</f>
        <v>270384.03</v>
      </c>
      <c r="D32" s="478">
        <f t="shared" si="0"/>
        <v>19.621000000000002</v>
      </c>
      <c r="E32" s="527">
        <f t="shared" si="0"/>
        <v>219200</v>
      </c>
      <c r="F32" s="478">
        <f t="shared" si="0"/>
        <v>19.681</v>
      </c>
      <c r="G32" s="527">
        <f t="shared" si="0"/>
        <v>227500</v>
      </c>
      <c r="H32" s="527">
        <f t="shared" si="0"/>
        <v>190533.03</v>
      </c>
      <c r="I32" s="530">
        <f t="shared" si="0"/>
        <v>19.589</v>
      </c>
      <c r="K32" s="791" t="str">
        <f>CONCATENATE("Impact On Keeping The Same Mill Rate As For ",I1-1,"")</f>
        <v>Impact On Keeping The Same Mill Rate As For 2013</v>
      </c>
      <c r="L32" s="792"/>
      <c r="M32" s="792"/>
      <c r="N32" s="793"/>
    </row>
    <row r="33" spans="2:14" ht="15">
      <c r="B33" s="274" t="s">
        <v>44</v>
      </c>
      <c r="C33" s="32">
        <f>transfer!C29</f>
        <v>34000</v>
      </c>
      <c r="D33" s="14"/>
      <c r="E33" s="32">
        <f>transfer!D29</f>
        <v>0</v>
      </c>
      <c r="F33" s="61"/>
      <c r="G33" s="32">
        <f>transfer!E29</f>
        <v>0</v>
      </c>
      <c r="H33" s="14"/>
      <c r="I33" s="14"/>
      <c r="K33" s="507"/>
      <c r="L33" s="501"/>
      <c r="M33" s="501"/>
      <c r="N33" s="508"/>
    </row>
    <row r="34" spans="2:14" ht="15.75" thickBot="1">
      <c r="B34" s="274" t="s">
        <v>45</v>
      </c>
      <c r="C34" s="528">
        <f>C32-C33</f>
        <v>236384.03000000003</v>
      </c>
      <c r="D34" s="14"/>
      <c r="E34" s="528">
        <f>E32-E33</f>
        <v>219200</v>
      </c>
      <c r="F34" s="14"/>
      <c r="G34" s="528">
        <f>G32-G33</f>
        <v>227500</v>
      </c>
      <c r="H34" s="14"/>
      <c r="I34" s="14"/>
      <c r="K34" s="507" t="str">
        <f>CONCATENATE("",I1," Ad Valorem Tax Revenue:")</f>
        <v>2014 Ad Valorem Tax Revenue:</v>
      </c>
      <c r="L34" s="501"/>
      <c r="M34" s="501"/>
      <c r="N34" s="502">
        <f>H32</f>
        <v>190533.03</v>
      </c>
    </row>
    <row r="35" spans="2:14" ht="15.75" thickTop="1">
      <c r="B35" s="274" t="s">
        <v>46</v>
      </c>
      <c r="C35" s="529">
        <f>inputPrYr!E54</f>
        <v>168990</v>
      </c>
      <c r="D35" s="61"/>
      <c r="E35" s="529">
        <f>inputPrYr!E26</f>
        <v>186607</v>
      </c>
      <c r="F35" s="14"/>
      <c r="G35" s="520" t="s">
        <v>289</v>
      </c>
      <c r="H35" s="14"/>
      <c r="I35" s="14"/>
      <c r="K35" s="507" t="str">
        <f>CONCATENATE("",I1-1," Ad Valorem Tax Revenue:")</f>
        <v>2013 Ad Valorem Tax Revenue:</v>
      </c>
      <c r="L35" s="501"/>
      <c r="M35" s="501"/>
      <c r="N35" s="515">
        <f>ROUND(G37*N27/1000,0)</f>
        <v>191430</v>
      </c>
    </row>
    <row r="36" spans="2:14" ht="15">
      <c r="B36" s="274" t="s">
        <v>47</v>
      </c>
      <c r="C36" s="55"/>
      <c r="D36" s="61"/>
      <c r="E36" s="55"/>
      <c r="F36" s="61"/>
      <c r="G36" s="14"/>
      <c r="H36" s="14"/>
      <c r="I36" s="14"/>
      <c r="K36" s="512" t="s">
        <v>717</v>
      </c>
      <c r="L36" s="513"/>
      <c r="M36" s="513"/>
      <c r="N36" s="505">
        <f>N34-N35</f>
        <v>-896.9700000000012</v>
      </c>
    </row>
    <row r="37" spans="2:14" ht="15">
      <c r="B37" s="274" t="s">
        <v>48</v>
      </c>
      <c r="C37" s="32">
        <f>inputPrYr!E55</f>
        <v>8612367</v>
      </c>
      <c r="D37" s="14"/>
      <c r="E37" s="32">
        <f>inputOth!E29</f>
        <v>9482232</v>
      </c>
      <c r="F37" s="14"/>
      <c r="G37" s="32">
        <f>inputOth!E7</f>
        <v>9726655</v>
      </c>
      <c r="H37" s="14"/>
      <c r="I37" s="14"/>
      <c r="K37" s="506"/>
      <c r="L37" s="506"/>
      <c r="M37" s="506"/>
      <c r="N37" s="514"/>
    </row>
    <row r="38" spans="2:14" ht="15">
      <c r="B38" s="22" t="s">
        <v>49</v>
      </c>
      <c r="C38" s="14"/>
      <c r="D38" s="14"/>
      <c r="E38" s="14"/>
      <c r="F38" s="14"/>
      <c r="G38" s="14"/>
      <c r="H38" s="14"/>
      <c r="I38" s="14"/>
      <c r="K38" s="791" t="s">
        <v>718</v>
      </c>
      <c r="L38" s="794"/>
      <c r="M38" s="794"/>
      <c r="N38" s="79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19.589</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790" t="s">
        <v>277</v>
      </c>
      <c r="C46" s="790"/>
      <c r="D46" s="14"/>
      <c r="E46" s="14"/>
      <c r="F46" s="14"/>
      <c r="G46" s="14"/>
      <c r="H46" s="14"/>
      <c r="I46" s="14"/>
    </row>
    <row r="47" spans="2:9" ht="15">
      <c r="B47" s="788" t="s">
        <v>277</v>
      </c>
      <c r="C47" s="78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Grant Township</v>
      </c>
      <c r="D1" s="14"/>
      <c r="E1" s="14"/>
      <c r="F1" s="14"/>
      <c r="G1" s="14"/>
      <c r="H1" s="14"/>
      <c r="I1" s="14"/>
      <c r="J1" s="14">
        <f>inputPrYr!D5</f>
        <v>2014</v>
      </c>
    </row>
    <row r="2" spans="1:10" ht="15">
      <c r="A2" s="14"/>
      <c r="B2" s="14"/>
      <c r="C2" s="14"/>
      <c r="D2" s="14"/>
      <c r="E2" s="14"/>
      <c r="F2" s="14"/>
      <c r="G2" s="14"/>
      <c r="H2" s="14"/>
      <c r="I2" s="14"/>
      <c r="J2" s="14"/>
    </row>
    <row r="3" spans="1:10" ht="15">
      <c r="A3" s="787"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186607</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186607</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10249</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115098</v>
      </c>
      <c r="F14" s="246"/>
      <c r="G14" s="55"/>
      <c r="H14" s="55"/>
      <c r="I14" s="53"/>
      <c r="J14" s="55"/>
    </row>
    <row r="15" spans="1:10" ht="15">
      <c r="A15" s="245"/>
      <c r="B15" s="14" t="s">
        <v>87</v>
      </c>
      <c r="C15" s="14" t="str">
        <f>CONCATENATE("Personal Property ",J1-2,"")</f>
        <v>Personal Property 2012</v>
      </c>
      <c r="D15" s="245" t="s">
        <v>82</v>
      </c>
      <c r="E15" s="249">
        <f>inputOth!E11</f>
        <v>110696</v>
      </c>
      <c r="F15" s="246"/>
      <c r="G15" s="53"/>
      <c r="H15" s="53"/>
      <c r="I15" s="55"/>
      <c r="J15" s="55"/>
    </row>
    <row r="16" spans="1:10" ht="15">
      <c r="A16" s="245"/>
      <c r="B16" s="14" t="s">
        <v>88</v>
      </c>
      <c r="C16" s="14" t="s">
        <v>108</v>
      </c>
      <c r="D16" s="14"/>
      <c r="E16" s="55"/>
      <c r="F16" s="55" t="s">
        <v>15</v>
      </c>
      <c r="G16" s="247">
        <f>IF(E14&gt;E15,E14-E15,0)</f>
        <v>4402</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11773</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26424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9726655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9700231</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0.0027240588394235148</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508</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187115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187115</v>
      </c>
    </row>
    <row r="35" spans="1:10" ht="15.75" thickTop="1">
      <c r="A35" s="14"/>
      <c r="B35" s="14"/>
      <c r="C35" s="14"/>
      <c r="D35" s="14"/>
      <c r="E35" s="14"/>
      <c r="F35" s="14"/>
      <c r="G35" s="14"/>
      <c r="H35" s="14"/>
      <c r="I35" s="14"/>
      <c r="J35" s="14"/>
    </row>
    <row r="36" spans="1:10" s="254" customFormat="1" ht="18">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54" customFormat="1" ht="18">
      <c r="A37" s="798" t="s">
        <v>113</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Grant Township</v>
      </c>
      <c r="C1" s="14"/>
      <c r="D1" s="14"/>
      <c r="E1" s="14"/>
      <c r="F1" s="14"/>
      <c r="G1" s="14"/>
      <c r="H1" s="14"/>
      <c r="I1" s="14"/>
      <c r="J1" s="15">
        <f>inputPrYr!D5</f>
        <v>2014</v>
      </c>
      <c r="K1" s="15"/>
      <c r="L1" s="90"/>
    </row>
    <row r="2" spans="2:12" ht="15">
      <c r="B2" s="13" t="str">
        <f>inputPrYr!D3</f>
        <v>Russell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804"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99" t="str">
        <f>CONCATENATE("Budget Tax Levy Rate for ",J1-1,"")</f>
        <v>Budget Tax Levy Rate for 2013</v>
      </c>
      <c r="F9" s="233"/>
      <c r="G9" s="801" t="str">
        <f>CONCATENATE("Allocation for Proposed Year ",J1,"")</f>
        <v>Allocation for Proposed Year 2014</v>
      </c>
      <c r="H9" s="802"/>
      <c r="I9" s="802"/>
      <c r="J9" s="803"/>
      <c r="K9" s="90"/>
      <c r="L9" s="90"/>
      <c r="M9" s="550"/>
    </row>
    <row r="10" spans="2:13" ht="15.75" customHeight="1">
      <c r="B10" s="552" t="str">
        <f>CONCATENATE("for ",J1-1,"")</f>
        <v>for 2013</v>
      </c>
      <c r="C10" s="177"/>
      <c r="D10" s="91" t="str">
        <f>CONCATENATE("Amount for ",J1,"")</f>
        <v>Amount for 2014</v>
      </c>
      <c r="E10" s="800"/>
      <c r="F10" s="25"/>
      <c r="G10" s="26" t="s">
        <v>77</v>
      </c>
      <c r="H10" s="26"/>
      <c r="I10" s="26" t="s">
        <v>78</v>
      </c>
      <c r="J10" s="161" t="s">
        <v>121</v>
      </c>
      <c r="K10" s="90"/>
      <c r="L10" s="90"/>
      <c r="M10" s="550"/>
    </row>
    <row r="11" spans="2:13" ht="15">
      <c r="B11" s="85" t="str">
        <f>inputPrYr!B16</f>
        <v>General</v>
      </c>
      <c r="C11" s="234"/>
      <c r="D11" s="161">
        <f>IF(inputPrYr!E16&gt;0,inputPrYr!E16,"  ")</f>
        <v>3457</v>
      </c>
      <c r="E11" s="131">
        <f>IF(inputOth!D17&gt;0,inputOth!D17,"  ")</f>
        <v>0.365</v>
      </c>
      <c r="F11" s="717"/>
      <c r="G11" s="161">
        <f>IF(inputPrYr!E16=0,0,G23-SUM(G12:G20))</f>
        <v>118</v>
      </c>
      <c r="H11" s="718"/>
      <c r="I11" s="161">
        <f>IF(inputPrYr!E16=0,0,I25-SUM(I12:I20))</f>
        <v>1</v>
      </c>
      <c r="J11" s="161">
        <f>IF(inputPrYr!E16=0,0,J27-SUM(J12:J20))</f>
        <v>13</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135725</v>
      </c>
      <c r="E14" s="131">
        <f>IF(inputOth!D20&gt;0,inputOth!D20,"  ")</f>
        <v>14.314</v>
      </c>
      <c r="F14" s="717"/>
      <c r="G14" s="161">
        <f>IF(inputPrYr!E19=0,0,ROUND(D14*$G$30,0))</f>
        <v>4597</v>
      </c>
      <c r="H14" s="718"/>
      <c r="I14" s="161">
        <f>IF(inputPrYr!$E$19=0,0,ROUND($D$14*$I$32,0))</f>
        <v>33</v>
      </c>
      <c r="J14" s="161">
        <f>IF(inputPrYr!E19=0,0,ROUND($D14*$J$34,0))</f>
        <v>526</v>
      </c>
      <c r="K14" s="90"/>
      <c r="L14" s="90"/>
      <c r="M14" s="550"/>
    </row>
    <row r="15" spans="2:13" ht="15">
      <c r="B15" s="85" t="str">
        <f>IF(inputPrYr!$B20&gt;"  ",inputPrYr!$B20,"  ")</f>
        <v>Fire</v>
      </c>
      <c r="C15" s="234"/>
      <c r="D15" s="161">
        <f>IF(inputPrYr!E20&gt;=0,inputPrYr!E20,"  ")</f>
        <v>47425</v>
      </c>
      <c r="E15" s="131">
        <f>IF(inputOth!D21&gt;0,inputOth!D21,"  ")</f>
        <v>5.002</v>
      </c>
      <c r="F15" s="717"/>
      <c r="G15" s="161">
        <f>IF(inputPrYr!E20=0,0,ROUND(D15*$G$30,0))</f>
        <v>1606</v>
      </c>
      <c r="H15" s="718"/>
      <c r="I15" s="161">
        <f>IF(inputPrYr!$E$20=0,0,ROUND($D$15*$I$32,0))</f>
        <v>11</v>
      </c>
      <c r="J15" s="161">
        <f>IF(inputPrYr!E20=0,0,ROUND($D15*$J$34,0))</f>
        <v>184</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186607</v>
      </c>
      <c r="E21" s="720">
        <f>SUM(E11:E20)</f>
        <v>19.681</v>
      </c>
      <c r="F21" s="721"/>
      <c r="G21" s="719">
        <f>SUM(G11:G20)</f>
        <v>6321</v>
      </c>
      <c r="H21" s="719"/>
      <c r="I21" s="719">
        <f>SUM(I11:I20)</f>
        <v>45</v>
      </c>
      <c r="J21" s="719">
        <f>SUM(J11:J20)</f>
        <v>723</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6321</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723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0.03387332736714057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0.00024114850997015118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0.003874452726853762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Grant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10684</v>
      </c>
      <c r="D6" s="387">
        <f>C51</f>
        <v>13528</v>
      </c>
      <c r="E6" s="32">
        <f>D51</f>
        <v>7207</v>
      </c>
    </row>
    <row r="7" spans="2:5" ht="15">
      <c r="B7" s="27" t="s">
        <v>120</v>
      </c>
      <c r="C7" s="387"/>
      <c r="D7" s="387"/>
      <c r="E7" s="33"/>
    </row>
    <row r="8" spans="2:5" ht="15">
      <c r="B8" s="27" t="s">
        <v>16</v>
      </c>
      <c r="C8" s="29">
        <v>5444</v>
      </c>
      <c r="D8" s="387">
        <f>IF(inputPrYr!H15&gt;0,inputPrYr!G16,inputPrYr!E16)</f>
        <v>3457</v>
      </c>
      <c r="E8" s="33" t="s">
        <v>289</v>
      </c>
    </row>
    <row r="9" spans="2:5" ht="15">
      <c r="B9" s="27" t="s">
        <v>17</v>
      </c>
      <c r="C9" s="29">
        <v>66</v>
      </c>
      <c r="D9" s="29"/>
      <c r="E9" s="34"/>
    </row>
    <row r="10" spans="2:5" ht="15">
      <c r="B10" s="27" t="s">
        <v>18</v>
      </c>
      <c r="C10" s="29">
        <v>232</v>
      </c>
      <c r="D10" s="29">
        <v>201</v>
      </c>
      <c r="E10" s="32">
        <f>mvalloc!G11</f>
        <v>118</v>
      </c>
    </row>
    <row r="11" spans="2:5" ht="15">
      <c r="B11" s="27" t="s">
        <v>19</v>
      </c>
      <c r="C11" s="29">
        <v>2</v>
      </c>
      <c r="D11" s="29">
        <v>1</v>
      </c>
      <c r="E11" s="32">
        <f>mvalloc!I11</f>
        <v>1</v>
      </c>
    </row>
    <row r="12" spans="2:5" ht="15">
      <c r="B12" s="35" t="s">
        <v>69</v>
      </c>
      <c r="C12" s="29">
        <v>57</v>
      </c>
      <c r="D12" s="29">
        <v>20</v>
      </c>
      <c r="E12" s="32">
        <f>mvalloc!J11</f>
        <v>13</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5801</v>
      </c>
      <c r="D26" s="389">
        <f>SUM(D8:D24)</f>
        <v>3679</v>
      </c>
      <c r="E26" s="42">
        <f>SUM(E8:E24)</f>
        <v>132</v>
      </c>
    </row>
    <row r="27" spans="2:5" ht="15">
      <c r="B27" s="43" t="s">
        <v>24</v>
      </c>
      <c r="C27" s="389">
        <f>C26+C6</f>
        <v>16485</v>
      </c>
      <c r="D27" s="389">
        <f>D26+D6</f>
        <v>17207</v>
      </c>
      <c r="E27" s="42">
        <f>E26+E6</f>
        <v>7339</v>
      </c>
    </row>
    <row r="28" spans="2:5" ht="15">
      <c r="B28" s="27" t="s">
        <v>25</v>
      </c>
      <c r="C28" s="387"/>
      <c r="D28" s="387"/>
      <c r="E28" s="32"/>
    </row>
    <row r="29" spans="2:5" ht="15">
      <c r="B29" s="37"/>
      <c r="C29" s="29"/>
      <c r="D29" s="29"/>
      <c r="E29" s="34"/>
    </row>
    <row r="30" spans="2:5" ht="15">
      <c r="B30" s="38" t="s">
        <v>101</v>
      </c>
      <c r="C30" s="29"/>
      <c r="D30" s="29">
        <v>100</v>
      </c>
      <c r="E30" s="34"/>
    </row>
    <row r="31" spans="2:5" ht="15">
      <c r="B31" s="38" t="s">
        <v>125</v>
      </c>
      <c r="C31" s="29"/>
      <c r="D31" s="29"/>
      <c r="E31" s="34"/>
    </row>
    <row r="32" spans="2:5" ht="15">
      <c r="B32" s="38" t="s">
        <v>102</v>
      </c>
      <c r="C32" s="29"/>
      <c r="D32" s="29">
        <v>500</v>
      </c>
      <c r="E32" s="34">
        <v>500</v>
      </c>
    </row>
    <row r="33" spans="2:5" ht="15">
      <c r="B33" s="38" t="s">
        <v>36</v>
      </c>
      <c r="C33" s="29">
        <v>213</v>
      </c>
      <c r="D33" s="29">
        <v>1000</v>
      </c>
      <c r="E33" s="34">
        <v>1000</v>
      </c>
    </row>
    <row r="34" spans="2:5" ht="15">
      <c r="B34" s="37" t="s">
        <v>103</v>
      </c>
      <c r="C34" s="29"/>
      <c r="D34" s="29">
        <v>500</v>
      </c>
      <c r="E34" s="34">
        <v>500</v>
      </c>
    </row>
    <row r="35" spans="2:5" ht="15">
      <c r="B35" s="37" t="s">
        <v>126</v>
      </c>
      <c r="C35" s="29">
        <v>2080</v>
      </c>
      <c r="D35" s="29">
        <v>2000</v>
      </c>
      <c r="E35" s="34">
        <v>2100</v>
      </c>
    </row>
    <row r="36" spans="2:5" ht="15">
      <c r="B36" s="38" t="s">
        <v>128</v>
      </c>
      <c r="C36" s="29"/>
      <c r="D36" s="29">
        <v>1900</v>
      </c>
      <c r="E36" s="34">
        <v>1900</v>
      </c>
    </row>
    <row r="37" spans="2:5" ht="15">
      <c r="B37" s="38" t="s">
        <v>945</v>
      </c>
      <c r="C37" s="29">
        <v>664</v>
      </c>
      <c r="D37" s="29">
        <v>4000</v>
      </c>
      <c r="E37" s="34">
        <v>4000</v>
      </c>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11" t="str">
        <f>CONCATENATE("Desired Carryover Into ",E1+1,"")</f>
        <v>Desired Carryover Into 2015</v>
      </c>
      <c r="H41" s="812"/>
      <c r="I41" s="812"/>
      <c r="J41" s="813"/>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11" t="str">
        <f>CONCATENATE("Projected Carryover Into ",E1+1,"")</f>
        <v>Projected Carryover Into 2015</v>
      </c>
      <c r="H48" s="812"/>
      <c r="I48" s="812"/>
      <c r="J48" s="813"/>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2957</v>
      </c>
      <c r="D50" s="381">
        <f>SUM(D29:D48)</f>
        <v>10000</v>
      </c>
      <c r="E50" s="47">
        <f>SUM(E29:E43,E45,E47:E48)</f>
        <v>10000</v>
      </c>
      <c r="G50" s="484">
        <f>D51</f>
        <v>7207</v>
      </c>
      <c r="H50" s="485" t="str">
        <f>CONCATENATE("",E1-1," Ending Cash Balance (est.)")</f>
        <v>2013 Ending Cash Balance (est.)</v>
      </c>
      <c r="I50" s="486"/>
      <c r="J50" s="257"/>
    </row>
    <row r="51" spans="2:10" ht="15">
      <c r="B51" s="27" t="s">
        <v>119</v>
      </c>
      <c r="C51" s="382">
        <f>C27-C50</f>
        <v>13528</v>
      </c>
      <c r="D51" s="382">
        <f>SUM(D27-D50)</f>
        <v>7207</v>
      </c>
      <c r="E51" s="33" t="s">
        <v>289</v>
      </c>
      <c r="G51" s="484">
        <f>E26</f>
        <v>132</v>
      </c>
      <c r="H51" s="487" t="str">
        <f>CONCATENATE("",E1," Non-AV Receipts (est.)")</f>
        <v>2014 Non-AV Receipts (est.)</v>
      </c>
      <c r="I51" s="486"/>
      <c r="J51" s="257"/>
    </row>
    <row r="52" spans="2:11" ht="15">
      <c r="B52" s="48" t="str">
        <f>CONCATENATE("",E1-2,"/",E1-1," Budget Authority Amount:")</f>
        <v>2012/2013 Budget Authority Amount:</v>
      </c>
      <c r="C52" s="132">
        <f>inputOth!B46</f>
        <v>10100</v>
      </c>
      <c r="D52" s="161">
        <f>inputPrYr!D16</f>
        <v>10000</v>
      </c>
      <c r="E52" s="33" t="s">
        <v>289</v>
      </c>
      <c r="F52" s="50"/>
      <c r="G52" s="488">
        <f>IF(D56&gt;0,E55,E57)</f>
        <v>2661</v>
      </c>
      <c r="H52" s="487" t="str">
        <f>CONCATENATE("",E1," Ad Valorem Tax (est.)")</f>
        <v>2014 Ad Valorem Tax (est.)</v>
      </c>
      <c r="I52" s="486"/>
      <c r="J52" s="257"/>
      <c r="K52" s="701">
        <f>IF(G52=E57,"","Note: Does not include Delinquent Taxes")</f>
      </c>
    </row>
    <row r="53" spans="2:10" ht="15">
      <c r="B53" s="48"/>
      <c r="C53" s="807" t="s">
        <v>622</v>
      </c>
      <c r="D53" s="808"/>
      <c r="E53" s="34"/>
      <c r="F53" s="482">
        <f>IF(E50/0.95-E50&lt;E53,"Exceeds 5%","")</f>
      </c>
      <c r="G53" s="484">
        <f>SUM(G50:G52)</f>
        <v>10000</v>
      </c>
      <c r="H53" s="487" t="str">
        <f>CONCATENATE("Total ",E1," Resources Available")</f>
        <v>Total 2014 Resources Available</v>
      </c>
      <c r="I53" s="486"/>
      <c r="J53" s="257"/>
    </row>
    <row r="54" spans="2:10" ht="15">
      <c r="B54" s="395" t="str">
        <f>CONCATENATE(C72,"     ",D72)</f>
        <v>     </v>
      </c>
      <c r="C54" s="809" t="s">
        <v>623</v>
      </c>
      <c r="D54" s="810"/>
      <c r="E54" s="32">
        <f>E50+E53</f>
        <v>10000</v>
      </c>
      <c r="G54" s="489"/>
      <c r="H54" s="487"/>
      <c r="I54" s="487"/>
      <c r="J54" s="257"/>
    </row>
    <row r="55" spans="2:10" ht="15">
      <c r="B55" s="395" t="str">
        <f>CONCATENATE(C73,"     ",D73)</f>
        <v>     </v>
      </c>
      <c r="C55" s="60"/>
      <c r="D55" s="52" t="s">
        <v>28</v>
      </c>
      <c r="E55" s="46">
        <f>IF(E54-E27&gt;0,E54-E27,0)</f>
        <v>2661</v>
      </c>
      <c r="G55" s="488">
        <f>ROUND(C50*0.05+C50,0)</f>
        <v>3105</v>
      </c>
      <c r="H55" s="487" t="str">
        <f>CONCATENATE("Less ",E1-2," Expenditures + 5%")</f>
        <v>Less 2012 Expenditures + 5%</v>
      </c>
      <c r="I55" s="486"/>
      <c r="J55" s="257"/>
    </row>
    <row r="56" spans="2:10" ht="15">
      <c r="B56" s="52"/>
      <c r="C56" s="399" t="s">
        <v>624</v>
      </c>
      <c r="D56" s="689">
        <f>inputOth!$E$40</f>
        <v>0</v>
      </c>
      <c r="E56" s="32">
        <f>ROUND(IF(D56&gt;0,(E55*D56),0),0)</f>
        <v>0</v>
      </c>
      <c r="G56" s="490">
        <f>G53-G55</f>
        <v>6895</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2661</v>
      </c>
    </row>
    <row r="58" spans="2:10" ht="15">
      <c r="B58" s="14"/>
      <c r="C58" s="14"/>
      <c r="D58" s="14"/>
      <c r="E58" s="14"/>
      <c r="G58" s="814" t="s">
        <v>825</v>
      </c>
      <c r="H58" s="815"/>
      <c r="I58" s="815"/>
      <c r="J58" s="816"/>
    </row>
    <row r="59" spans="2:11" s="54" customFormat="1" ht="15">
      <c r="B59" s="19"/>
      <c r="C59" s="19"/>
      <c r="D59" s="53"/>
      <c r="E59" s="19"/>
      <c r="G59" s="702"/>
      <c r="H59" s="485"/>
      <c r="I59" s="691"/>
      <c r="J59" s="703"/>
      <c r="K59" s="16"/>
    </row>
    <row r="60" spans="2:11" s="56" customFormat="1" ht="15">
      <c r="B60" s="14"/>
      <c r="C60" s="14"/>
      <c r="D60" s="55"/>
      <c r="E60" s="14"/>
      <c r="G60" s="704">
        <f>summ!I18</f>
        <v>0.274</v>
      </c>
      <c r="H60" s="485" t="str">
        <f>CONCATENATE("",E1," Fund Mill Rate")</f>
        <v>2014 Fund Mill Rate</v>
      </c>
      <c r="I60" s="691"/>
      <c r="J60" s="703"/>
      <c r="K60" s="16"/>
    </row>
    <row r="61" spans="2:10" ht="15">
      <c r="B61" s="52" t="s">
        <v>9</v>
      </c>
      <c r="C61" s="401">
        <f>IF(inputPrYr!D18&gt;0,7,6)</f>
        <v>6</v>
      </c>
      <c r="D61" s="14"/>
      <c r="E61" s="55"/>
      <c r="G61" s="705">
        <f>summ!F18</f>
        <v>0.365</v>
      </c>
      <c r="H61" s="485" t="str">
        <f>CONCATENATE("",E1-1," Fund Mill Rate")</f>
        <v>2013 Fund Mill Rate</v>
      </c>
      <c r="I61" s="691"/>
      <c r="J61" s="703"/>
    </row>
    <row r="62" spans="7:10" ht="15">
      <c r="G62" s="706">
        <f>summ!I32</f>
        <v>19.589</v>
      </c>
      <c r="H62" s="485" t="str">
        <f>CONCATENATE("Total ",E1," Mill Rate")</f>
        <v>Total 2014 Mill Rate</v>
      </c>
      <c r="I62" s="691"/>
      <c r="J62" s="703"/>
    </row>
    <row r="63" spans="2:10" ht="15">
      <c r="B63" s="12"/>
      <c r="G63" s="705">
        <f>summ!F32</f>
        <v>19.681</v>
      </c>
      <c r="H63" s="707" t="str">
        <f>CONCATENATE("Total ",E1-1," Mill Rate")</f>
        <v>Total 2013 Mill Rate</v>
      </c>
      <c r="I63" s="708"/>
      <c r="J63" s="709"/>
    </row>
    <row r="64" spans="7:10" ht="15">
      <c r="G64" s="692"/>
      <c r="H64" s="494"/>
      <c r="I64" s="494"/>
      <c r="J64" s="694"/>
    </row>
    <row r="65" spans="7:10" ht="15">
      <c r="G65" s="744" t="s">
        <v>933</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17" operator="lessThan" stopIfTrue="1">
      <formula>0</formula>
    </cfRule>
  </conditionalFormatting>
  <conditionalFormatting sqref="D50">
    <cfRule type="cellIs" priority="18" dxfId="17"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17"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17" stopIfTrue="1">
      <formula>$D$8&gt;0</formula>
    </cfRule>
  </conditionalFormatting>
  <conditionalFormatting sqref="C50">
    <cfRule type="cellIs" priority="10" dxfId="17"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2013-07-09T15:16:34Z</cp:lastPrinted>
  <dcterms:created xsi:type="dcterms:W3CDTF">1998-08-26T16:30:41Z</dcterms:created>
  <dcterms:modified xsi:type="dcterms:W3CDTF">2013-07-09T15:18:55Z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