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<sst xmlns="http://schemas.openxmlformats.org/spreadsheetml/2006/main" count="1374" uniqueCount="819">
  <si>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</si>
  <si>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</si>
  <si>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</si>
  <si>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</si>
  <si>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</si>
  <si>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</si>
  <si>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</si>
  <si>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</si>
  <si>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</si>
  <si>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</si>
  <si>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</si>
  <si>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</si>
  <si>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</si>
  <si>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</si>
  <si>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</si>
  <si>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</si>
  <si>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</si>
  <si>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</si>
  <si>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</si>
  <si>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</si>
  <si>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</si>
  <si>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</si>
  <si>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</si>
  <si>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</si>
  <si>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</si>
  <si>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</si>
  <si>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</si>
  <si>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</si>
  <si>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</si>
  <si>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</si>
  <si>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</si>
  <si>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</si>
  <si>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</si>
  <si>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</si>
  <si>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</si>
  <si>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</si>
  <si>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</si>
  <si>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</si>
  <si>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</si>
  <si>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</si>
  <si>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</si>
  <si>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</si>
  <si>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</si>
  <si>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</si>
  <si>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</si>
  <si>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</si>
  <si>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</si>
  <si>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</si>
  <si>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</si>
  <si>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</si>
  <si>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</si>
  <si>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</si>
  <si>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</si>
  <si>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</si>
  <si>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</si>
  <si>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</si>
  <si>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</si>
  <si>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</si>
  <si>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</si>
  <si>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</si>
  <si>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</si>
  <si>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</si>
  <si>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</si>
  <si>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</si>
  <si>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</si>
  <si>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</si>
  <si>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</si>
  <si>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</si>
  <si>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</si>
  <si>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</si>
  <si>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</si>
  <si>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</si>
  <si>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</si>
  <si>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</si>
  <si>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</si>
  <si>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</si>
  <si>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</si>
  <si>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</si>
  <si>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</si>
  <si>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</si>
  <si>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</si>
  <si>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</si>
  <si>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</si>
  <si>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</si>
  <si>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</si>
  <si>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</si>
  <si>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</si>
  <si>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</si>
  <si>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</si>
  <si>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</si>
  <si>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</si>
  <si>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</si>
  <si>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</si>
  <si>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</si>
  <si>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</si>
  <si>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</si>
  <si>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</si>
  <si>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</si>
  <si>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</si>
  <si>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</si>
  <si>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</si>
  <si>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</si>
  <si>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</si>
  <si>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</si>
  <si>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</si>
  <si>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</si>
  <si>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</si>
  <si>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</si>
  <si>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</si>
  <si>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</si>
  <si>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</si>
  <si>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</si>
  <si>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</si>
  <si>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</si>
  <si>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</si>
  <si>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</si>
  <si>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</si>
  <si>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</si>
  <si>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</si>
  <si>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</si>
  <si>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</si>
  <si>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</si>
  <si>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</si>
  <si>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</si>
  <si>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</si>
  <si>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</si>
  <si>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</si>
  <si>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</si>
  <si>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</si>
  <si>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</si>
  <si>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</si>
  <si>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</si>
  <si>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</si>
  <si>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</si>
  <si>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</si>
  <si>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</si>
  <si>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</si>
  <si>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</si>
  <si>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</si>
  <si>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</si>
  <si>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</si>
  <si>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</si>
  <si>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</si>
  <si>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</si>
  <si>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</si>
  <si>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</si>
  <si>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</si>
  <si>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</si>
  <si>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</si>
  <si>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</si>
  <si>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</si>
  <si>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</si>
  <si>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</si>
  <si>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</si>
  <si>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</si>
  <si>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</si>
  <si>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</si>
  <si>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</si>
  <si>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</si>
  <si>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</si>
  <si>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</si>
  <si>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</si>
  <si>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</si>
  <si>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</si>
  <si>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</si>
  <si>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</si>
  <si>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</si>
  <si>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</si>
  <si>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</si>
  <si>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</si>
  <si>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</si>
  <si>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</si>
  <si>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</si>
  <si>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</si>
  <si>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</si>
  <si>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</si>
  <si>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</si>
  <si>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</si>
  <si>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</si>
  <si>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</si>
  <si>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</si>
  <si>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</si>
  <si>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</si>
  <si>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</si>
  <si>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</si>
  <si>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</si>
  <si>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</si>
  <si>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</si>
  <si>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</si>
  <si>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</si>
  <si>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</si>
  <si>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</si>
  <si>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</si>
  <si>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</si>
  <si>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</si>
  <si>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</si>
  <si>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</si>
  <si>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</si>
  <si>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</si>
  <si>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</si>
  <si>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</si>
  <si>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</si>
  <si>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</si>
  <si>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</si>
  <si>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</si>
  <si>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</si>
  <si>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</si>
  <si>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</si>
  <si>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</si>
  <si>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</si>
  <si>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</si>
  <si>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</si>
  <si>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</si>
  <si>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</si>
  <si>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</si>
  <si>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</si>
  <si>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</si>
  <si>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</si>
  <si>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</si>
  <si>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</si>
  <si>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</si>
  <si>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</si>
  <si>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</si>
  <si>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</si>
  <si>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</si>
  <si>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</si>
  <si>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</si>
  <si>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</si>
  <si>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</si>
  <si>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</si>
  <si>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</si>
  <si>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</si>
  <si>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</si>
  <si>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</si>
  <si>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</si>
  <si>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</si>
  <si>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</si>
  <si>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</si>
  <si>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</si>
  <si>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</si>
  <si>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</si>
  <si>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</si>
  <si>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</si>
  <si>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</si>
  <si>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</si>
  <si>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</si>
  <si>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</si>
  <si>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</si>
  <si>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</si>
  <si>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</si>
  <si>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</si>
  <si>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</si>
  <si>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</si>
  <si>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</si>
  <si>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</si>
  <si>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</si>
  <si>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</si>
  <si>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</si>
  <si>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</si>
  <si>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</si>
  <si>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</si>
  <si>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</si>
  <si>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</si>
  <si>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</si>
  <si>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</si>
  <si>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</si>
  <si>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</si>
  <si>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</si>
  <si>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</si>
  <si>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</si>
  <si>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</si>
  <si>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</si>
  <si>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</si>
  <si>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</si>
  <si>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</si>
  <si>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</si>
  <si>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</si>
  <si>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</si>
  <si>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</si>
  <si>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</si>
  <si>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</si>
  <si>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</si>
  <si>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</si>
  <si>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</si>
  <si>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</si>
  <si>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</si>
  <si>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</si>
  <si>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</si>
  <si>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</si>
  <si>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</si>
  <si>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</si>
  <si>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</si>
  <si>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</si>
  <si>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</si>
  <si>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</si>
  <si>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</si>
  <si>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</si>
  <si>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</si>
  <si>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</si>
  <si>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</si>
  <si>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</si>
  <si>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</si>
  <si>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</si>
  <si>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</si>
  <si>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</si>
  <si>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</si>
  <si>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</si>
  <si>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</si>
  <si>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</si>
  <si>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</si>
  <si>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</si>
  <si>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</si>
  <si>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</si>
  <si>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</si>
  <si>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</si>
  <si>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</si>
  <si>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</si>
  <si>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</si>
  <si>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</si>
  <si>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</si>
  <si>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</si>
  <si>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</si>
  <si>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</si>
  <si>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</si>
  <si>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</si>
  <si>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</si>
  <si>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</si>
  <si>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</si>
  <si>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</si>
  <si>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</si>
  <si>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</si>
  <si>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</si>
  <si>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</si>
  <si>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</si>
  <si>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</si>
  <si>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</si>
  <si>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</si>
  <si>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</si>
  <si>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</si>
  <si>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</si>
  <si>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</si>
  <si>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</si>
  <si>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</si>
  <si>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</si>
  <si>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</si>
  <si>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</si>
  <si>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</si>
  <si>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</si>
  <si>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</si>
  <si>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</si>
  <si>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</si>
  <si>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</si>
  <si>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</si>
  <si>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</si>
  <si>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</si>
  <si>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</si>
  <si>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</si>
  <si>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</si>
  <si>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</si>
  <si>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</si>
  <si>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</si>
  <si>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</si>
  <si>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</si>
  <si>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</si>
  <si>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</si>
  <si>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</si>
  <si>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</si>
  <si>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</si>
  <si>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</si>
  <si>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</si>
  <si>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</si>
  <si>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</si>
  <si>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</si>
  <si>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</si>
  <si>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</si>
  <si>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</si>
  <si>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</si>
  <si>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</si>
  <si>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</si>
  <si>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</si>
  <si>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</si>
  <si>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</si>
  <si>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</si>
  <si>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</si>
  <si>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</si>
  <si>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</si>
  <si>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</si>
  <si>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</si>
  <si>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</si>
  <si>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</si>
  <si>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</si>
  <si>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</si>
  <si>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</si>
  <si>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</si>
  <si>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</si>
  <si>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</si>
  <si>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</si>
  <si>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</si>
  <si>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</si>
  <si>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</si>
  <si>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</si>
  <si>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</si>
  <si>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</si>
  <si>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</si>
  <si>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</si>
  <si>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</si>
  <si>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</si>
  <si>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</si>
  <si>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</si>
  <si>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</si>
  <si>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</si>
  <si>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</si>
  <si>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</si>
  <si>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</si>
  <si>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</si>
  <si>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</si>
  <si>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</si>
  <si>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</si>
  <si>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</si>
  <si>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</si>
  <si>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</si>
  <si>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</si>
  <si>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</si>
  <si>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</si>
  <si>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</si>
  <si>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</si>
  <si>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</si>
  <si>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</si>
  <si>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</si>
  <si>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</si>
  <si>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</si>
  <si>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</si>
  <si>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</si>
  <si>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</si>
  <si>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</si>
  <si>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</si>
  <si>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</si>
  <si>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</si>
  <si>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</si>
  <si>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</si>
  <si>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</si>
  <si>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</si>
  <si>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</si>
  <si>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</si>
  <si>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</si>
  <si>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</si>
  <si>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</si>
  <si>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</si>
  <si>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</si>
  <si>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</si>
  <si>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</si>
  <si>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</si>
  <si>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</si>
  <si>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</si>
  <si>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</si>
  <si>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</si>
  <si>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</si>
  <si>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</si>
  <si>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</si>
  <si>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</si>
  <si>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</si>
  <si>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</si>
  <si>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</si>
  <si>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</si>
  <si>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</si>
  <si>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</si>
  <si>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</si>
  <si>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</si>
  <si>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</si>
  <si>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</si>
  <si>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</si>
  <si>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</si>
  <si>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</si>
  <si>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</si>
  <si>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</si>
  <si>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</si>
  <si>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</si>
  <si>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</si>
  <si>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</si>
  <si>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</si>
  <si>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</si>
  <si>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</si>
  <si>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</si>
  <si>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</si>
  <si>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</si>
  <si>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</si>
  <si>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</si>
  <si>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</si>
  <si>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</si>
  <si>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</si>
  <si>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</si>
  <si>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</si>
  <si>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</si>
  <si>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</si>
  <si>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</si>
  <si>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</si>
  <si>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</si>
  <si>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</si>
  <si>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</si>
  <si>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</si>
  <si>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</si>
  <si>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</si>
  <si>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</si>
  <si>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</si>
  <si>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</si>
  <si>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</si>
  <si>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</si>
  <si>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</si>
  <si>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</si>
  <si>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</si>
  <si>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</si>
  <si>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</si>
  <si>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</si>
  <si>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</si>
  <si>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</si>
  <si>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</si>
  <si>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</si>
  <si>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</si>
  <si>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</si>
  <si>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</si>
  <si>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</si>
  <si>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</si>
  <si>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</si>
  <si>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</si>
  <si>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</si>
  <si>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</si>
  <si>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</si>
  <si>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</si>
  <si>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</si>
  <si>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</si>
  <si>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</si>
  <si>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</si>
  <si>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</si>
  <si>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</si>
  <si>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</si>
  <si>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</si>
  <si>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</si>
  <si>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</si>
  <si>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</si>
  <si>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</si>
  <si>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</si>
  <si>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</si>
  <si>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</si>
  <si>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</si>
  <si>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</si>
  <si>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</si>
  <si>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</si>
  <si>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</si>
  <si>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</si>
  <si>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</si>
  <si>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</si>
  <si>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</si>
  <si>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</si>
  <si>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</si>
  <si>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</si>
  <si>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</si>
  <si>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</si>
  <si>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</si>
  <si>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</si>
  <si>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</si>
  <si>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</si>
  <si>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</si>
  <si>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</si>
  <si>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</si>
  <si>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</si>
  <si>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</si>
  <si>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</si>
  <si>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</si>
  <si>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</si>
  <si>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</si>
  <si>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</si>
  <si>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</si>
  <si>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</si>
  <si>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</si>
  <si>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</si>
  <si>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</si>
  <si>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</si>
  <si>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</si>
  <si>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</si>
  <si>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</si>
  <si>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</si>
  <si>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</si>
  <si>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</si>
  <si>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</si>
  <si>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</si>
  <si>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</si>
  <si>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</si>
  <si>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</si>
  <si>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</si>
  <si>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</si>
  <si>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</si>
  <si>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</si>
  <si>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</si>
  <si>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</si>
  <si>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</si>
  <si>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</si>
  <si>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</si>
  <si>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</si>
  <si>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</si>
  <si>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</si>
  <si>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</si>
  <si>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</si>
  <si>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</si>
  <si>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</si>
  <si>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</si>
  <si>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</si>
  <si>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</si>
  <si>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</si>
  <si>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</si>
  <si>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</si>
  <si>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</si>
  <si>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</si>
  <si>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</si>
  <si>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</si>
  <si>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</si>
  <si>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</si>
  <si>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</si>
  <si>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</si>
  <si>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</si>
  <si>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</si>
  <si>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</si>
  <si>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</si>
  <si>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</si>
  <si>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</si>
  <si>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</si>
  <si>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</si>
  <si>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</si>
  <si>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</si>
  <si>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</si>
  <si>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</si>
  <si>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</si>
  <si>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</si>
  <si>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</si>
  <si>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</si>
  <si>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</si>
  <si>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</si>
  <si>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</si>
  <si>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</si>
  <si>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</si>
  <si>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</si>
  <si>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</si>
  <si>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</si>
  <si>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</si>
  <si>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</si>
  <si>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</si>
  <si>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</si>
  <si>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</si>
  <si>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</si>
  <si>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</si>
  <si>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</si>
  <si>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</si>
  <si>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</si>
  <si>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</si>
  <si>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</si>
  <si>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</si>
  <si>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</si>
  <si>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</si>
  <si>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</si>
  <si>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</si>
  <si>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</si>
  <si>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</si>
  <si>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</si>
  <si>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</si>
  <si>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</si>
  <si>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</si>
  <si>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</si>
  <si>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</si>
  <si>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</si>
  <si>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</si>
  <si>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</si>
  <si>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</si>
  <si>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</si>
  <si>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</si>
  <si>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</si>
  <si>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</si>
  <si>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</si>
  <si>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</si>
  <si>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</si>
  <si>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</si>
  <si>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</si>
  <si>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</si>
  <si>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</si>
  <si>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</si>
  <si>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</si>
  <si>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</si>
  <si>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</si>
  <si>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</si>
  <si>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</si>
  <si>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</si>
  <si>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</si>
  <si>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</si>
  <si>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</si>
  <si>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</si>
  <si>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</si>
  <si>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</si>
  <si>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</si>
  <si>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</si>
  <si>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</si>
  <si>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</si>
  <si>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</si>
  <si>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</si>
  <si>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</si>
  <si>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</si>
  <si>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</si>
  <si>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</si>
  <si>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</si>
  <si>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</si>
  <si>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</si>
  <si>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</si>
  <si>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</si>
  <si>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</si>
  <si>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</si>
  <si>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</si>
  <si>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</si>
  <si>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</si>
  <si>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</si>
  <si>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</si>
  <si>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</si>
  <si>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</si>
  <si>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</si>
  <si>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</si>
  <si>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</si>
  <si>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</si>
  <si>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</si>
  <si>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</si>
  <si>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</si>
  <si>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</si>
  <si>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</si>
  <si>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</si>
  <si>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</si>
  <si>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</si>
  <si>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</si>
  <si>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</si>
  <si>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</si>
  <si>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</si>
  <si>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</si>
  <si>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</si>
  <si>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</si>
  <si>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</si>
  <si>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</si>
  <si>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</si>
  <si>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</si>
  <si>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</si>
  <si>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</si>
  <si>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</si>
  <si>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</si>
  <si>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</si>
  <si>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</si>
  <si>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</si>
  <si>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</si>
  <si>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</si>
  <si>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</si>
  <si>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</si>
  <si>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</si>
  <si>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</si>
  <si>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</si>
  <si>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</si>
  <si>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</si>
  <si>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</si>
  <si>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</si>
  <si>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</si>
  <si>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</si>
  <si>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</si>
  <si>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</si>
  <si>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</si>
  <si>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</si>
  <si>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</si>
  <si>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</si>
  <si>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</si>
  <si>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</si>
  <si>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</si>
  <si>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</si>
  <si>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</si>
  <si>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</si>
  <si>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</si>
  <si>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</si>
  <si>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</si>
  <si>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</si>
  <si>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</si>
  <si>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</si>
  <si>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</si>
  <si>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</si>
  <si>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</si>
  <si>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</si>
  <si>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</si>
  <si>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</si>
  <si>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</si>
  <si>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</si>
  <si>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</si>
  <si>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</si>
  <si>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</si>
  <si>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</si>
  <si>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</si>
  <si>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</si>
  <si>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</si>
  <si>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</si>
  <si>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</si>
  <si>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</si>
  <si>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</si>
  <si>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</si>
  <si>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</si>
  <si>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</si>
  <si>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</si>
  <si>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</si>
  <si>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</si>
  <si>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</si>
  <si>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</si>
  <si>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</si>
  <si>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</si>
  <si>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</si>
  <si>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</si>
  <si>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</si>
  <si>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SUMNER COUNTY</t>
  </si>
  <si>
    <t>GORE TOWNSHIP</t>
  </si>
  <si>
    <t>Fed/St Witholding</t>
  </si>
  <si>
    <t>RESOLUTION NO.________1__________</t>
  </si>
  <si>
    <t>August 15, 2013</t>
  </si>
  <si>
    <t>7:30 P.M.</t>
  </si>
  <si>
    <t>Mulvane Fire Station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</si>
</sst>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7"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3"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GORE TOWNSHIP</v>
      </c>
      <c r="B1" s="179"/>
      <c r="C1" s="179"/>
      <c r="D1" s="179"/>
      <c r="E1" s="179"/>
      <c r="F1" s="179"/>
      <c r="G1" s="179"/>
      <c r="H1" s="179"/>
      <c r="I1" s="14"/>
      <c r="J1" s="14"/>
      <c r="K1" s="15">
        <f>inputPrYr!D5</f>
        <v>2014</v>
      </c>
    </row>
    <row r="2" spans="1:11" ht="15.75">
      <c r="A2" s="178" t="str">
        <f>inputPrYr!$D$3</f>
        <v>SUMNER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B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GORE TOWNSHIP</v>
      </c>
      <c r="C1" s="14"/>
      <c r="D1" s="14"/>
      <c r="E1" s="15">
        <f>inputPrYr!D5</f>
        <v>2014</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1</v>
      </c>
      <c r="D6" s="418">
        <f>C51</f>
        <v>0.9000000000014552</v>
      </c>
      <c r="E6" s="32">
        <f>D51</f>
        <v>0.9000000000014552</v>
      </c>
    </row>
    <row r="7" spans="2:5" ht="15.75">
      <c r="B7" s="27" t="s">
        <v>124</v>
      </c>
      <c r="C7" s="418"/>
      <c r="D7" s="418"/>
      <c r="E7" s="33"/>
    </row>
    <row r="8" spans="2:5" ht="15.75">
      <c r="B8" s="27" t="s">
        <v>16</v>
      </c>
      <c r="C8" s="29">
        <v>15792.41</v>
      </c>
      <c r="D8" s="418">
        <f>inputPrYr!E16</f>
        <v>16386</v>
      </c>
      <c r="E8" s="33" t="s">
        <v>301</v>
      </c>
    </row>
    <row r="9" spans="2:5" ht="15.75">
      <c r="B9" s="27" t="s">
        <v>17</v>
      </c>
      <c r="C9" s="29">
        <f>445.76+46.98</f>
        <v>492.74</v>
      </c>
      <c r="D9" s="29"/>
      <c r="E9" s="34"/>
    </row>
    <row r="10" spans="2:5" ht="15.75">
      <c r="B10" s="27" t="s">
        <v>18</v>
      </c>
      <c r="C10" s="29">
        <v>1866.2</v>
      </c>
      <c r="D10" s="29">
        <v>2488</v>
      </c>
      <c r="E10" s="32">
        <f>mvalloc!G11</f>
        <v>2359</v>
      </c>
    </row>
    <row r="11" spans="2:5" ht="15.75">
      <c r="B11" s="27" t="s">
        <v>19</v>
      </c>
      <c r="C11" s="29">
        <v>45.9</v>
      </c>
      <c r="D11" s="29">
        <v>65</v>
      </c>
      <c r="E11" s="32">
        <f>mvalloc!I11</f>
        <v>54</v>
      </c>
    </row>
    <row r="12" spans="2:5" ht="15.75">
      <c r="B12" s="35" t="s">
        <v>72</v>
      </c>
      <c r="C12" s="29">
        <v>71.65</v>
      </c>
      <c r="D12" s="29">
        <v>61</v>
      </c>
      <c r="E12" s="32">
        <f>mvalloc!J11</f>
        <v>60</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27</v>
      </c>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18295.9</v>
      </c>
      <c r="D26" s="420">
        <f>SUM(D8:D24)</f>
        <v>19000</v>
      </c>
      <c r="E26" s="42">
        <f>SUM(E8:E24)</f>
        <v>2473</v>
      </c>
    </row>
    <row r="27" spans="2:5" ht="15.75">
      <c r="B27" s="43" t="s">
        <v>24</v>
      </c>
      <c r="C27" s="420">
        <f>C26+C6</f>
        <v>18296.9</v>
      </c>
      <c r="D27" s="420">
        <f>D26+D6</f>
        <v>19000.9</v>
      </c>
      <c r="E27" s="42">
        <f>E26+E6</f>
        <v>2473.9000000000015</v>
      </c>
    </row>
    <row r="28" spans="2:5" ht="15.75">
      <c r="B28" s="27" t="s">
        <v>25</v>
      </c>
      <c r="C28" s="418"/>
      <c r="D28" s="418"/>
      <c r="E28" s="32"/>
    </row>
    <row r="29" spans="2:5" ht="15.75">
      <c r="B29" s="37"/>
      <c r="C29" s="29"/>
      <c r="D29" s="29"/>
      <c r="E29" s="34"/>
    </row>
    <row r="30" spans="2:5" ht="15.75">
      <c r="B30" s="38" t="s">
        <v>105</v>
      </c>
      <c r="C30" s="29">
        <v>1674</v>
      </c>
      <c r="D30" s="29">
        <v>600</v>
      </c>
      <c r="E30" s="34">
        <v>600</v>
      </c>
    </row>
    <row r="31" spans="2:5" ht="15.75">
      <c r="B31" s="38" t="s">
        <v>129</v>
      </c>
      <c r="C31" s="29"/>
      <c r="D31" s="29"/>
      <c r="E31" s="34"/>
    </row>
    <row r="32" spans="2:5" ht="15.75">
      <c r="B32" s="38" t="s">
        <v>106</v>
      </c>
      <c r="C32" s="29"/>
      <c r="D32" s="29">
        <v>6500</v>
      </c>
      <c r="E32" s="34">
        <v>6500</v>
      </c>
    </row>
    <row r="33" spans="2:5" ht="15.75">
      <c r="B33" s="38" t="s">
        <v>36</v>
      </c>
      <c r="C33" s="29">
        <v>1172</v>
      </c>
      <c r="D33" s="29">
        <v>1800</v>
      </c>
      <c r="E33" s="34">
        <v>1800</v>
      </c>
    </row>
    <row r="34" spans="2:5" ht="15.75">
      <c r="B34" s="37" t="s">
        <v>107</v>
      </c>
      <c r="C34" s="29"/>
      <c r="D34" s="29">
        <v>3800</v>
      </c>
      <c r="E34" s="34">
        <v>3800</v>
      </c>
    </row>
    <row r="35" spans="2:5" ht="15.75">
      <c r="B35" s="37" t="s">
        <v>130</v>
      </c>
      <c r="C35" s="29"/>
      <c r="D35" s="29">
        <v>3500</v>
      </c>
      <c r="E35" s="34">
        <v>3500</v>
      </c>
    </row>
    <row r="36" spans="2:5" ht="15.75">
      <c r="B36" s="38" t="s">
        <v>132</v>
      </c>
      <c r="C36" s="29">
        <v>3765</v>
      </c>
      <c r="D36" s="29">
        <v>2800</v>
      </c>
      <c r="E36" s="34">
        <v>2800</v>
      </c>
    </row>
    <row r="37" spans="2:5" ht="15.75">
      <c r="B37" s="38" t="s">
        <v>809</v>
      </c>
      <c r="C37" s="29">
        <v>58</v>
      </c>
      <c r="D37" s="29"/>
      <c r="E37" s="34"/>
    </row>
    <row r="38" spans="2:5" ht="15.75">
      <c r="B38" s="37" t="s">
        <v>814</v>
      </c>
      <c r="C38" s="29">
        <v>11277</v>
      </c>
      <c r="D38" s="29"/>
      <c r="E38" s="34"/>
    </row>
    <row r="39" spans="2:5" ht="15.75">
      <c r="B39" s="38" t="s">
        <v>811</v>
      </c>
      <c r="C39" s="29">
        <v>350</v>
      </c>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c r="E47" s="46">
        <f>nhood!E6</f>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18296</v>
      </c>
      <c r="D50" s="412">
        <f>SUM(D29:D48)</f>
        <v>19000</v>
      </c>
      <c r="E50" s="47">
        <f>SUM(E29:E43,E45,E47:E48)</f>
        <v>19000</v>
      </c>
    </row>
    <row r="51" spans="2:5" ht="15.75">
      <c r="B51" s="27" t="s">
        <v>123</v>
      </c>
      <c r="C51" s="413">
        <f>C27-C50</f>
        <v>0.9000000000014552</v>
      </c>
      <c r="D51" s="413">
        <f>SUM(D27-D50)</f>
        <v>0.9000000000014552</v>
      </c>
      <c r="E51" s="33" t="s">
        <v>301</v>
      </c>
    </row>
    <row r="52" spans="2:6" ht="15.75">
      <c r="B52" s="48" t="str">
        <f>CONCATENATE("",E1-2,"/",E1-1," Budget Authority Amount:")</f>
        <v>2012/2013 Budget Authority Amount:</v>
      </c>
      <c r="C52" s="143">
        <v>19000</v>
      </c>
      <c r="D52" s="172">
        <f>inputPrYr!D16</f>
        <v>19000</v>
      </c>
      <c r="E52" s="33" t="s">
        <v>301</v>
      </c>
      <c r="F52" s="50"/>
    </row>
    <row r="53" spans="2:6" ht="15.75">
      <c r="B53" s="48"/>
      <c r="C53" s="609" t="s">
        <v>645</v>
      </c>
      <c r="D53" s="610"/>
      <c r="E53" s="34"/>
      <c r="F53" s="533">
        <f>IF(E50/0.95-E50&lt;E53,"Exceeds 5%","")</f>
      </c>
    </row>
    <row r="54" spans="2:5" ht="15.75">
      <c r="B54" s="436" t="str">
        <f>CONCATENATE(C72,"     ",D72)</f>
        <v>     </v>
      </c>
      <c r="C54" s="611" t="s">
        <v>646</v>
      </c>
      <c r="D54" s="612"/>
      <c r="E54" s="32">
        <f>E50+E53</f>
        <v>19000</v>
      </c>
    </row>
    <row r="55" spans="2:5" ht="15.75">
      <c r="B55" s="436" t="str">
        <f>CONCATENATE(C73,"     ",D73)</f>
        <v>     </v>
      </c>
      <c r="C55" s="60"/>
      <c r="D55" s="52" t="s">
        <v>28</v>
      </c>
      <c r="E55" s="46">
        <f>IF(E54-E27&gt;0,E54-E27,0)</f>
        <v>16526.1</v>
      </c>
    </row>
    <row r="56" spans="2:5" ht="15.75">
      <c r="B56" s="52"/>
      <c r="C56" s="440" t="s">
        <v>647</v>
      </c>
      <c r="D56" s="432">
        <f>inputOth!$E$40</f>
        <v>0</v>
      </c>
      <c r="E56" s="32">
        <f>ROUND(IF(D56&gt;0,(E55*D56),0),0)</f>
        <v>0</v>
      </c>
    </row>
    <row r="57" spans="2:5" ht="15.75">
      <c r="B57" s="14"/>
      <c r="C57" s="607" t="str">
        <f>CONCATENATE("Amount of  ",$E$1-1," Ad Valorem Tax")</f>
        <v>Amount of  2013 Ad Valorem Tax</v>
      </c>
      <c r="D57" s="608"/>
      <c r="E57" s="46">
        <f>E55+E56</f>
        <v>16526.1</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GORE TOWNSHIP</v>
      </c>
      <c r="C1" s="14"/>
      <c r="D1" s="14"/>
      <c r="E1" s="61">
        <f>inputPrYr!$D$5</f>
        <v>2014</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2012</v>
      </c>
      <c r="D6" s="417" t="str">
        <f>CONCATENATE("Estimate ",$E$1-1,"")</f>
        <v>Estimate 2013</v>
      </c>
      <c r="E6" s="26" t="str">
        <f>CONCATENATE("Year ",$E$1,"")</f>
        <v>Year 2014</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301</v>
      </c>
      <c r="F55" s="50"/>
      <c r="G55" s="538">
        <f>E29</f>
        <v>0</v>
      </c>
      <c r="H55" s="540" t="str">
        <f>CONCATENATE("",E1," Non-AV Receipts (est.)")</f>
        <v>2014 Non-AV Receipts (est.)</v>
      </c>
      <c r="I55" s="536"/>
    </row>
    <row r="56" spans="2:9" ht="15.75">
      <c r="B56" s="48"/>
      <c r="C56" s="609" t="s">
        <v>645</v>
      </c>
      <c r="D56" s="610"/>
      <c r="E56" s="34"/>
      <c r="F56" s="533">
        <f>IF(E53/0.95-E53&lt;E56,"Exceeds 5%","")</f>
      </c>
      <c r="G56" s="541">
        <f>E60</f>
        <v>0</v>
      </c>
      <c r="H56" s="540" t="str">
        <f>CONCATENATE("",E1," Ad Valorem Tax (est.)")</f>
        <v>2014 Ad Valorem Tax (est.)</v>
      </c>
      <c r="I56" s="536"/>
    </row>
    <row r="57" spans="2:9" ht="15.75">
      <c r="B57" s="436" t="str">
        <f>CONCATENATE(C72,"     ",D72)</f>
        <v>     </v>
      </c>
      <c r="C57" s="611" t="s">
        <v>646</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GORE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0</v>
      </c>
      <c r="D6" s="418">
        <f>C44</f>
        <v>0.3899999999994179</v>
      </c>
      <c r="E6" s="32">
        <f>D44</f>
        <v>0.3899999999994179</v>
      </c>
    </row>
    <row r="7" spans="2:5" ht="15.75">
      <c r="B7" s="27" t="s">
        <v>124</v>
      </c>
      <c r="C7" s="418"/>
      <c r="D7" s="418"/>
      <c r="E7" s="33"/>
    </row>
    <row r="8" spans="2:5" ht="15.75">
      <c r="B8" s="27" t="s">
        <v>16</v>
      </c>
      <c r="C8" s="29">
        <v>82068</v>
      </c>
      <c r="D8" s="418">
        <f>inputPrYr!E18</f>
        <v>87335</v>
      </c>
      <c r="E8" s="33" t="s">
        <v>301</v>
      </c>
    </row>
    <row r="9" spans="2:5" ht="15.75">
      <c r="B9" s="27" t="s">
        <v>17</v>
      </c>
      <c r="C9" s="29">
        <f>2147.33+240.5</f>
        <v>2387.83</v>
      </c>
      <c r="D9" s="29"/>
      <c r="E9" s="34"/>
    </row>
    <row r="10" spans="2:5" ht="15.75">
      <c r="B10" s="27" t="s">
        <v>18</v>
      </c>
      <c r="C10" s="29">
        <v>9480.98</v>
      </c>
      <c r="D10" s="29">
        <v>12924</v>
      </c>
      <c r="E10" s="32">
        <f>mvalloc!G13</f>
        <v>12568</v>
      </c>
    </row>
    <row r="11" spans="2:5" ht="15.75">
      <c r="B11" s="27" t="s">
        <v>19</v>
      </c>
      <c r="C11" s="29">
        <v>233.78</v>
      </c>
      <c r="D11" s="29">
        <v>337</v>
      </c>
      <c r="E11" s="32">
        <f>mvalloc!I13</f>
        <v>289</v>
      </c>
    </row>
    <row r="12" spans="2:5" ht="15.75">
      <c r="B12" s="27" t="s">
        <v>103</v>
      </c>
      <c r="C12" s="29">
        <v>340.72</v>
      </c>
      <c r="D12" s="29">
        <v>312</v>
      </c>
      <c r="E12" s="32">
        <f>mvalloc!J13</f>
        <v>312</v>
      </c>
    </row>
    <row r="13" spans="2:5" ht="15.75">
      <c r="B13" s="27" t="s">
        <v>166</v>
      </c>
      <c r="C13" s="29"/>
      <c r="D13" s="29"/>
      <c r="E13" s="32">
        <f>mvalloc!K13</f>
        <v>0</v>
      </c>
    </row>
    <row r="14" spans="2:5" ht="15.75">
      <c r="B14" s="27" t="s">
        <v>104</v>
      </c>
      <c r="C14" s="29">
        <f>2073.6+656.48</f>
        <v>2730.08</v>
      </c>
      <c r="D14" s="29">
        <v>2210</v>
      </c>
      <c r="E14" s="32">
        <f>inputOth!E36</f>
        <v>2300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97241.39</v>
      </c>
      <c r="D23" s="420">
        <f>SUM(D8:D21)</f>
        <v>103118</v>
      </c>
      <c r="E23" s="42">
        <f>SUM(E8:E21)</f>
        <v>15469</v>
      </c>
    </row>
    <row r="24" spans="2:5" ht="15.75">
      <c r="B24" s="43" t="s">
        <v>24</v>
      </c>
      <c r="C24" s="420">
        <f>C23+C6</f>
        <v>97241.39</v>
      </c>
      <c r="D24" s="420">
        <f>D23+D6</f>
        <v>103118.39</v>
      </c>
      <c r="E24" s="42">
        <f>E23+E6</f>
        <v>15469.39</v>
      </c>
    </row>
    <row r="25" spans="2:5" ht="15.75">
      <c r="B25" s="27" t="s">
        <v>25</v>
      </c>
      <c r="C25" s="418"/>
      <c r="D25" s="418"/>
      <c r="E25" s="32"/>
    </row>
    <row r="26" spans="2:5" ht="15.75">
      <c r="B26" s="38" t="s">
        <v>105</v>
      </c>
      <c r="C26" s="29"/>
      <c r="D26" s="29">
        <v>1440</v>
      </c>
      <c r="E26" s="34">
        <v>1440</v>
      </c>
    </row>
    <row r="27" spans="2:5" ht="15.75">
      <c r="B27" s="38" t="s">
        <v>129</v>
      </c>
      <c r="C27" s="29">
        <v>48508</v>
      </c>
      <c r="D27" s="29">
        <v>24349</v>
      </c>
      <c r="E27" s="34">
        <v>24349</v>
      </c>
    </row>
    <row r="28" spans="2:5" ht="15.75">
      <c r="B28" s="37" t="s">
        <v>106</v>
      </c>
      <c r="C28" s="29"/>
      <c r="D28" s="29"/>
      <c r="E28" s="34"/>
    </row>
    <row r="29" spans="2:5" ht="15.75">
      <c r="B29" s="38" t="s">
        <v>131</v>
      </c>
      <c r="C29" s="29">
        <v>8288</v>
      </c>
      <c r="D29" s="29">
        <v>30850</v>
      </c>
      <c r="E29" s="34">
        <v>30850</v>
      </c>
    </row>
    <row r="30" spans="2:5" ht="15.75">
      <c r="B30" s="38" t="s">
        <v>109</v>
      </c>
      <c r="C30" s="29">
        <v>21358</v>
      </c>
      <c r="D30" s="29">
        <v>22768</v>
      </c>
      <c r="E30" s="34">
        <v>24888</v>
      </c>
    </row>
    <row r="31" spans="2:5" ht="15.75">
      <c r="B31" s="38" t="s">
        <v>107</v>
      </c>
      <c r="C31" s="29">
        <v>19087</v>
      </c>
      <c r="D31" s="29">
        <v>20011</v>
      </c>
      <c r="E31" s="34">
        <v>20011</v>
      </c>
    </row>
    <row r="32" spans="2:5" ht="15.75">
      <c r="B32" s="38" t="s">
        <v>132</v>
      </c>
      <c r="C32" s="29"/>
      <c r="D32" s="29"/>
      <c r="E32" s="34"/>
    </row>
    <row r="33" spans="2:5" ht="15.75">
      <c r="B33" s="38" t="s">
        <v>810</v>
      </c>
      <c r="C33" s="29"/>
      <c r="D33" s="29">
        <v>3700</v>
      </c>
      <c r="E33" s="34">
        <v>3700</v>
      </c>
    </row>
    <row r="34" spans="2:5" ht="15.75">
      <c r="B34" s="37" t="s">
        <v>811</v>
      </c>
      <c r="C34" s="29"/>
      <c r="D34" s="29"/>
      <c r="E34" s="34"/>
    </row>
    <row r="35" spans="2:5" ht="15.75">
      <c r="B35" s="37"/>
      <c r="C35" s="29"/>
      <c r="D35" s="29"/>
      <c r="E35" s="34">
        <v>19630</v>
      </c>
    </row>
    <row r="36" spans="2:5" ht="15.75">
      <c r="B36" s="38"/>
      <c r="C36" s="29"/>
      <c r="D36" s="29"/>
      <c r="E36" s="34"/>
    </row>
    <row r="37" spans="2:5" ht="15.75">
      <c r="B37" s="38"/>
      <c r="C37" s="29"/>
      <c r="D37" s="29"/>
      <c r="E37" s="34"/>
    </row>
    <row r="38" spans="2:5" ht="15.75">
      <c r="B38" s="27" t="s">
        <v>108</v>
      </c>
      <c r="C38" s="29"/>
      <c r="D38" s="29"/>
      <c r="E38" s="34"/>
    </row>
    <row r="39" spans="2:5" ht="15.75">
      <c r="B39" s="27" t="s">
        <v>648</v>
      </c>
      <c r="C39" s="426">
        <f>IF(C24*0.25&lt;C38,"Not Authorized","")</f>
      </c>
      <c r="D39" s="426">
        <f>IF(D24*0.25&lt;D38,"Not Authorized","")</f>
      </c>
      <c r="E39" s="78">
        <f>IF(E24*0.25+E50&lt;E38,"Not Authorized","")</f>
      </c>
    </row>
    <row r="40" spans="2:5" ht="15.75">
      <c r="B40" s="35" t="s">
        <v>225</v>
      </c>
      <c r="C40" s="29"/>
      <c r="D40" s="29"/>
      <c r="E40" s="46">
        <f>nhood!E8</f>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97241</v>
      </c>
      <c r="D43" s="420">
        <f>SUM(D26:D38,D40:D41)</f>
        <v>103118</v>
      </c>
      <c r="E43" s="42">
        <f>SUM(E26:E38,E40:E41)</f>
        <v>124868</v>
      </c>
    </row>
    <row r="44" spans="2:5" ht="15.75">
      <c r="B44" s="27" t="s">
        <v>123</v>
      </c>
      <c r="C44" s="413">
        <f>C24-C43</f>
        <v>0.3899999999994179</v>
      </c>
      <c r="D44" s="413">
        <f>D24-D43</f>
        <v>0.3899999999994179</v>
      </c>
      <c r="E44" s="33" t="s">
        <v>301</v>
      </c>
    </row>
    <row r="45" spans="2:6" ht="15.75">
      <c r="B45" s="48" t="str">
        <f>CONCATENATE("",E1-2,"/",E1-1," Budget Authority Amount:")</f>
        <v>2012/2013 Budget Authority Amount:</v>
      </c>
      <c r="C45" s="143">
        <v>100589</v>
      </c>
      <c r="D45" s="172">
        <f>inputPrYr!D18</f>
        <v>103118</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124868</v>
      </c>
    </row>
    <row r="48" spans="2:5" ht="15.75">
      <c r="B48" s="436" t="str">
        <f>CONCATENATE(C75,"     ",D75)</f>
        <v>     </v>
      </c>
      <c r="C48" s="60"/>
      <c r="D48" s="52" t="s">
        <v>28</v>
      </c>
      <c r="E48" s="46">
        <f>IF(E47-E24&gt;0,E47-E24,0)</f>
        <v>109398.61</v>
      </c>
    </row>
    <row r="49" spans="2:5" ht="15.75">
      <c r="B49" s="52"/>
      <c r="C49" s="440" t="s">
        <v>647</v>
      </c>
      <c r="D49" s="432">
        <f>inputOth!$E$40</f>
        <v>0</v>
      </c>
      <c r="E49" s="32">
        <f>ROUND(IF(D49&gt;0,(E48*D49),0),0)</f>
        <v>0</v>
      </c>
    </row>
    <row r="50" spans="2:5" ht="15.75">
      <c r="B50" s="14"/>
      <c r="C50" s="607" t="str">
        <f>CONCATENATE("Amount of  ",$E$1-1," Ad Valorem Tax")</f>
        <v>Amount of  2013 Ad Valorem Tax</v>
      </c>
      <c r="D50" s="608"/>
      <c r="E50" s="46">
        <f>E48+E49</f>
        <v>109398.61</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66127</v>
      </c>
      <c r="D55" s="14"/>
      <c r="E55" s="14"/>
    </row>
    <row r="56" spans="2:5" ht="15.75">
      <c r="B56" s="83" t="s">
        <v>33</v>
      </c>
      <c r="C56" s="143"/>
      <c r="D56" s="14"/>
      <c r="E56" s="14"/>
    </row>
    <row r="57" spans="2:5" ht="15.75">
      <c r="B57" s="83" t="s">
        <v>34</v>
      </c>
      <c r="C57" s="439">
        <f>C38</f>
        <v>0</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22</v>
      </c>
      <c r="C61" s="557"/>
      <c r="D61" s="14"/>
      <c r="E61" s="14"/>
    </row>
    <row r="62" spans="2:5" ht="15.75">
      <c r="B62" s="87" t="s">
        <v>21</v>
      </c>
      <c r="C62" s="557"/>
      <c r="D62" s="14"/>
      <c r="E62" s="14"/>
    </row>
    <row r="63" spans="2:5" ht="15.75">
      <c r="B63" s="88" t="s">
        <v>24</v>
      </c>
      <c r="C63" s="143">
        <f>SUM(C55:C62)</f>
        <v>66127</v>
      </c>
      <c r="D63" s="14"/>
      <c r="E63" s="14"/>
    </row>
    <row r="64" spans="2:5" ht="15.75">
      <c r="B64" s="88" t="s">
        <v>26</v>
      </c>
      <c r="C64" s="557">
        <v>45860</v>
      </c>
      <c r="D64" s="14"/>
      <c r="E64" s="14"/>
    </row>
    <row r="65" spans="2:5" ht="15.75">
      <c r="B65" s="88" t="s">
        <v>27</v>
      </c>
      <c r="C65" s="438">
        <f>SUM(C63-C64)</f>
        <v>20267</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GORE TOWNSHIP</v>
      </c>
      <c r="C1" s="22" t="s">
        <v>35</v>
      </c>
      <c r="D1" s="14"/>
      <c r="E1" s="15">
        <f>inputPrYr!D5</f>
        <v>2014</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GORE TOWNSHIP</v>
      </c>
      <c r="C1" s="14"/>
      <c r="D1" s="14"/>
      <c r="E1" s="15">
        <f>inputPrYr!D5</f>
        <v>2014</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GORE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GORE TOWNSHIP</v>
      </c>
      <c r="C1" s="14"/>
      <c r="D1" s="14"/>
      <c r="E1" s="15">
        <f>inputPrYr!D5</f>
        <v>2014</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GORE TOWNSHIP</v>
      </c>
      <c r="B1" s="100"/>
      <c r="C1" s="101"/>
      <c r="D1" s="101"/>
      <c r="E1" s="101"/>
      <c r="F1" s="102" t="s">
        <v>337</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2014</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2013 Budget, Certificate Page:</v>
      </c>
      <c r="B13" s="336"/>
      <c r="C13" s="49"/>
      <c r="D13" s="14"/>
      <c r="E13" s="14"/>
    </row>
    <row r="14" spans="1:5" ht="15.75">
      <c r="A14" s="335" t="s">
        <v>327</v>
      </c>
      <c r="B14" s="336"/>
      <c r="C14" s="49"/>
      <c r="D14" s="337">
        <f>$D$5-1</f>
        <v>2013</v>
      </c>
      <c r="E14" s="338">
        <f>$D$5-2</f>
        <v>2012</v>
      </c>
    </row>
    <row r="15" spans="1:5" ht="15.75">
      <c r="A15" s="22" t="s">
        <v>283</v>
      </c>
      <c r="B15" s="14"/>
      <c r="C15" s="339" t="s">
        <v>282</v>
      </c>
      <c r="D15" s="340" t="s">
        <v>355</v>
      </c>
      <c r="E15" s="341" t="s">
        <v>16</v>
      </c>
    </row>
    <row r="16" spans="1:5" ht="15.75">
      <c r="A16" s="14"/>
      <c r="B16" s="83" t="s">
        <v>284</v>
      </c>
      <c r="C16" s="172" t="s">
        <v>285</v>
      </c>
      <c r="D16" s="200">
        <v>19000</v>
      </c>
      <c r="E16" s="200">
        <v>16386</v>
      </c>
    </row>
    <row r="17" spans="1:5" ht="15.75">
      <c r="A17" s="14"/>
      <c r="B17" s="83" t="s">
        <v>311</v>
      </c>
      <c r="C17" s="172" t="s">
        <v>156</v>
      </c>
      <c r="D17" s="200"/>
      <c r="E17" s="200"/>
    </row>
    <row r="18" spans="1:5" ht="15.75">
      <c r="A18" s="14"/>
      <c r="B18" s="83" t="s">
        <v>286</v>
      </c>
      <c r="C18" s="192" t="s">
        <v>326</v>
      </c>
      <c r="D18" s="200">
        <v>103118</v>
      </c>
      <c r="E18" s="200">
        <v>87335</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103721</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122118</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1.748</v>
      </c>
      <c r="E41" s="14"/>
    </row>
    <row r="42" spans="1:5" ht="15.75">
      <c r="A42" s="14"/>
      <c r="B42" s="96" t="str">
        <f t="shared" si="0"/>
        <v>Debt Service</v>
      </c>
      <c r="C42" s="14"/>
      <c r="D42" s="348"/>
      <c r="E42" s="14"/>
    </row>
    <row r="43" spans="1:5" ht="15.75">
      <c r="A43" s="14"/>
      <c r="B43" s="96" t="str">
        <f t="shared" si="0"/>
        <v>Road</v>
      </c>
      <c r="C43" s="14"/>
      <c r="D43" s="348">
        <v>9.18</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10.927999999999999</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100773</v>
      </c>
    </row>
    <row r="53" spans="1:5" ht="15.75">
      <c r="A53" s="353" t="str">
        <f>CONCATENATE("Assessed Valuation (",D5-2," budget column)")</f>
        <v>Assessed Valuation (2012 budget column)</v>
      </c>
      <c r="B53" s="354"/>
      <c r="C53" s="291"/>
      <c r="D53" s="28"/>
      <c r="E53" s="200">
        <v>9306973</v>
      </c>
    </row>
    <row r="54" spans="1:5" ht="15.75">
      <c r="A54" s="300"/>
      <c r="B54" s="19"/>
      <c r="C54" s="19"/>
      <c r="D54" s="19"/>
      <c r="E54" s="310"/>
    </row>
    <row r="55" spans="1:5" ht="15.75">
      <c r="A55" s="14"/>
      <c r="B55" s="14"/>
      <c r="C55" s="14"/>
      <c r="D55" s="14"/>
      <c r="E55" s="55"/>
    </row>
    <row r="56" spans="1:5" ht="15.75">
      <c r="A56" s="319" t="s">
        <v>209</v>
      </c>
      <c r="B56" s="319"/>
      <c r="C56" s="140"/>
      <c r="D56" s="355">
        <f>D5-3</f>
        <v>2011</v>
      </c>
      <c r="E56" s="355">
        <f>D5-2</f>
        <v>2012</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GORE TOWNSHIP</v>
      </c>
      <c r="C4" s="626"/>
      <c r="D4" s="626"/>
      <c r="E4" s="626"/>
      <c r="F4" s="626"/>
      <c r="G4" s="626"/>
      <c r="H4" s="626"/>
      <c r="I4" s="626"/>
    </row>
    <row r="5" spans="2:9" ht="15.75">
      <c r="B5" s="626" t="str">
        <f>inputPrYr!D3</f>
        <v>SUMNER COUNTY</v>
      </c>
      <c r="C5" s="626"/>
      <c r="D5" s="626"/>
      <c r="E5" s="626"/>
      <c r="F5" s="626"/>
      <c r="G5" s="626"/>
      <c r="H5" s="626"/>
      <c r="I5" s="626"/>
    </row>
    <row r="6" spans="2:9" ht="15.75">
      <c r="B6" s="625" t="str">
        <f>CONCATENATE("will meet on ",inputBudSum!B5," at ",inputBudSum!B7," at ",inputBudSum!B9," for the purpose of hearing and")</f>
        <v>will meet on August 15, 2013 at 7:30 P.M. at Mulvane Fire Station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Mulvane Fire Station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18296</v>
      </c>
      <c r="D17" s="549">
        <f>IF(inputPrYr!D41&gt;0,inputPrYr!D41,"  ")</f>
        <v>1.748</v>
      </c>
      <c r="E17" s="32">
        <f>IF(gen!$D$50&lt;&gt;0,gen!$D$50,"  ")</f>
        <v>19000</v>
      </c>
      <c r="F17" s="253">
        <f>IF(inputOth!D17&gt;0,inputOth!D17,"  ")</f>
        <v>1.711</v>
      </c>
      <c r="G17" s="32">
        <f>IF(gen!$E$50&lt;&gt;0,gen!$E$50,"  ")</f>
        <v>19000</v>
      </c>
      <c r="H17" s="32">
        <f>IF(gen!$E$57&lt;&gt;0,gen!$E$57," ")</f>
        <v>16526.1</v>
      </c>
      <c r="I17" s="551">
        <f>IF(gen!E57&gt;0,ROUND(H17/$G$35*1000,3)," ")</f>
        <v>1.684</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97241</v>
      </c>
      <c r="D19" s="549">
        <f>IF(inputPrYr!D43&gt;0,inputPrYr!D43,"  ")</f>
        <v>9.18</v>
      </c>
      <c r="E19" s="32">
        <f>IF(road!$D$43&lt;&gt;0,road!$D$43,"  ")</f>
        <v>103118</v>
      </c>
      <c r="F19" s="253">
        <f>IF(inputOth!D19&gt;0,inputOth!D19,"  ")</f>
        <v>9.118</v>
      </c>
      <c r="G19" s="32">
        <f>IF(road!$E$43&lt;&gt;0,road!$E$43,"  ")</f>
        <v>124868</v>
      </c>
      <c r="H19" s="32">
        <f>IF(road!$E$50&lt;&gt;0,road!$E$50,"  ")</f>
        <v>109398.61</v>
      </c>
      <c r="I19" s="551">
        <f>IF(road!E50&gt;0,ROUND(H19/$G$35*1000,3)," ")</f>
        <v>11.145</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f>IF(road!C64&lt;&gt;0,road!C64,"  ")</f>
        <v>45860</v>
      </c>
      <c r="D29" s="531"/>
      <c r="E29" s="550"/>
      <c r="F29" s="531"/>
      <c r="G29" s="550"/>
      <c r="H29" s="550"/>
      <c r="I29" s="531"/>
    </row>
    <row r="30" spans="2:9" ht="15.75">
      <c r="B30" s="83" t="s">
        <v>300</v>
      </c>
      <c r="C30" s="552">
        <f aca="true" t="shared" si="0" ref="C30:I30">SUM(C17:C29)</f>
        <v>161397</v>
      </c>
      <c r="D30" s="529">
        <f t="shared" si="0"/>
        <v>10.927999999999999</v>
      </c>
      <c r="E30" s="552">
        <f t="shared" si="0"/>
        <v>122118</v>
      </c>
      <c r="F30" s="529">
        <f t="shared" si="0"/>
        <v>10.829</v>
      </c>
      <c r="G30" s="552">
        <f t="shared" si="0"/>
        <v>143868</v>
      </c>
      <c r="H30" s="552">
        <f t="shared" si="0"/>
        <v>125924.70999999999</v>
      </c>
      <c r="I30" s="555">
        <f t="shared" si="0"/>
        <v>12.828999999999999</v>
      </c>
    </row>
    <row r="31" spans="2:9" ht="15.75">
      <c r="B31" s="83" t="s">
        <v>44</v>
      </c>
      <c r="C31" s="32">
        <f>transfer!C29</f>
        <v>0</v>
      </c>
      <c r="D31" s="14"/>
      <c r="E31" s="32">
        <f>transfer!D29</f>
        <v>0</v>
      </c>
      <c r="F31" s="62"/>
      <c r="G31" s="32">
        <f>transfer!E29</f>
        <v>0</v>
      </c>
      <c r="H31" s="14"/>
      <c r="I31" s="14"/>
    </row>
    <row r="32" spans="2:9" ht="16.5" thickBot="1">
      <c r="B32" s="83" t="s">
        <v>45</v>
      </c>
      <c r="C32" s="553">
        <f>C30-C31</f>
        <v>161397</v>
      </c>
      <c r="D32" s="14"/>
      <c r="E32" s="553">
        <f>E30-E31</f>
        <v>122118</v>
      </c>
      <c r="F32" s="14"/>
      <c r="G32" s="553">
        <f>G30-G31</f>
        <v>143868</v>
      </c>
      <c r="H32" s="14"/>
      <c r="I32" s="14"/>
    </row>
    <row r="33" spans="2:9" ht="16.5" thickTop="1">
      <c r="B33" s="83" t="s">
        <v>46</v>
      </c>
      <c r="C33" s="554">
        <f>inputPrYr!E52</f>
        <v>100773</v>
      </c>
      <c r="D33" s="62"/>
      <c r="E33" s="554">
        <f>inputPrYr!E25</f>
        <v>103721</v>
      </c>
      <c r="F33" s="14"/>
      <c r="G33" s="545" t="s">
        <v>301</v>
      </c>
      <c r="H33" s="14"/>
      <c r="I33" s="14"/>
    </row>
    <row r="34" spans="2:9" ht="15.75">
      <c r="B34" s="279" t="s">
        <v>47</v>
      </c>
      <c r="C34" s="55"/>
      <c r="D34" s="62"/>
      <c r="E34" s="55"/>
      <c r="F34" s="62"/>
      <c r="G34" s="14"/>
      <c r="H34" s="14"/>
      <c r="I34" s="14"/>
    </row>
    <row r="35" spans="2:9" ht="15.75">
      <c r="B35" s="563" t="s">
        <v>48</v>
      </c>
      <c r="C35" s="31">
        <f>inputPrYr!E53</f>
        <v>9306973</v>
      </c>
      <c r="D35" s="14"/>
      <c r="E35" s="32">
        <f>inputOth!E28</f>
        <v>9578417</v>
      </c>
      <c r="F35" s="14"/>
      <c r="G35" s="32">
        <f>inputOth!E7</f>
        <v>9815634</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I34" sqref="I34"/>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GORE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9815634</v>
      </c>
      <c r="E18" s="14"/>
      <c r="F18" s="140"/>
    </row>
    <row r="19" spans="1:6" ht="15.75">
      <c r="A19" s="14"/>
      <c r="B19" s="14"/>
      <c r="C19" s="14"/>
      <c r="D19" s="14"/>
      <c r="E19" s="14"/>
      <c r="F19" s="140"/>
    </row>
    <row r="20" spans="1:6" ht="15.75">
      <c r="A20" s="14"/>
      <c r="B20" s="629" t="s">
        <v>378</v>
      </c>
      <c r="C20" s="629"/>
      <c r="D20" s="148">
        <f>IF(D18&gt;0,(D18*0.001),"")</f>
        <v>9815.634</v>
      </c>
      <c r="E20" s="14"/>
      <c r="F20" s="140"/>
    </row>
    <row r="21" spans="1:6" ht="15.75">
      <c r="A21" s="14"/>
      <c r="B21" s="48"/>
      <c r="C21" s="48"/>
      <c r="D21" s="149"/>
      <c r="E21" s="14"/>
      <c r="F21" s="140"/>
    </row>
    <row r="22" spans="1:6" ht="15.75">
      <c r="A22" s="627" t="s">
        <v>380</v>
      </c>
      <c r="B22" s="582"/>
      <c r="C22" s="582"/>
      <c r="D22" s="150">
        <f>inputOth!E13</f>
        <v>0</v>
      </c>
      <c r="E22" s="151"/>
      <c r="F22" s="151"/>
    </row>
    <row r="23" spans="1:6" ht="15.75">
      <c r="A23" s="151"/>
      <c r="B23" s="151"/>
      <c r="C23" s="151"/>
      <c r="D23" s="152"/>
      <c r="E23" s="151"/>
      <c r="F23" s="151"/>
    </row>
    <row r="24" spans="1:6" ht="15.75">
      <c r="A24" s="151"/>
      <c r="B24" s="627" t="s">
        <v>381</v>
      </c>
      <c r="C24" s="628"/>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t="s">
        <v>289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22" sqref="D22"/>
    </sheetView>
  </sheetViews>
  <sheetFormatPr defaultColWidth="8.796875" defaultRowHeight="15.75"/>
  <sheetData>
    <row r="1" spans="1:7" ht="15.75">
      <c r="A1" s="633" t="s">
        <v>133</v>
      </c>
      <c r="B1" s="633"/>
      <c r="C1" s="633"/>
      <c r="D1" s="633"/>
      <c r="E1" s="633"/>
      <c r="F1" s="633"/>
      <c r="G1" s="633"/>
    </row>
    <row r="2" ht="15.75">
      <c r="A2" s="1"/>
    </row>
    <row r="3" spans="1:7" ht="15.75">
      <c r="A3" s="634" t="s">
        <v>815</v>
      </c>
      <c r="B3" s="634"/>
      <c r="C3" s="634"/>
      <c r="D3" s="634"/>
      <c r="E3" s="634"/>
      <c r="F3" s="634"/>
      <c r="G3" s="634"/>
    </row>
    <row r="4" ht="15.75">
      <c r="A4" s="2"/>
    </row>
    <row r="5" ht="15.75">
      <c r="A5" s="2"/>
    </row>
    <row r="6" spans="1:9" ht="15.75">
      <c r="A6" s="8" t="str">
        <f>CONCATENATE("A resolution expressing the property taxation policy of the Board of ",(inputPrYr!D2)," ")</f>
        <v>A resolution expressing the property taxation policy of the Board of GORE TOWNSHIP </v>
      </c>
      <c r="I6">
        <f>CONCATENATE(I7)</f>
      </c>
    </row>
    <row r="7" spans="1:7" ht="15.75">
      <c r="A7" s="635" t="str">
        <f>CONCATENATE("   with respect to financing the ",inputPrYr!D5," annual budget for ",(inputPrYr!D2)," , ",(inputPrYr!D3)," , Kansas.")</f>
        <v>   with respect to financing the 2014 annual budget for GORE TOWNSHIP , SUMNER COUNTY , Kansas.</v>
      </c>
      <c r="B7" s="631"/>
      <c r="C7" s="631"/>
      <c r="D7" s="631"/>
      <c r="E7" s="631"/>
      <c r="F7" s="631"/>
      <c r="G7" s="631"/>
    </row>
    <row r="8" spans="1:7" ht="15.75">
      <c r="A8" s="631"/>
      <c r="B8" s="631"/>
      <c r="C8" s="631"/>
      <c r="D8" s="631"/>
      <c r="E8" s="631"/>
      <c r="F8" s="631"/>
      <c r="G8" s="631"/>
    </row>
    <row r="9" ht="15.75">
      <c r="A9" s="1"/>
    </row>
    <row r="10" ht="15.75">
      <c r="A10" s="9" t="s">
        <v>134</v>
      </c>
    </row>
    <row r="11" ht="15.75">
      <c r="A11" s="7" t="str">
        <f>CONCATENATE("to finance the ",inputPrYr!D5," ",(inputPrYr!D2)," budget exceed the amount levied to finance the ",inputPrYr!D5-1,"")</f>
        <v>to finance the 2014 GORE TOWNSHIP budget exceed the amount levied to finance the 2013</v>
      </c>
    </row>
    <row r="12" spans="1:7" ht="15.75">
      <c r="A12" s="630" t="str">
        <f>CONCATENATE((inputPrYr!D2)," Township budget, except with regard to revenue produced and attributable to the taxation of 1) new improvements to real property; 2) increased personal property valuation, other than increased")</f>
        <v>GORE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30" t="s">
        <v>139</v>
      </c>
      <c r="B14" s="631"/>
      <c r="C14" s="631"/>
      <c r="D14" s="631"/>
      <c r="E14" s="631"/>
      <c r="F14" s="631"/>
      <c r="G14" s="631"/>
    </row>
    <row r="15" spans="1:7" ht="15.75">
      <c r="A15" s="631"/>
      <c r="B15" s="631"/>
      <c r="C15" s="631"/>
      <c r="D15" s="631"/>
      <c r="E15" s="631"/>
      <c r="F15" s="631"/>
      <c r="G15" s="631"/>
    </row>
    <row r="16" spans="1:7" ht="15.75">
      <c r="A16" s="632"/>
      <c r="B16" s="632"/>
      <c r="C16" s="632"/>
      <c r="D16" s="632"/>
      <c r="E16" s="632"/>
      <c r="F16" s="632"/>
      <c r="G16" s="632"/>
    </row>
    <row r="17" ht="15.75">
      <c r="A17" s="2"/>
    </row>
    <row r="18" spans="1:7" ht="15.75">
      <c r="A18" s="636" t="s">
        <v>135</v>
      </c>
      <c r="B18" s="631"/>
      <c r="C18" s="631"/>
      <c r="D18" s="631"/>
      <c r="E18" s="631"/>
      <c r="F18" s="631"/>
      <c r="G18" s="631"/>
    </row>
    <row r="19" spans="1:7" ht="15.75">
      <c r="A19" s="631"/>
      <c r="B19" s="631"/>
      <c r="C19" s="631"/>
      <c r="D19" s="631"/>
      <c r="E19" s="631"/>
      <c r="F19" s="631"/>
      <c r="G19" s="631"/>
    </row>
    <row r="20" ht="15.75">
      <c r="A20" s="2"/>
    </row>
    <row r="21" spans="1:7" ht="15.75">
      <c r="A21" s="636" t="str">
        <f>CONCATENATE("Whereas, ",(inputPrYr!D2)," provides essential services to protect the safety and well being of the citizens of the township; and")</f>
        <v>Whereas, GORE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4"/>
    </row>
    <row r="24" ht="15.75">
      <c r="A24" s="3" t="s">
        <v>136</v>
      </c>
    </row>
    <row r="25" ht="15.75">
      <c r="A25" s="4"/>
    </row>
    <row r="26" spans="1:7" ht="15.75">
      <c r="A26" s="636" t="str">
        <f>CONCATENATE("NOW, THEREFORE, BE IT RESOLVED by the Board of ",(inputPrYr!D2)," of ",(inputPrYr!D3),", Kansas that is our desire to notify the public of increased property taxes to finance the ",inputPrYr!D5," ",(inputPrYr!D2),"  budget as defined above.")</f>
        <v>NOW, THEREFORE, BE IT RESOLVED by the Board of GORE TOWNSHIP of SUMNER COUNTY, Kansas that is our desire to notify the public of increased property taxes to finance the 2014 GORE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4"/>
    </row>
    <row r="30" spans="1:7" ht="15.75">
      <c r="A30" s="639" t="str">
        <f>CONCATENATE("Adopted this ____24_____ day of ____July_______, ",inputPrYr!D5-1," by the ",(inputPrYr!D2)," Board, ",(inputPrYr!D3),", Kansas.")</f>
        <v>Adopted this ____24_____ day of ____July_______, 2013 by the GORE TOWNSHIP Board, SUMNER COUNTY, Kansas.</v>
      </c>
      <c r="B30" s="631"/>
      <c r="C30" s="631"/>
      <c r="D30" s="631"/>
      <c r="E30" s="631"/>
      <c r="F30" s="631"/>
      <c r="G30" s="631"/>
    </row>
    <row r="31" spans="1:7" ht="15.75">
      <c r="A31" s="631"/>
      <c r="B31" s="631"/>
      <c r="C31" s="631"/>
      <c r="D31" s="631"/>
      <c r="E31" s="631"/>
      <c r="F31" s="631"/>
      <c r="G31" s="631"/>
    </row>
    <row r="32" ht="15.75">
      <c r="A32" s="4"/>
    </row>
    <row r="33" spans="4:7" ht="15.75">
      <c r="D33" s="637" t="str">
        <f>CONCATENATE((inputPrYr!D2)," Board")</f>
        <v>GORE TOWNSHIP Board</v>
      </c>
      <c r="E33" s="637"/>
      <c r="F33" s="637"/>
      <c r="G33" s="637"/>
    </row>
    <row r="35" spans="4:7" ht="15.75">
      <c r="D35" s="638" t="s">
        <v>137</v>
      </c>
      <c r="E35" s="638"/>
      <c r="F35" s="638"/>
      <c r="G35" s="638"/>
    </row>
    <row r="36" spans="1:7" ht="15.75">
      <c r="A36" s="5"/>
      <c r="D36" s="638" t="s">
        <v>141</v>
      </c>
      <c r="E36" s="638"/>
      <c r="F36" s="638"/>
      <c r="G36" s="638"/>
    </row>
    <row r="37" spans="4:7" ht="15.75">
      <c r="D37" s="638"/>
      <c r="E37" s="638"/>
      <c r="F37" s="638"/>
      <c r="G37" s="638"/>
    </row>
    <row r="38" spans="4:7" ht="15.75">
      <c r="D38" s="638" t="s">
        <v>137</v>
      </c>
      <c r="E38" s="638"/>
      <c r="F38" s="638"/>
      <c r="G38" s="638"/>
    </row>
    <row r="39" spans="1:7" ht="15.75">
      <c r="A39" s="4"/>
      <c r="D39" s="638" t="s">
        <v>142</v>
      </c>
      <c r="E39" s="638"/>
      <c r="F39" s="638"/>
      <c r="G39" s="638"/>
    </row>
    <row r="40" spans="4:7" ht="15.75">
      <c r="D40" s="638"/>
      <c r="E40" s="638"/>
      <c r="F40" s="638"/>
      <c r="G40" s="638"/>
    </row>
    <row r="41" spans="4:7" ht="15.75">
      <c r="D41" s="638" t="s">
        <v>140</v>
      </c>
      <c r="E41" s="638"/>
      <c r="F41" s="638"/>
      <c r="G41" s="638"/>
    </row>
    <row r="42" spans="1:7" ht="15.75">
      <c r="A42" s="4"/>
      <c r="D42" s="638" t="s">
        <v>143</v>
      </c>
      <c r="E42" s="638"/>
      <c r="F42" s="638"/>
      <c r="G42" s="638"/>
    </row>
    <row r="43" ht="15.75">
      <c r="A43" s="6"/>
    </row>
    <row r="44" ht="15.75">
      <c r="A44" s="6"/>
    </row>
    <row r="45" ht="15.75">
      <c r="A45" s="6" t="s">
        <v>138</v>
      </c>
    </row>
    <row r="50" spans="3:4" ht="15.75">
      <c r="C50" s="10" t="s">
        <v>9</v>
      </c>
      <c r="D50" s="11">
        <v>7</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2012 'total expenditures' exceed your 2012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2014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2012 budget was amended, did you</v>
      </c>
    </row>
    <row r="26" ht="15.75">
      <c r="A26" s="379" t="s">
        <v>407</v>
      </c>
    </row>
    <row r="27" ht="15.75">
      <c r="A27" s="379"/>
    </row>
    <row r="28" ht="15.75">
      <c r="A28" s="379" t="str">
        <f>CONCATENATE("Next, look to see if any of your ",inputPrYr!D5-2," expenditures can be")</f>
        <v>Next, look to see if any of your 2012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2012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2012 financial records have been closed?</v>
      </c>
    </row>
    <row r="76" ht="15.75">
      <c r="A76" s="379" t="s">
        <v>442</v>
      </c>
    </row>
    <row r="77" ht="15.75">
      <c r="A77" s="379" t="str">
        <f>CONCATENATE("(i.e. an audit for ",inputPrYr!D5-2," has been completed, or the ",inputPrYr!D5)</f>
        <v>(i.e. an audit for 2012 has been completed, or the 2014</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2014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2014 'total expenditures' exceed your 2014</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0" t="s">
        <v>649</v>
      </c>
      <c r="C6" s="641"/>
      <c r="D6" s="641"/>
      <c r="E6" s="641"/>
      <c r="F6" s="641"/>
      <c r="G6" s="641"/>
      <c r="H6" s="641"/>
      <c r="I6" s="641"/>
      <c r="J6" s="641"/>
      <c r="K6" s="641"/>
      <c r="L6" s="446"/>
    </row>
    <row r="7" spans="1:12" ht="40.5" customHeight="1">
      <c r="A7" s="443"/>
      <c r="B7" s="642" t="s">
        <v>650</v>
      </c>
      <c r="C7" s="643"/>
      <c r="D7" s="643"/>
      <c r="E7" s="643"/>
      <c r="F7" s="643"/>
      <c r="G7" s="643"/>
      <c r="H7" s="643"/>
      <c r="I7" s="643"/>
      <c r="J7" s="643"/>
      <c r="K7" s="643"/>
      <c r="L7" s="443"/>
    </row>
    <row r="8" spans="1:12" ht="14.25">
      <c r="A8" s="443"/>
      <c r="B8" s="644" t="s">
        <v>651</v>
      </c>
      <c r="C8" s="644"/>
      <c r="D8" s="644"/>
      <c r="E8" s="644"/>
      <c r="F8" s="644"/>
      <c r="G8" s="644"/>
      <c r="H8" s="644"/>
      <c r="I8" s="644"/>
      <c r="J8" s="644"/>
      <c r="K8" s="644"/>
      <c r="L8" s="443"/>
    </row>
    <row r="9" spans="1:12" ht="14.25">
      <c r="A9" s="443"/>
      <c r="L9" s="443"/>
    </row>
    <row r="10" spans="1:12" ht="14.25">
      <c r="A10" s="443"/>
      <c r="B10" s="644" t="s">
        <v>652</v>
      </c>
      <c r="C10" s="644"/>
      <c r="D10" s="644"/>
      <c r="E10" s="644"/>
      <c r="F10" s="644"/>
      <c r="G10" s="644"/>
      <c r="H10" s="644"/>
      <c r="I10" s="644"/>
      <c r="J10" s="644"/>
      <c r="K10" s="644"/>
      <c r="L10" s="443"/>
    </row>
    <row r="11" spans="1:12" ht="14.25">
      <c r="A11" s="443"/>
      <c r="B11" s="447"/>
      <c r="C11" s="447"/>
      <c r="D11" s="447"/>
      <c r="E11" s="447"/>
      <c r="F11" s="447"/>
      <c r="G11" s="447"/>
      <c r="H11" s="447"/>
      <c r="I11" s="447"/>
      <c r="J11" s="447"/>
      <c r="K11" s="447"/>
      <c r="L11" s="443"/>
    </row>
    <row r="12" spans="1:12" ht="32.25" customHeight="1">
      <c r="A12" s="443"/>
      <c r="B12" s="645" t="s">
        <v>653</v>
      </c>
      <c r="C12" s="645"/>
      <c r="D12" s="645"/>
      <c r="E12" s="645"/>
      <c r="F12" s="645"/>
      <c r="G12" s="645"/>
      <c r="H12" s="645"/>
      <c r="I12" s="645"/>
      <c r="J12" s="645"/>
      <c r="K12" s="645"/>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46">
        <v>133685008</v>
      </c>
      <c r="G23" s="646"/>
      <c r="L23" s="443"/>
    </row>
    <row r="24" spans="1:12" ht="14.25">
      <c r="A24" s="443"/>
      <c r="L24" s="443"/>
    </row>
    <row r="25" spans="1:12" ht="14.25">
      <c r="A25" s="443"/>
      <c r="C25" s="647">
        <f>F23</f>
        <v>133685008</v>
      </c>
      <c r="D25" s="647"/>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48" t="s">
        <v>650</v>
      </c>
      <c r="C30" s="648"/>
      <c r="D30" s="648"/>
      <c r="E30" s="648"/>
      <c r="F30" s="648"/>
      <c r="G30" s="648"/>
      <c r="H30" s="648"/>
      <c r="I30" s="648"/>
      <c r="J30" s="648"/>
      <c r="K30" s="648"/>
      <c r="L30" s="443"/>
    </row>
    <row r="31" spans="1:12" ht="14.25">
      <c r="A31" s="443"/>
      <c r="B31" s="644" t="s">
        <v>664</v>
      </c>
      <c r="C31" s="644"/>
      <c r="D31" s="644"/>
      <c r="E31" s="644"/>
      <c r="F31" s="644"/>
      <c r="G31" s="644"/>
      <c r="H31" s="644"/>
      <c r="I31" s="644"/>
      <c r="J31" s="644"/>
      <c r="K31" s="644"/>
      <c r="L31" s="443"/>
    </row>
    <row r="32" spans="1:12" ht="14.25">
      <c r="A32" s="443"/>
      <c r="L32" s="443"/>
    </row>
    <row r="33" spans="1:12" ht="14.25">
      <c r="A33" s="443"/>
      <c r="B33" s="644" t="s">
        <v>665</v>
      </c>
      <c r="C33" s="644"/>
      <c r="D33" s="644"/>
      <c r="E33" s="644"/>
      <c r="F33" s="644"/>
      <c r="G33" s="644"/>
      <c r="H33" s="644"/>
      <c r="I33" s="644"/>
      <c r="J33" s="644"/>
      <c r="K33" s="644"/>
      <c r="L33" s="443"/>
    </row>
    <row r="34" spans="1:12" ht="14.25">
      <c r="A34" s="443"/>
      <c r="L34" s="443"/>
    </row>
    <row r="35" spans="1:12" ht="89.25" customHeight="1">
      <c r="A35" s="443"/>
      <c r="B35" s="645" t="s">
        <v>666</v>
      </c>
      <c r="C35" s="649"/>
      <c r="D35" s="649"/>
      <c r="E35" s="649"/>
      <c r="F35" s="649"/>
      <c r="G35" s="649"/>
      <c r="H35" s="649"/>
      <c r="I35" s="649"/>
      <c r="J35" s="649"/>
      <c r="K35" s="649"/>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50">
        <v>3120000</v>
      </c>
      <c r="D41" s="650"/>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46">
        <v>133685008</v>
      </c>
      <c r="C48" s="646"/>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51" t="s">
        <v>674</v>
      </c>
      <c r="H50" s="652"/>
      <c r="I50" s="456" t="s">
        <v>660</v>
      </c>
      <c r="J50" s="466">
        <f>B50/F50</f>
        <v>52.8690023342034</v>
      </c>
      <c r="K50" s="458"/>
      <c r="L50" s="443"/>
    </row>
    <row r="51" spans="1:15" ht="15" thickBot="1">
      <c r="A51" s="443"/>
      <c r="B51" s="459"/>
      <c r="C51" s="460"/>
      <c r="D51" s="460"/>
      <c r="E51" s="460"/>
      <c r="F51" s="460"/>
      <c r="G51" s="460"/>
      <c r="H51" s="460"/>
      <c r="I51" s="653" t="s">
        <v>675</v>
      </c>
      <c r="J51" s="653"/>
      <c r="K51" s="654"/>
      <c r="L51" s="443"/>
      <c r="O51" s="467"/>
    </row>
    <row r="52" spans="1:12" ht="40.5" customHeight="1">
      <c r="A52" s="443"/>
      <c r="B52" s="648" t="s">
        <v>650</v>
      </c>
      <c r="C52" s="648"/>
      <c r="D52" s="648"/>
      <c r="E52" s="648"/>
      <c r="F52" s="648"/>
      <c r="G52" s="648"/>
      <c r="H52" s="648"/>
      <c r="I52" s="648"/>
      <c r="J52" s="648"/>
      <c r="K52" s="648"/>
      <c r="L52" s="443"/>
    </row>
    <row r="53" spans="1:12" ht="14.25">
      <c r="A53" s="443"/>
      <c r="B53" s="644" t="s">
        <v>676</v>
      </c>
      <c r="C53" s="644"/>
      <c r="D53" s="644"/>
      <c r="E53" s="644"/>
      <c r="F53" s="644"/>
      <c r="G53" s="644"/>
      <c r="H53" s="644"/>
      <c r="I53" s="644"/>
      <c r="J53" s="644"/>
      <c r="K53" s="644"/>
      <c r="L53" s="443"/>
    </row>
    <row r="54" spans="1:12" ht="14.25">
      <c r="A54" s="443"/>
      <c r="B54" s="447"/>
      <c r="C54" s="447"/>
      <c r="D54" s="447"/>
      <c r="E54" s="447"/>
      <c r="F54" s="447"/>
      <c r="G54" s="447"/>
      <c r="H54" s="447"/>
      <c r="I54" s="447"/>
      <c r="J54" s="447"/>
      <c r="K54" s="447"/>
      <c r="L54" s="443"/>
    </row>
    <row r="55" spans="1:12" ht="14.25">
      <c r="A55" s="443"/>
      <c r="B55" s="640" t="s">
        <v>677</v>
      </c>
      <c r="C55" s="640"/>
      <c r="D55" s="640"/>
      <c r="E55" s="640"/>
      <c r="F55" s="640"/>
      <c r="G55" s="640"/>
      <c r="H55" s="640"/>
      <c r="I55" s="640"/>
      <c r="J55" s="640"/>
      <c r="K55" s="640"/>
      <c r="L55" s="443"/>
    </row>
    <row r="56" spans="1:12" ht="15" customHeight="1">
      <c r="A56" s="443"/>
      <c r="L56" s="443"/>
    </row>
    <row r="57" spans="1:24" ht="74.25" customHeight="1">
      <c r="A57" s="443"/>
      <c r="B57" s="645" t="s">
        <v>678</v>
      </c>
      <c r="C57" s="649"/>
      <c r="D57" s="649"/>
      <c r="E57" s="649"/>
      <c r="F57" s="649"/>
      <c r="G57" s="649"/>
      <c r="H57" s="649"/>
      <c r="I57" s="649"/>
      <c r="J57" s="649"/>
      <c r="K57" s="649"/>
      <c r="L57" s="443"/>
      <c r="M57" s="468"/>
      <c r="N57" s="469"/>
      <c r="O57" s="469"/>
      <c r="P57" s="469"/>
      <c r="Q57" s="469"/>
      <c r="R57" s="469"/>
      <c r="S57" s="469"/>
      <c r="T57" s="469"/>
      <c r="U57" s="469"/>
      <c r="V57" s="469"/>
      <c r="W57" s="469"/>
      <c r="X57" s="469"/>
    </row>
    <row r="58" spans="1:24" ht="15" customHeight="1">
      <c r="A58" s="443"/>
      <c r="B58" s="645"/>
      <c r="C58" s="649"/>
      <c r="D58" s="649"/>
      <c r="E58" s="649"/>
      <c r="F58" s="649"/>
      <c r="G58" s="649"/>
      <c r="H58" s="649"/>
      <c r="I58" s="649"/>
      <c r="J58" s="649"/>
      <c r="K58" s="649"/>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46">
        <v>133685008</v>
      </c>
      <c r="D74" s="646"/>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46">
        <v>5000</v>
      </c>
      <c r="D77" s="646"/>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46">
        <v>100000</v>
      </c>
      <c r="D80" s="646"/>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5">
        <f>H80</f>
        <v>11500</v>
      </c>
      <c r="D83" s="655"/>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48" t="s">
        <v>650</v>
      </c>
      <c r="C85" s="648"/>
      <c r="D85" s="648"/>
      <c r="E85" s="648"/>
      <c r="F85" s="648"/>
      <c r="G85" s="648"/>
      <c r="H85" s="648"/>
      <c r="I85" s="648"/>
      <c r="J85" s="648"/>
      <c r="K85" s="648"/>
      <c r="L85" s="443"/>
    </row>
    <row r="86" spans="1:12" ht="14.25">
      <c r="A86" s="443"/>
      <c r="B86" s="640" t="s">
        <v>698</v>
      </c>
      <c r="C86" s="640"/>
      <c r="D86" s="640"/>
      <c r="E86" s="640"/>
      <c r="F86" s="640"/>
      <c r="G86" s="640"/>
      <c r="H86" s="640"/>
      <c r="I86" s="640"/>
      <c r="J86" s="640"/>
      <c r="K86" s="640"/>
      <c r="L86" s="443"/>
    </row>
    <row r="87" spans="1:12" ht="14.25">
      <c r="A87" s="443"/>
      <c r="B87" s="483"/>
      <c r="C87" s="483"/>
      <c r="D87" s="483"/>
      <c r="E87" s="483"/>
      <c r="F87" s="483"/>
      <c r="G87" s="483"/>
      <c r="H87" s="483"/>
      <c r="I87" s="483"/>
      <c r="J87" s="483"/>
      <c r="K87" s="483"/>
      <c r="L87" s="443"/>
    </row>
    <row r="88" spans="1:12" ht="14.25">
      <c r="A88" s="443"/>
      <c r="B88" s="640" t="s">
        <v>699</v>
      </c>
      <c r="C88" s="640"/>
      <c r="D88" s="640"/>
      <c r="E88" s="640"/>
      <c r="F88" s="640"/>
      <c r="G88" s="640"/>
      <c r="H88" s="640"/>
      <c r="I88" s="640"/>
      <c r="J88" s="640"/>
      <c r="K88" s="640"/>
      <c r="L88" s="443"/>
    </row>
    <row r="89" spans="1:12" ht="14.25">
      <c r="A89" s="443"/>
      <c r="B89" s="484"/>
      <c r="C89" s="484"/>
      <c r="D89" s="484"/>
      <c r="E89" s="484"/>
      <c r="F89" s="484"/>
      <c r="G89" s="484"/>
      <c r="H89" s="484"/>
      <c r="I89" s="484"/>
      <c r="J89" s="484"/>
      <c r="K89" s="484"/>
      <c r="L89" s="443"/>
    </row>
    <row r="90" spans="1:12" ht="45" customHeight="1">
      <c r="A90" s="443"/>
      <c r="B90" s="645" t="s">
        <v>700</v>
      </c>
      <c r="C90" s="645"/>
      <c r="D90" s="645"/>
      <c r="E90" s="645"/>
      <c r="F90" s="645"/>
      <c r="G90" s="645"/>
      <c r="H90" s="645"/>
      <c r="I90" s="645"/>
      <c r="J90" s="645"/>
      <c r="K90" s="645"/>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46">
        <v>133685008</v>
      </c>
      <c r="D94" s="646"/>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46">
        <v>50000</v>
      </c>
      <c r="D97" s="646"/>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46">
        <v>2500000</v>
      </c>
      <c r="D100" s="646"/>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5">
        <f>H100</f>
        <v>750000</v>
      </c>
      <c r="D103" s="655"/>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48" t="s">
        <v>650</v>
      </c>
      <c r="C105" s="656"/>
      <c r="D105" s="656"/>
      <c r="E105" s="656"/>
      <c r="F105" s="656"/>
      <c r="G105" s="656"/>
      <c r="H105" s="656"/>
      <c r="I105" s="656"/>
      <c r="J105" s="656"/>
      <c r="K105" s="656"/>
      <c r="L105" s="443"/>
    </row>
    <row r="106" spans="1:12" ht="15" customHeight="1">
      <c r="A106" s="443"/>
      <c r="B106" s="657" t="s">
        <v>702</v>
      </c>
      <c r="C106" s="641"/>
      <c r="D106" s="641"/>
      <c r="E106" s="641"/>
      <c r="F106" s="641"/>
      <c r="G106" s="641"/>
      <c r="H106" s="641"/>
      <c r="I106" s="641"/>
      <c r="J106" s="641"/>
      <c r="K106" s="641"/>
      <c r="L106" s="443"/>
    </row>
    <row r="107" spans="1:12" ht="15" customHeight="1">
      <c r="A107" s="443"/>
      <c r="B107" s="489"/>
      <c r="C107" s="497"/>
      <c r="D107" s="497"/>
      <c r="E107" s="456"/>
      <c r="F107" s="466"/>
      <c r="G107" s="456"/>
      <c r="H107" s="456"/>
      <c r="I107" s="456"/>
      <c r="J107" s="478"/>
      <c r="K107" s="489"/>
      <c r="L107" s="443"/>
    </row>
    <row r="108" spans="1:12" ht="15" customHeight="1">
      <c r="A108" s="443"/>
      <c r="B108" s="657"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49"/>
      <c r="D110" s="649"/>
      <c r="E110" s="649"/>
      <c r="F110" s="649"/>
      <c r="G110" s="649"/>
      <c r="H110" s="649"/>
      <c r="I110" s="649"/>
      <c r="J110" s="649"/>
      <c r="K110" s="649"/>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46">
        <v>133685008</v>
      </c>
      <c r="D114" s="646"/>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46">
        <v>50000</v>
      </c>
      <c r="D117" s="646"/>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46">
        <v>2500000</v>
      </c>
      <c r="D120" s="646"/>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5">
        <f>H120</f>
        <v>625000</v>
      </c>
      <c r="D123" s="655"/>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48" t="s">
        <v>650</v>
      </c>
      <c r="C125" s="648"/>
      <c r="D125" s="648"/>
      <c r="E125" s="648"/>
      <c r="F125" s="648"/>
      <c r="G125" s="648"/>
      <c r="H125" s="648"/>
      <c r="I125" s="648"/>
      <c r="J125" s="648"/>
      <c r="K125" s="648"/>
      <c r="L125" s="498"/>
    </row>
    <row r="126" spans="1:12" ht="14.25">
      <c r="A126" s="443"/>
      <c r="B126" s="640" t="s">
        <v>705</v>
      </c>
      <c r="C126" s="640"/>
      <c r="D126" s="640"/>
      <c r="E126" s="640"/>
      <c r="F126" s="640"/>
      <c r="G126" s="640"/>
      <c r="H126" s="640"/>
      <c r="I126" s="640"/>
      <c r="J126" s="640"/>
      <c r="K126" s="640"/>
      <c r="L126" s="498"/>
    </row>
    <row r="127" spans="1:12" ht="14.25">
      <c r="A127" s="443"/>
      <c r="B127" s="447"/>
      <c r="C127" s="447"/>
      <c r="D127" s="447"/>
      <c r="E127" s="447"/>
      <c r="F127" s="447"/>
      <c r="G127" s="447"/>
      <c r="H127" s="447"/>
      <c r="I127" s="447"/>
      <c r="J127" s="447"/>
      <c r="K127" s="447"/>
      <c r="L127" s="498"/>
    </row>
    <row r="128" spans="1:12" ht="14.25">
      <c r="A128" s="443"/>
      <c r="B128" s="640" t="s">
        <v>706</v>
      </c>
      <c r="C128" s="640"/>
      <c r="D128" s="640"/>
      <c r="E128" s="640"/>
      <c r="F128" s="640"/>
      <c r="G128" s="640"/>
      <c r="H128" s="640"/>
      <c r="I128" s="640"/>
      <c r="J128" s="640"/>
      <c r="K128" s="640"/>
      <c r="L128" s="498"/>
    </row>
    <row r="129" spans="1:12" ht="14.25">
      <c r="A129" s="443"/>
      <c r="B129" s="484"/>
      <c r="C129" s="484"/>
      <c r="D129" s="484"/>
      <c r="E129" s="484"/>
      <c r="F129" s="484"/>
      <c r="G129" s="484"/>
      <c r="H129" s="484"/>
      <c r="I129" s="484"/>
      <c r="J129" s="484"/>
      <c r="K129" s="484"/>
      <c r="L129" s="498"/>
    </row>
    <row r="130" spans="1:12" ht="74.25" customHeight="1">
      <c r="A130" s="443"/>
      <c r="B130" s="645" t="s">
        <v>707</v>
      </c>
      <c r="C130" s="645"/>
      <c r="D130" s="645"/>
      <c r="E130" s="645"/>
      <c r="F130" s="645"/>
      <c r="G130" s="645"/>
      <c r="H130" s="645"/>
      <c r="I130" s="645"/>
      <c r="J130" s="645"/>
      <c r="K130" s="645"/>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60" t="s">
        <v>708</v>
      </c>
      <c r="D133" s="660"/>
      <c r="E133" s="455"/>
      <c r="F133" s="456" t="s">
        <v>709</v>
      </c>
      <c r="G133" s="455"/>
      <c r="H133" s="660" t="s">
        <v>694</v>
      </c>
      <c r="I133" s="660"/>
      <c r="J133" s="455"/>
      <c r="K133" s="458"/>
      <c r="L133" s="443"/>
    </row>
    <row r="134" spans="1:12" ht="14.25">
      <c r="A134" s="443"/>
      <c r="B134" s="464" t="s">
        <v>687</v>
      </c>
      <c r="C134" s="646">
        <v>100000</v>
      </c>
      <c r="D134" s="646"/>
      <c r="E134" s="456" t="s">
        <v>301</v>
      </c>
      <c r="F134" s="456">
        <v>0.115</v>
      </c>
      <c r="G134" s="456" t="s">
        <v>660</v>
      </c>
      <c r="H134" s="661">
        <f>C134*F134</f>
        <v>11500</v>
      </c>
      <c r="I134" s="66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2" t="s">
        <v>694</v>
      </c>
      <c r="D136" s="662"/>
      <c r="E136" s="475"/>
      <c r="F136" s="476" t="s">
        <v>710</v>
      </c>
      <c r="G136" s="476"/>
      <c r="H136" s="475"/>
      <c r="I136" s="475"/>
      <c r="J136" s="475" t="s">
        <v>711</v>
      </c>
      <c r="K136" s="477"/>
      <c r="L136" s="443"/>
    </row>
    <row r="137" spans="1:12" ht="14.25">
      <c r="A137" s="443"/>
      <c r="B137" s="464" t="s">
        <v>690</v>
      </c>
      <c r="C137" s="661">
        <f>H134</f>
        <v>11500</v>
      </c>
      <c r="D137" s="66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3" t="s">
        <v>714</v>
      </c>
      <c r="C144" s="664"/>
      <c r="D144" s="664"/>
      <c r="E144" s="664"/>
      <c r="F144" s="664"/>
      <c r="G144" s="664"/>
      <c r="H144" s="664"/>
      <c r="I144" s="664"/>
      <c r="J144" s="664"/>
      <c r="K144" s="665"/>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61" t="s">
        <v>715</v>
      </c>
      <c r="D147" s="661"/>
      <c r="E147" s="456"/>
      <c r="F147" s="516" t="s">
        <v>716</v>
      </c>
      <c r="G147" s="456"/>
      <c r="H147" s="456"/>
      <c r="I147" s="456"/>
      <c r="J147" s="666" t="s">
        <v>717</v>
      </c>
      <c r="K147" s="667"/>
      <c r="L147" s="443"/>
    </row>
    <row r="148" spans="1:12" ht="14.25">
      <c r="A148" s="443"/>
      <c r="B148" s="464"/>
      <c r="C148" s="668">
        <v>52.869</v>
      </c>
      <c r="D148" s="668"/>
      <c r="E148" s="456" t="s">
        <v>301</v>
      </c>
      <c r="F148" s="521">
        <v>133685008</v>
      </c>
      <c r="G148" s="522" t="s">
        <v>661</v>
      </c>
      <c r="H148" s="456">
        <v>1000</v>
      </c>
      <c r="I148" s="456" t="s">
        <v>660</v>
      </c>
      <c r="J148" s="661">
        <f>C148*(F148/1000)</f>
        <v>7067792.687952</v>
      </c>
      <c r="K148" s="669"/>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GORE TOWNSHIP</v>
      </c>
      <c r="B1" s="101"/>
      <c r="C1" s="101"/>
      <c r="D1" s="101"/>
      <c r="E1" s="101">
        <f>inputPrYr!D5</f>
        <v>2014</v>
      </c>
    </row>
    <row r="2" spans="1:5" ht="15.75">
      <c r="A2" s="99" t="str">
        <f>inputPrYr!D3</f>
        <v>SUMNER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9815634</v>
      </c>
    </row>
    <row r="8" spans="1:5" ht="15.75">
      <c r="A8" s="22" t="str">
        <f>CONCATENATE("New Improvements for ",E1-1,"")</f>
        <v>New Improvements for 2013</v>
      </c>
      <c r="B8" s="19"/>
      <c r="C8" s="19"/>
      <c r="D8" s="19"/>
      <c r="E8" s="309">
        <v>48699</v>
      </c>
    </row>
    <row r="9" spans="1:5" ht="15.75">
      <c r="A9" s="22" t="str">
        <f>CONCATENATE("Personal Property excluding oil, gas, and mobile homes - ",E1-1,"")</f>
        <v>Personal Property excluding oil, gas, and mobile homes - 2013</v>
      </c>
      <c r="B9" s="19"/>
      <c r="C9" s="19"/>
      <c r="D9" s="19"/>
      <c r="E9" s="309">
        <v>210763</v>
      </c>
    </row>
    <row r="10" spans="1:5" ht="15.75">
      <c r="A10" s="22" t="str">
        <f>CONCATENATE("Property that has changed in use for ",E1-1,"")</f>
        <v>Property that has changed in use for 2013</v>
      </c>
      <c r="B10" s="19"/>
      <c r="C10" s="19"/>
      <c r="D10" s="19"/>
      <c r="E10" s="309">
        <v>66629</v>
      </c>
    </row>
    <row r="11" spans="1:5" ht="15.75">
      <c r="A11" s="22" t="str">
        <f>CONCATENATE("Personal Property excluding oil, gas, and mobile homes- ",E1-2,"")</f>
        <v>Personal Property excluding oil, gas, and mobile homes- 2012</v>
      </c>
      <c r="B11" s="19"/>
      <c r="C11" s="19"/>
      <c r="D11" s="19"/>
      <c r="E11" s="309">
        <v>191826</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0</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297</v>
      </c>
      <c r="B16" s="573"/>
      <c r="C16" s="101"/>
      <c r="D16" s="313" t="s">
        <v>3</v>
      </c>
      <c r="E16" s="312"/>
    </row>
    <row r="17" spans="1:5" ht="15.75">
      <c r="A17" s="82" t="str">
        <f>inputPrYr!B16</f>
        <v>General</v>
      </c>
      <c r="B17" s="20"/>
      <c r="C17" s="19"/>
      <c r="D17" s="314">
        <v>1.711</v>
      </c>
      <c r="E17" s="312"/>
    </row>
    <row r="18" spans="1:5" ht="15.75">
      <c r="A18" s="82" t="str">
        <f>inputPrYr!B17</f>
        <v>Debt Service</v>
      </c>
      <c r="B18" s="291"/>
      <c r="C18" s="19"/>
      <c r="D18" s="315"/>
      <c r="E18" s="312"/>
    </row>
    <row r="19" spans="1:5" ht="15.75">
      <c r="A19" s="82" t="str">
        <f>inputPrYr!B18</f>
        <v>Road</v>
      </c>
      <c r="B19" s="291"/>
      <c r="C19" s="19"/>
      <c r="D19" s="315">
        <v>9.118</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10.829</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9578417</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163</v>
      </c>
      <c r="B31" s="20"/>
      <c r="C31" s="20"/>
      <c r="D31" s="321"/>
      <c r="E31" s="34">
        <v>14927</v>
      </c>
    </row>
    <row r="32" spans="1:5" ht="15.75">
      <c r="A32" s="322" t="s">
        <v>288</v>
      </c>
      <c r="B32" s="291"/>
      <c r="C32" s="291"/>
      <c r="D32" s="31"/>
      <c r="E32" s="34">
        <v>343</v>
      </c>
    </row>
    <row r="33" spans="1:5" ht="15.75">
      <c r="A33" s="322" t="s">
        <v>164</v>
      </c>
      <c r="B33" s="291"/>
      <c r="C33" s="291"/>
      <c r="D33" s="31"/>
      <c r="E33" s="34">
        <v>372</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2300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5" sqref="D15"/>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816</v>
      </c>
      <c r="C5" s="387"/>
      <c r="D5" s="384" t="s">
        <v>796</v>
      </c>
      <c r="E5" s="383"/>
      <c r="F5" s="383"/>
    </row>
    <row r="6" spans="1:6" ht="15.75">
      <c r="A6" s="384"/>
      <c r="B6" s="388"/>
      <c r="C6" s="389"/>
      <c r="D6" s="384" t="s">
        <v>795</v>
      </c>
      <c r="E6" s="383"/>
      <c r="F6" s="383"/>
    </row>
    <row r="7" spans="1:6" ht="15.75">
      <c r="A7" s="384" t="s">
        <v>386</v>
      </c>
      <c r="B7" s="386" t="s">
        <v>817</v>
      </c>
      <c r="C7" s="390"/>
      <c r="D7" s="384"/>
      <c r="E7" s="383"/>
      <c r="F7" s="383"/>
    </row>
    <row r="8" spans="1:6" ht="15.75">
      <c r="A8" s="384"/>
      <c r="B8" s="384"/>
      <c r="C8" s="384"/>
      <c r="D8" s="384"/>
      <c r="E8" s="383"/>
      <c r="F8" s="383"/>
    </row>
    <row r="9" spans="1:6" ht="15.75">
      <c r="A9" s="384" t="s">
        <v>387</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818</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SUMNER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GORE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289</v>
      </c>
      <c r="F12" s="584" t="str">
        <f>CONCATENATE("Amount of ",H1-1," Ad Valorem Tax")</f>
        <v>Amount of 2013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19000</v>
      </c>
      <c r="F20" s="172">
        <f>IF(gen!$E$57&lt;&gt;0,gen!$E$57,0)</f>
        <v>16526.1</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124868</v>
      </c>
      <c r="F22" s="172">
        <f>IF(road!$E$50&lt;&gt;0,road!$E$50,"  ")</f>
        <v>109398.61</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143868</v>
      </c>
      <c r="F33" s="292">
        <f>SUM(F20:F28)</f>
        <v>125924.70999999999</v>
      </c>
      <c r="G33" s="293">
        <f>IF(SUM(G20:G28)&gt;0,SUM(G20:G28),"")</f>
      </c>
    </row>
    <row r="34" spans="2:4" s="14" customFormat="1" ht="16.5" thickTop="1">
      <c r="B34" s="27" t="s">
        <v>174</v>
      </c>
      <c r="C34" s="283"/>
      <c r="D34" s="288">
        <f>summ!D47</f>
        <v>6</v>
      </c>
    </row>
    <row r="35" spans="2:6" s="14" customFormat="1" ht="15.75">
      <c r="B35" s="27" t="s">
        <v>225</v>
      </c>
      <c r="C35" s="28"/>
      <c r="D35" s="288" t="str">
        <f>IF(nhood!C37&gt;0,nhood!C37,"")</f>
        <v> </v>
      </c>
      <c r="E35" s="294" t="s">
        <v>161</v>
      </c>
      <c r="F35" s="295" t="str">
        <f>IF(F33&gt;computation!J34,"Yes","No")</f>
        <v>Yes</v>
      </c>
    </row>
    <row r="36" spans="2:6" s="14" customFormat="1" ht="15.75">
      <c r="B36" s="27" t="s">
        <v>160</v>
      </c>
      <c r="C36" s="28"/>
      <c r="D36" s="288">
        <f>IF(Resolution!D50&gt;0,Resolution!D50,"")</f>
        <v>7</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GORE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103721</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103721</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48699</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210763</v>
      </c>
      <c r="F14" s="270"/>
      <c r="G14" s="55"/>
      <c r="H14" s="55"/>
      <c r="I14" s="53"/>
      <c r="J14" s="55"/>
    </row>
    <row r="15" spans="1:10" ht="15.75">
      <c r="A15" s="269"/>
      <c r="B15" s="14" t="s">
        <v>91</v>
      </c>
      <c r="C15" s="14" t="str">
        <f>CONCATENATE("Personal Property ",J1-2,"")</f>
        <v>Personal Property 2012</v>
      </c>
      <c r="D15" s="269" t="s">
        <v>86</v>
      </c>
      <c r="E15" s="273">
        <f>inputOth!E11</f>
        <v>191826</v>
      </c>
      <c r="F15" s="270"/>
      <c r="G15" s="53"/>
      <c r="H15" s="53"/>
      <c r="I15" s="55"/>
      <c r="J15" s="55"/>
    </row>
    <row r="16" spans="1:10" ht="15.75">
      <c r="A16" s="269"/>
      <c r="B16" s="14" t="s">
        <v>92</v>
      </c>
      <c r="C16" s="14" t="s">
        <v>112</v>
      </c>
      <c r="D16" s="14"/>
      <c r="E16" s="55"/>
      <c r="F16" s="55" t="s">
        <v>15</v>
      </c>
      <c r="G16" s="271">
        <f>IF(E14&gt;E15,E14-E15,0)</f>
        <v>18937</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66629</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134265</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9815634</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9681369</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0.013868389894032548</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1438</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105159</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105159</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GORE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16386</v>
      </c>
      <c r="E11" s="253">
        <f>IF(inputOth!D17&gt;0,inputOth!D17,"  ")</f>
        <v>1.711</v>
      </c>
      <c r="F11" s="254"/>
      <c r="G11" s="96">
        <f>IF(inputPrYr!E16=0,0,G22-SUM(G12:G19))</f>
        <v>2359</v>
      </c>
      <c r="H11" s="255"/>
      <c r="I11" s="96">
        <f>IF(inputPrYr!E16=0,0,I24-SUM(I12:I19))</f>
        <v>54</v>
      </c>
      <c r="J11" s="96">
        <v>60</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87335</v>
      </c>
      <c r="E13" s="253">
        <f>IF(inputOth!D19&gt;0,inputOth!D19,"  ")</f>
        <v>9.118</v>
      </c>
      <c r="F13" s="254"/>
      <c r="G13" s="96">
        <v>12568</v>
      </c>
      <c r="H13" s="255"/>
      <c r="I13" s="96">
        <f>IF(inputPrYr!$E$18=0,0,ROUND($D$13*$I$32,0))</f>
        <v>289</v>
      </c>
      <c r="J13" s="96">
        <v>312</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103721</v>
      </c>
      <c r="E20" s="259">
        <f>SUM(E11:E19)</f>
        <v>10.829</v>
      </c>
      <c r="F20" s="260"/>
      <c r="G20" s="258">
        <f>SUM(G11:G19)</f>
        <v>14927</v>
      </c>
      <c r="H20" s="258"/>
      <c r="I20" s="258">
        <f>SUM(I11:I19)</f>
        <v>343</v>
      </c>
      <c r="J20" s="258">
        <f>SUM(J11:J19)</f>
        <v>372</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14927</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343</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372</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0.14391492561776303</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0.003306948448240954</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0.0035865446727277985</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GORE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2012</v>
      </c>
      <c r="D9" s="236">
        <f>F1-1</f>
        <v>2013</v>
      </c>
      <c r="E9" s="236">
        <f>F1</f>
        <v>2014</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0</v>
      </c>
      <c r="D27" s="245">
        <f>SUM(D10:D26)</f>
        <v>0</v>
      </c>
      <c r="E27" s="245">
        <f>SUM(E10:E26)</f>
        <v>0</v>
      </c>
      <c r="F27" s="140"/>
    </row>
    <row r="28" spans="1:6" ht="15.75">
      <c r="A28" s="140"/>
      <c r="B28" s="244" t="s">
        <v>632</v>
      </c>
      <c r="C28" s="140"/>
      <c r="D28" s="241"/>
      <c r="E28" s="241"/>
      <c r="F28" s="140"/>
    </row>
    <row r="29" spans="1:6" ht="15.75">
      <c r="A29" s="140"/>
      <c r="B29" s="192" t="s">
        <v>183</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2013-07-24T19:16:36Z</cp:lastPrinted>
  <dcterms:created xsi:type="dcterms:W3CDTF">1998-08-26T16:30:41Z</dcterms:created>
  <dcterms:modified xsi:type="dcterms:W3CDTF">2013-07-24T19:25:59Z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