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<sst xmlns="http://schemas.openxmlformats.org/spreadsheetml/2006/main" count="1581" uniqueCount="953">
  <si>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</si>
  <si>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</si>
  <si>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</si>
  <si>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</si>
  <si>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</si>
  <si>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</si>
  <si>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</si>
  <si>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</si>
  <si>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</si>
  <si>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</si>
  <si>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</si>
  <si>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</si>
  <si>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</si>
  <si>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</si>
  <si>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</si>
  <si>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</si>
  <si>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</si>
  <si>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</si>
  <si>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</si>
  <si>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</si>
  <si>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</si>
  <si>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</si>
  <si>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</si>
  <si>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</si>
  <si>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</si>
  <si>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</si>
  <si>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</si>
  <si>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</si>
  <si>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</si>
  <si>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</si>
  <si>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</si>
  <si>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</si>
  <si>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</si>
  <si>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</si>
  <si>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</si>
  <si>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</si>
  <si>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</si>
  <si>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</si>
  <si>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</si>
  <si>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</si>
  <si>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</si>
  <si>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</si>
  <si>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</si>
  <si>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</si>
  <si>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</si>
  <si>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</si>
  <si>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</si>
  <si>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</si>
  <si>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</si>
  <si>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</si>
  <si>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</si>
  <si>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</si>
  <si>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</si>
  <si>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</si>
  <si>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</si>
  <si>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</si>
  <si>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</si>
  <si>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</si>
  <si>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</si>
  <si>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</si>
  <si>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</si>
  <si>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</si>
  <si>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</si>
  <si>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</si>
  <si>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</si>
  <si>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</si>
  <si>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</si>
  <si>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</si>
  <si>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</si>
  <si>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</si>
  <si>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</si>
  <si>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</si>
  <si>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</si>
  <si>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</si>
  <si>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</si>
  <si>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</si>
  <si>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</si>
  <si>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</si>
  <si>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</si>
  <si>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</si>
  <si>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</si>
  <si>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</si>
  <si>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</si>
  <si>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</si>
  <si>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</si>
  <si>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</si>
  <si>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</si>
  <si>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</si>
  <si>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</si>
  <si>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</si>
  <si>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</si>
  <si>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</si>
  <si>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</si>
  <si>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</si>
  <si>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</si>
  <si>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</si>
  <si>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</si>
  <si>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</si>
  <si>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</si>
  <si>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</si>
  <si>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</si>
  <si>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</si>
  <si>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</si>
  <si>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</si>
  <si>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</si>
  <si>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</si>
  <si>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</si>
  <si>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</si>
  <si>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</si>
  <si>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</si>
  <si>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</si>
  <si>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</si>
  <si>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</si>
  <si>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</si>
  <si>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</si>
  <si>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</si>
  <si>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</si>
  <si>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</si>
  <si>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</si>
  <si>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</si>
  <si>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</si>
  <si>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</si>
  <si>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</si>
  <si>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</si>
  <si>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</si>
  <si>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</si>
  <si>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</si>
  <si>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</si>
  <si>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</si>
  <si>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</si>
  <si>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</si>
  <si>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</si>
  <si>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</si>
  <si>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</si>
  <si>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</si>
  <si>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</si>
  <si>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</si>
  <si>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</si>
  <si>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</si>
  <si>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</si>
  <si>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</si>
  <si>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</si>
  <si>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</si>
  <si>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</si>
  <si>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</si>
  <si>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</si>
  <si>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</si>
  <si>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</si>
  <si>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</si>
  <si>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</si>
  <si>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</si>
  <si>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</si>
  <si>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</si>
  <si>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</si>
  <si>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</si>
  <si>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</si>
  <si>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</si>
  <si>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</si>
  <si>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</si>
  <si>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</si>
  <si>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</si>
  <si>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</si>
  <si>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</si>
  <si>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</si>
  <si>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</si>
  <si>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</si>
  <si>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</si>
  <si>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</si>
  <si>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</si>
  <si>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</si>
  <si>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</si>
  <si>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</si>
  <si>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</si>
  <si>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</si>
  <si>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</si>
  <si>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</si>
  <si>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</si>
  <si>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</si>
  <si>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</si>
  <si>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</si>
  <si>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</si>
  <si>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</si>
  <si>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</si>
  <si>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</si>
  <si>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</si>
  <si>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</si>
  <si>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</si>
  <si>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</si>
  <si>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</si>
  <si>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</si>
  <si>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</si>
  <si>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</si>
  <si>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</si>
  <si>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</si>
  <si>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</si>
  <si>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</si>
  <si>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</si>
  <si>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</si>
  <si>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</si>
  <si>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</si>
  <si>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</si>
  <si>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</si>
  <si>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</si>
  <si>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</si>
  <si>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</si>
  <si>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</si>
  <si>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</si>
  <si>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</si>
  <si>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</si>
  <si>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</si>
  <si>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</si>
  <si>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</si>
  <si>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</si>
  <si>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</si>
  <si>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</si>
  <si>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</si>
  <si>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</si>
  <si>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</si>
  <si>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</si>
  <si>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</si>
  <si>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</si>
  <si>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</si>
  <si>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</si>
  <si>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</si>
  <si>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</si>
  <si>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</si>
  <si>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</si>
  <si>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</si>
  <si>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</si>
  <si>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</si>
  <si>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</si>
  <si>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</si>
  <si>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</si>
  <si>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</si>
  <si>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</si>
  <si>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</si>
  <si>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</si>
  <si>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</si>
  <si>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</si>
  <si>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</si>
  <si>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</si>
  <si>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</si>
  <si>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</si>
  <si>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</si>
  <si>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</si>
  <si>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</si>
  <si>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</si>
  <si>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</si>
  <si>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</si>
  <si>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</si>
  <si>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</si>
  <si>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</si>
  <si>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</si>
  <si>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</si>
  <si>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</si>
  <si>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</si>
  <si>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</si>
  <si>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</si>
  <si>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</si>
  <si>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</si>
  <si>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</si>
  <si>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</si>
  <si>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</si>
  <si>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</si>
  <si>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</si>
  <si>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</si>
  <si>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</si>
  <si>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</si>
  <si>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</si>
  <si>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</si>
  <si>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</si>
  <si>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</si>
  <si>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</si>
  <si>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</si>
  <si>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</si>
  <si>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</si>
  <si>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</si>
  <si>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</si>
  <si>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</si>
  <si>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</si>
  <si>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</si>
  <si>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</si>
  <si>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</si>
  <si>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</si>
  <si>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</si>
  <si>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</si>
  <si>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</si>
  <si>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</si>
  <si>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</si>
  <si>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</si>
  <si>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</si>
  <si>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</si>
  <si>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</si>
  <si>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</si>
  <si>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</si>
  <si>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</si>
  <si>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</si>
  <si>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</si>
  <si>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</si>
  <si>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</si>
  <si>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</si>
  <si>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</si>
  <si>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</si>
  <si>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</si>
  <si>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</si>
  <si>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</si>
  <si>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</si>
  <si>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</si>
  <si>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</si>
  <si>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</si>
  <si>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</si>
  <si>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</si>
  <si>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</si>
  <si>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</si>
  <si>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</si>
  <si>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</si>
  <si>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</si>
  <si>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</si>
  <si>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</si>
  <si>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</si>
  <si>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</si>
  <si>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</si>
  <si>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</si>
  <si>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</si>
  <si>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</si>
  <si>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</si>
  <si>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</si>
  <si>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</si>
  <si>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</si>
  <si>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</si>
  <si>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</si>
  <si>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</si>
  <si>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</si>
  <si>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</si>
  <si>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</si>
  <si>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</si>
  <si>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</si>
  <si>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</si>
  <si>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</si>
  <si>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</si>
  <si>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</si>
  <si>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</si>
  <si>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</si>
  <si>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</si>
  <si>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</si>
  <si>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</si>
  <si>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</si>
  <si>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</si>
  <si>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</si>
  <si>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</si>
  <si>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</si>
  <si>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</si>
  <si>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</si>
  <si>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</si>
  <si>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</si>
  <si>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</si>
  <si>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</si>
  <si>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</si>
  <si>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</si>
  <si>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</si>
  <si>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</si>
  <si>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</si>
  <si>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</si>
  <si>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</si>
  <si>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</si>
  <si>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</si>
  <si>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</si>
  <si>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</si>
  <si>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</si>
  <si>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</si>
  <si>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</si>
  <si>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</si>
  <si>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</si>
  <si>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</si>
  <si>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</si>
  <si>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</si>
  <si>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</si>
  <si>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</si>
  <si>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</si>
  <si>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</si>
  <si>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</si>
  <si>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</si>
  <si>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</si>
  <si>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</si>
  <si>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</si>
  <si>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</si>
  <si>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</si>
  <si>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</si>
  <si>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</si>
  <si>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</si>
  <si>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</si>
  <si>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</si>
  <si>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</si>
  <si>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</si>
  <si>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</si>
  <si>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</si>
  <si>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</si>
  <si>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</si>
  <si>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</si>
  <si>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</si>
  <si>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</si>
  <si>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</si>
  <si>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</si>
  <si>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</si>
  <si>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</si>
  <si>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</si>
  <si>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</si>
  <si>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</si>
  <si>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</si>
  <si>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</si>
  <si>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</si>
  <si>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</si>
  <si>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</si>
  <si>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</si>
  <si>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</si>
  <si>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</si>
  <si>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</si>
  <si>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</si>
  <si>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</si>
  <si>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</si>
  <si>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</si>
  <si>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</si>
  <si>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</si>
  <si>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</si>
  <si>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</si>
  <si>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</si>
  <si>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</si>
  <si>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</si>
  <si>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</si>
  <si>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</si>
  <si>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</si>
  <si>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</si>
  <si>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</si>
  <si>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</si>
  <si>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</si>
  <si>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</si>
  <si>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</si>
  <si>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</si>
  <si>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</si>
  <si>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</si>
  <si>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</si>
  <si>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</si>
  <si>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</si>
  <si>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</si>
  <si>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</si>
  <si>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</si>
  <si>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</si>
  <si>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</si>
  <si>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</si>
  <si>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</si>
  <si>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</si>
  <si>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</si>
  <si>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</si>
  <si>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</si>
  <si>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</si>
  <si>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</si>
  <si>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</si>
  <si>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</si>
  <si>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</si>
  <si>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</si>
  <si>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</si>
  <si>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</si>
  <si>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</si>
  <si>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</si>
  <si>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</si>
  <si>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</si>
  <si>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</si>
  <si>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</si>
  <si>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</si>
  <si>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</si>
  <si>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</si>
  <si>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</si>
  <si>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</si>
  <si>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</si>
  <si>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</si>
  <si>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</si>
  <si>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</si>
  <si>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</si>
  <si>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</si>
  <si>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</si>
  <si>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</si>
  <si>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</si>
  <si>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</si>
  <si>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</si>
  <si>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</si>
  <si>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</si>
  <si>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</si>
  <si>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</si>
  <si>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</si>
  <si>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</si>
  <si>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</si>
  <si>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</si>
  <si>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</si>
  <si>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</si>
  <si>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</si>
  <si>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</si>
  <si>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</si>
  <si>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</si>
  <si>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</si>
  <si>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</si>
  <si>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</si>
  <si>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</si>
  <si>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</si>
  <si>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</si>
  <si>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</si>
  <si>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</si>
  <si>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</si>
  <si>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</si>
  <si>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</si>
  <si>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</si>
  <si>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</si>
  <si>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</si>
  <si>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</si>
  <si>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</si>
  <si>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</si>
  <si>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</si>
  <si>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</si>
  <si>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</si>
  <si>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</si>
  <si>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</si>
  <si>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</si>
  <si>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</si>
  <si>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</si>
  <si>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</si>
  <si>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</si>
  <si>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</si>
  <si>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</si>
  <si>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</si>
  <si>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</si>
  <si>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</si>
  <si>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</si>
  <si>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</si>
  <si>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</si>
  <si>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</si>
  <si>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</si>
  <si>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</si>
  <si>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</si>
  <si>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</si>
  <si>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</si>
  <si>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</si>
  <si>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</si>
  <si>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</si>
  <si>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</si>
  <si>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</si>
  <si>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</si>
  <si>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</si>
  <si>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</si>
  <si>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</si>
  <si>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</si>
  <si>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</si>
  <si>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</si>
  <si>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</si>
  <si>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</si>
  <si>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</si>
  <si>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</si>
  <si>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</si>
  <si>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</si>
  <si>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</si>
  <si>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</si>
  <si>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</si>
  <si>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</si>
  <si>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</si>
  <si>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</si>
  <si>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</si>
  <si>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</si>
  <si>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</si>
  <si>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</si>
  <si>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</si>
  <si>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</si>
  <si>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</si>
  <si>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</si>
  <si>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</si>
  <si>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</si>
  <si>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</si>
  <si>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</si>
  <si>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</si>
  <si>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</si>
  <si>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</si>
  <si>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</si>
  <si>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</si>
  <si>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</si>
  <si>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</si>
  <si>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</si>
  <si>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</si>
  <si>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</si>
  <si>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</si>
  <si>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</si>
  <si>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</si>
  <si>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</si>
  <si>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</si>
  <si>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</si>
  <si>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</si>
  <si>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</si>
  <si>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</si>
  <si>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</si>
  <si>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</si>
  <si>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</si>
  <si>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</si>
  <si>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</si>
  <si>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</si>
  <si>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</si>
  <si>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</si>
  <si>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</si>
  <si>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</si>
  <si>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</si>
  <si>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</si>
  <si>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</si>
  <si>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</si>
  <si>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</si>
  <si>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</si>
  <si>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</si>
  <si>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</si>
  <si>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</si>
  <si>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</si>
  <si>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</si>
  <si>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</si>
  <si>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</si>
  <si>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</si>
  <si>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</si>
  <si>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</si>
  <si>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</si>
  <si>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</si>
  <si>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</si>
  <si>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</si>
  <si>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</si>
  <si>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</si>
  <si>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</si>
  <si>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</si>
  <si>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</si>
  <si>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</si>
  <si>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</si>
  <si>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</si>
  <si>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</si>
  <si>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</si>
  <si>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</si>
  <si>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</si>
  <si>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</si>
  <si>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</si>
  <si>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</si>
  <si>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</si>
  <si>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</si>
  <si>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</si>
  <si>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</si>
  <si>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</si>
  <si>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</si>
  <si>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</si>
  <si>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</si>
  <si>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</si>
  <si>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</si>
  <si>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</si>
  <si>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</si>
  <si>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</si>
  <si>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</si>
  <si>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</si>
  <si>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</si>
  <si>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</si>
  <si>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</si>
  <si>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</si>
  <si>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</si>
  <si>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</si>
  <si>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</si>
  <si>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</si>
  <si>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</si>
  <si>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</si>
  <si>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</si>
  <si>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</si>
  <si>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</si>
  <si>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</si>
  <si>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</si>
  <si>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</si>
  <si>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</si>
  <si>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</si>
  <si>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</si>
  <si>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</si>
  <si>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</si>
  <si>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</si>
  <si>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</si>
  <si>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</si>
  <si>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</si>
  <si>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</si>
  <si>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</si>
  <si>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</si>
  <si>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</si>
  <si>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</si>
  <si>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</si>
  <si>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</si>
  <si>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</si>
  <si>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</si>
  <si>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</si>
  <si>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</si>
  <si>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</si>
  <si>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</si>
  <si>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</si>
  <si>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</si>
  <si>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</si>
  <si>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</si>
  <si>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</si>
  <si>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</si>
  <si>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</si>
  <si>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</si>
  <si>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</si>
  <si>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</si>
  <si>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</si>
  <si>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</si>
  <si>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</si>
  <si>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</si>
  <si>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</si>
  <si>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</si>
  <si>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</si>
  <si>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</si>
  <si>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</si>
  <si>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</si>
  <si>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</si>
  <si>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</si>
  <si>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</si>
  <si>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</si>
  <si>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</si>
  <si>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</si>
  <si>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</si>
  <si>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</si>
  <si>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</si>
  <si>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</si>
  <si>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</si>
  <si>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</si>
  <si>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</si>
  <si>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</si>
  <si>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</si>
  <si>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</si>
  <si>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</si>
  <si>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</si>
  <si>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</si>
  <si>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</si>
  <si>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</si>
  <si>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</si>
  <si>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</si>
  <si>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</si>
  <si>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</si>
  <si>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</si>
  <si>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</si>
  <si>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</si>
  <si>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</si>
  <si>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</si>
  <si>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</si>
  <si>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</si>
  <si>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</si>
  <si>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</si>
  <si>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</si>
  <si>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</si>
  <si>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</si>
  <si>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</si>
  <si>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</si>
  <si>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</si>
  <si>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</si>
  <si>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</si>
  <si>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</si>
  <si>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</si>
  <si>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</si>
  <si>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</si>
  <si>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</si>
  <si>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</si>
  <si>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</si>
  <si>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</si>
  <si>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</si>
  <si>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</si>
  <si>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</si>
  <si>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</si>
  <si>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</si>
  <si>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</si>
  <si>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</si>
  <si>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</si>
  <si>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</si>
  <si>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</si>
  <si>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</si>
  <si>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</si>
  <si>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</si>
  <si>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</si>
  <si>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</si>
  <si>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</si>
  <si>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</si>
  <si>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</si>
  <si>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</si>
  <si>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</si>
  <si>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</si>
  <si>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</si>
  <si>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</si>
  <si>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</si>
  <si>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</si>
  <si>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</si>
  <si>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</si>
  <si>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</si>
  <si>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</si>
  <si>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</si>
  <si>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</si>
  <si>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</si>
  <si>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</si>
  <si>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</si>
  <si>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</si>
  <si>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</si>
  <si>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</si>
  <si>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</si>
  <si>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</si>
  <si>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</si>
  <si>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</si>
  <si>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</si>
  <si>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</si>
  <si>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</si>
  <si>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</si>
  <si>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</si>
  <si>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</si>
  <si>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</si>
  <si>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</si>
  <si>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</si>
  <si>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</si>
  <si>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</si>
  <si>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</si>
  <si>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</si>
  <si>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</si>
  <si>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</si>
  <si>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</si>
  <si>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</si>
  <si>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</si>
  <si>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</si>
  <si>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</si>
  <si>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</si>
  <si>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</si>
  <si>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</si>
  <si>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</si>
  <si>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</si>
  <si>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</si>
  <si>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</si>
  <si>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</si>
  <si>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</si>
  <si>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</si>
  <si>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</si>
  <si>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</si>
  <si>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</si>
  <si>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</si>
  <si>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</si>
  <si>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</si>
  <si>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</si>
  <si>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</si>
  <si>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</si>
  <si>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</si>
  <si>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</si>
  <si>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</si>
  <si>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</si>
  <si>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</si>
  <si>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</si>
  <si>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</si>
  <si>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</si>
  <si>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</si>
  <si>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</si>
  <si>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</si>
  <si>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</si>
  <si>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</si>
  <si>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</si>
  <si>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</si>
  <si>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</si>
  <si>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</si>
  <si>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</si>
  <si>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</si>
  <si>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</si>
  <si>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</si>
  <si>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</si>
  <si>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</si>
  <si>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</si>
  <si>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</si>
  <si>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</si>
  <si>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</si>
  <si>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</si>
  <si>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</si>
  <si>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</si>
  <si>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</si>
  <si>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</si>
  <si>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</si>
  <si>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</si>
  <si>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</si>
  <si>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</si>
  <si>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</si>
  <si>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</si>
  <si>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</si>
  <si>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</si>
  <si>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</si>
  <si>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</si>
  <si>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</si>
  <si>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</si>
  <si>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</si>
  <si>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</si>
  <si>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</si>
  <si>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</si>
  <si>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</si>
  <si>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</si>
  <si>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</si>
  <si>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</si>
  <si>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</si>
  <si>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</si>
  <si>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</si>
  <si>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</si>
  <si>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</si>
  <si>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</si>
  <si>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</si>
  <si>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</si>
  <si>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</si>
  <si>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</si>
  <si>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</si>
  <si>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</si>
  <si>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</si>
  <si>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</si>
  <si>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</si>
  <si>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</si>
  <si>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</si>
  <si>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</si>
  <si>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</si>
  <si>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</si>
  <si>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</si>
  <si>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</si>
  <si>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</si>
  <si>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</si>
  <si>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</si>
  <si>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</si>
  <si>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</si>
  <si>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</si>
  <si>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</si>
  <si>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</si>
  <si>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</si>
  <si>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</si>
  <si>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</si>
  <si>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</si>
  <si>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</si>
  <si>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</si>
  <si>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</si>
  <si>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</si>
  <si>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</si>
  <si>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</si>
  <si>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</si>
  <si>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</si>
  <si>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</si>
  <si>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</si>
  <si>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</si>
  <si>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</si>
  <si>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</si>
  <si>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Elm Creek Township</t>
  </si>
  <si>
    <t xml:space="preserve">Marshall County </t>
  </si>
  <si>
    <t>Fire</t>
  </si>
  <si>
    <t>Steve Gaydusek</t>
  </si>
  <si>
    <t>Treasurer</t>
  </si>
  <si>
    <t xml:space="preserve">Per Diem </t>
  </si>
  <si>
    <t>Repairs and Maintenance</t>
  </si>
  <si>
    <t>Machine Hire</t>
  </si>
  <si>
    <t>Fire Contract</t>
  </si>
  <si>
    <t>August 29, 2013</t>
  </si>
  <si>
    <t>7:00 p.m.</t>
  </si>
  <si>
    <t xml:space="preserve">1152 Pheasant Rd., Marysville,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</si>
</sst>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E31" sqref="E31"/>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Elm Creek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31" sqref="E31"/>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Elm Creek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3978566</v>
      </c>
      <c r="F27" s="556"/>
      <c r="G27" s="561">
        <f>summ!G37</f>
        <v>4300872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6">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Elm Creek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11729.97</v>
      </c>
      <c r="D6" s="387">
        <f>C51</f>
        <v>10356.839999999998</v>
      </c>
      <c r="E6" s="32">
        <f>D51</f>
        <v>6326.839999999998</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3589.38</v>
      </c>
      <c r="D14" s="29">
        <v>3840</v>
      </c>
      <c r="E14" s="32">
        <f>inputOth!E12</f>
        <v>2943.25</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3589.38</v>
      </c>
      <c r="D26" s="389">
        <f>SUM(D8:D24)</f>
        <v>3840</v>
      </c>
      <c r="E26" s="42">
        <f>SUM(E8:E24)</f>
        <v>2943.25</v>
      </c>
    </row>
    <row r="27" spans="2:5" ht="15.75">
      <c r="B27" s="43" t="s">
        <v>24</v>
      </c>
      <c r="C27" s="389">
        <f>C26+C6</f>
        <v>15319.349999999999</v>
      </c>
      <c r="D27" s="389">
        <f>D26+D6</f>
        <v>14196.839999999998</v>
      </c>
      <c r="E27" s="42">
        <f>E26+E6</f>
        <v>9270.089999999998</v>
      </c>
    </row>
    <row r="28" spans="2:5" ht="15.75">
      <c r="B28" s="27" t="s">
        <v>25</v>
      </c>
      <c r="C28" s="387"/>
      <c r="D28" s="387"/>
      <c r="E28" s="32"/>
    </row>
    <row r="29" spans="2:5" ht="15.75">
      <c r="B29" s="37" t="s">
        <v>946</v>
      </c>
      <c r="C29" s="29">
        <v>2264.8</v>
      </c>
      <c r="D29" s="29">
        <v>720</v>
      </c>
      <c r="E29" s="34">
        <v>2300</v>
      </c>
    </row>
    <row r="30" spans="2:5" ht="15.75">
      <c r="B30" s="38" t="s">
        <v>101</v>
      </c>
      <c r="C30" s="29"/>
      <c r="D30" s="29"/>
      <c r="E30" s="34"/>
    </row>
    <row r="31" spans="2:5" ht="15.75">
      <c r="B31" s="38" t="s">
        <v>125</v>
      </c>
      <c r="C31" s="29"/>
      <c r="D31" s="29">
        <v>400</v>
      </c>
      <c r="E31" s="34">
        <v>400</v>
      </c>
    </row>
    <row r="32" spans="2:5" ht="15.75">
      <c r="B32" s="38" t="s">
        <v>102</v>
      </c>
      <c r="C32" s="29">
        <v>683.9</v>
      </c>
      <c r="D32" s="29">
        <v>3000</v>
      </c>
      <c r="E32" s="34">
        <v>1000</v>
      </c>
    </row>
    <row r="33" spans="2:5" ht="15.75">
      <c r="B33" s="38" t="s">
        <v>36</v>
      </c>
      <c r="C33" s="29">
        <v>94.5</v>
      </c>
      <c r="D33" s="29">
        <v>500</v>
      </c>
      <c r="E33" s="34">
        <v>500</v>
      </c>
    </row>
    <row r="34" spans="2:5" ht="15.75">
      <c r="B34" s="37" t="s">
        <v>103</v>
      </c>
      <c r="C34" s="29">
        <v>814.31</v>
      </c>
      <c r="D34" s="29">
        <v>750</v>
      </c>
      <c r="E34" s="34">
        <v>1000</v>
      </c>
    </row>
    <row r="35" spans="2:5" ht="15.75">
      <c r="B35" s="37" t="s">
        <v>126</v>
      </c>
      <c r="C35" s="29"/>
      <c r="D35" s="29"/>
      <c r="E35" s="34"/>
    </row>
    <row r="36" spans="2:5" ht="15.75">
      <c r="B36" s="38" t="s">
        <v>128</v>
      </c>
      <c r="C36" s="29">
        <v>1105</v>
      </c>
      <c r="D36" s="29">
        <v>2500</v>
      </c>
      <c r="E36" s="34">
        <v>2500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4962.51</v>
      </c>
      <c r="D50" s="381">
        <f>SUM(D29:D48)</f>
        <v>7870</v>
      </c>
      <c r="E50" s="47">
        <f>SUM(E29:E43,E45,E47:E48)</f>
        <v>7700</v>
      </c>
      <c r="G50" s="484">
        <f>D51</f>
        <v>6326.839999999998</v>
      </c>
      <c r="H50" s="485" t="str">
        <f>CONCATENATE("",E1-1," Ending Cash Balance (est.)")</f>
        <v>2013 Ending Cash Balance (est.)</v>
      </c>
      <c r="I50" s="486"/>
      <c r="J50" s="257"/>
    </row>
    <row r="51" spans="2:10" ht="15.75">
      <c r="B51" s="27" t="s">
        <v>119</v>
      </c>
      <c r="C51" s="382">
        <f>C27-C50</f>
        <v>10356.839999999998</v>
      </c>
      <c r="D51" s="382">
        <f>SUM(D27-D50)</f>
        <v>6326.839999999998</v>
      </c>
      <c r="E51" s="33" t="s">
        <v>289</v>
      </c>
      <c r="G51" s="484">
        <f>E26</f>
        <v>2943.25</v>
      </c>
      <c r="H51" s="487" t="str">
        <f>CONCATENATE("",E1," Non-AV Receipts (est.)")</f>
        <v>2014 Non-AV Receipts (est.)</v>
      </c>
      <c r="I51" s="486"/>
      <c r="J51" s="257"/>
    </row>
    <row r="52" spans="2:11" ht="15.75">
      <c r="B52" s="48" t="str">
        <f>CONCATENATE("",E1-2,"/",E1-1," Budget Authority Amount:")</f>
        <v>2012/2013 Budget Authority Amount:</v>
      </c>
      <c r="C52" s="132">
        <f>inputOth!B46</f>
        <v>7870</v>
      </c>
      <c r="D52" s="161">
        <f>inputPrYr!D16</f>
        <v>7870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9270.089999999998</v>
      </c>
      <c r="H53" s="487" t="str">
        <f>CONCATENATE("Total ",E1," Resources Available")</f>
        <v>Total 2014 Resources Available</v>
      </c>
      <c r="I53" s="486"/>
      <c r="J53" s="257"/>
    </row>
    <row r="54" spans="2:10" ht="15.75">
      <c r="B54" s="395" t="str">
        <f>CONCATENATE(C72,"     ",D72)</f>
        <v>     </v>
      </c>
      <c r="C54" s="803" t="s">
        <v>623</v>
      </c>
      <c r="D54" s="804"/>
      <c r="E54" s="32">
        <f>E50+E53</f>
        <v>7700</v>
      </c>
      <c r="G54" s="489"/>
      <c r="H54" s="487"/>
      <c r="I54" s="487"/>
      <c r="J54" s="257"/>
    </row>
    <row r="55" spans="2:10" ht="15.75">
      <c r="B55" s="395" t="str">
        <f>CONCATENATE(C73,"     ",D73)</f>
        <v>     </v>
      </c>
      <c r="C55" s="60"/>
      <c r="D55" s="52" t="s">
        <v>28</v>
      </c>
      <c r="E55" s="46">
        <f>IF(E54-E27&gt;0,E54-E27,0)</f>
        <v>0</v>
      </c>
      <c r="G55" s="488">
        <f>ROUND(C50*0.05+C50,0)</f>
        <v>5211</v>
      </c>
      <c r="H55" s="487" t="str">
        <f>CONCATENATE("Less ",E1-2," Expenditures + 5%")</f>
        <v>Less 2012 Expenditures + 5%</v>
      </c>
      <c r="I55" s="486"/>
      <c r="J55" s="257"/>
    </row>
    <row r="56" spans="2:10" ht="15.75">
      <c r="B56" s="52"/>
      <c r="C56" s="399" t="s">
        <v>624</v>
      </c>
      <c r="D56" s="689">
        <f>inputOth!$E$40</f>
        <v>0</v>
      </c>
      <c r="E56" s="32">
        <f>ROUND(IF(D56&gt;0,(E55*D56),0),0)</f>
        <v>0</v>
      </c>
      <c r="G56" s="490">
        <f>G53-G55</f>
        <v>4059.0899999999983</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17.104</v>
      </c>
      <c r="H62" s="485" t="str">
        <f>CONCATENATE("Total ",E1," Mill Rate")</f>
        <v>Total 2014 Mill Rate</v>
      </c>
      <c r="I62" s="691"/>
      <c r="J62" s="703"/>
    </row>
    <row r="63" spans="2:10" ht="15.75">
      <c r="B63" s="12"/>
      <c r="G63" s="705">
        <f>summ!F32</f>
        <v>17.269</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E31" sqref="E31"/>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Elm Creek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17.104</v>
      </c>
      <c r="H45" s="632" t="str">
        <f>CONCATENATE("Total ",E1," Mill Rate")</f>
        <v>Total 2014 Mill Rate</v>
      </c>
      <c r="I45" s="656"/>
      <c r="J45" s="657"/>
    </row>
    <row r="46" spans="2:10" ht="15.75">
      <c r="B46" s="594" t="s">
        <v>144</v>
      </c>
      <c r="C46" s="599">
        <v>0</v>
      </c>
      <c r="D46" s="596">
        <f>C74</f>
        <v>0</v>
      </c>
      <c r="E46" s="597">
        <f>D74</f>
        <v>0</v>
      </c>
      <c r="F46" s="635"/>
      <c r="G46" s="659">
        <f>summ!F32</f>
        <v>17.269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17.104</v>
      </c>
      <c r="H85" s="632" t="str">
        <f>CONCATENATE("Total ",E1," Mill Rate")</f>
        <v>Total 2014 Mill Rate</v>
      </c>
      <c r="I85" s="656"/>
      <c r="J85" s="657"/>
    </row>
    <row r="86" spans="7:10" ht="15.75">
      <c r="G86" s="659">
        <f>summ!F32</f>
        <v>17.269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4">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65.11</v>
      </c>
      <c r="D6" s="387">
        <f>C44</f>
        <v>9661.691999999995</v>
      </c>
      <c r="E6" s="32">
        <f>D44</f>
        <v>9633.691999999995</v>
      </c>
    </row>
    <row r="7" spans="2:5" ht="15.75">
      <c r="B7" s="27" t="s">
        <v>120</v>
      </c>
      <c r="C7" s="387"/>
      <c r="D7" s="387"/>
      <c r="E7" s="33"/>
    </row>
    <row r="8" spans="2:5" ht="15.75">
      <c r="B8" s="27" t="s">
        <v>16</v>
      </c>
      <c r="C8" s="29">
        <v>47339.17</v>
      </c>
      <c r="D8" s="387">
        <f>IF(inputPrYr!H15&gt;0,inputPrYr!G19,inputPrYr!E19)</f>
        <v>54781</v>
      </c>
      <c r="E8" s="33" t="s">
        <v>289</v>
      </c>
    </row>
    <row r="9" spans="2:5" ht="15.75">
      <c r="B9" s="27" t="s">
        <v>17</v>
      </c>
      <c r="C9" s="29">
        <v>431.11</v>
      </c>
      <c r="D9" s="29"/>
      <c r="E9" s="34"/>
    </row>
    <row r="10" spans="2:5" ht="15.75">
      <c r="B10" s="27" t="s">
        <v>18</v>
      </c>
      <c r="C10" s="29">
        <v>4416.29</v>
      </c>
      <c r="D10" s="29">
        <v>3639</v>
      </c>
      <c r="E10" s="32">
        <f>mvalloc!G14</f>
        <v>4040</v>
      </c>
    </row>
    <row r="11" spans="2:5" ht="15.75">
      <c r="B11" s="27" t="s">
        <v>19</v>
      </c>
      <c r="C11" s="29">
        <v>62.55</v>
      </c>
      <c r="D11" s="29">
        <v>58</v>
      </c>
      <c r="E11" s="32">
        <f>mvalloc!I14</f>
        <v>60</v>
      </c>
    </row>
    <row r="12" spans="2:5" ht="15.75">
      <c r="B12" s="27" t="s">
        <v>99</v>
      </c>
      <c r="C12" s="29">
        <v>1056.74</v>
      </c>
      <c r="D12" s="29">
        <v>1184</v>
      </c>
      <c r="E12" s="32">
        <f>mvalloc!J14</f>
        <v>845</v>
      </c>
    </row>
    <row r="13" spans="2:5" ht="15.75">
      <c r="B13" s="27" t="s">
        <v>100</v>
      </c>
      <c r="C13" s="29">
        <v>1568</v>
      </c>
      <c r="D13" s="29">
        <v>1100</v>
      </c>
      <c r="E13" s="32">
        <f>inputOth!E36</f>
        <v>1100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54873.86</v>
      </c>
      <c r="D23" s="389">
        <f>SUM(D8:D21)</f>
        <v>60762</v>
      </c>
      <c r="E23" s="42">
        <f>SUM(E8:E21)</f>
        <v>6045</v>
      </c>
    </row>
    <row r="24" spans="2:5" ht="15.75">
      <c r="B24" s="43" t="s">
        <v>24</v>
      </c>
      <c r="C24" s="389">
        <f>C23+C6</f>
        <v>54938.97</v>
      </c>
      <c r="D24" s="389">
        <f>D23+D6</f>
        <v>70423.692</v>
      </c>
      <c r="E24" s="42">
        <f>E23+E6</f>
        <v>15678.691999999995</v>
      </c>
    </row>
    <row r="25" spans="2:5" ht="15.75">
      <c r="B25" s="27" t="s">
        <v>25</v>
      </c>
      <c r="C25" s="387"/>
      <c r="D25" s="387"/>
      <c r="E25" s="32"/>
    </row>
    <row r="26" spans="2:5" ht="15.75">
      <c r="B26" s="38" t="s">
        <v>946</v>
      </c>
      <c r="C26" s="29">
        <v>250</v>
      </c>
      <c r="D26" s="29">
        <v>1700</v>
      </c>
      <c r="E26" s="34">
        <v>2000</v>
      </c>
    </row>
    <row r="27" spans="2:5" ht="15.75">
      <c r="B27" s="38" t="s">
        <v>125</v>
      </c>
      <c r="C27" s="29">
        <v>1345</v>
      </c>
      <c r="D27" s="29">
        <v>1500</v>
      </c>
      <c r="E27" s="34">
        <v>2000</v>
      </c>
    </row>
    <row r="28" spans="2:5" ht="15.75">
      <c r="B28" s="37" t="s">
        <v>102</v>
      </c>
      <c r="C28" s="29"/>
      <c r="D28" s="29">
        <v>4500</v>
      </c>
      <c r="E28" s="34">
        <v>8000</v>
      </c>
    </row>
    <row r="29" spans="2:5" ht="15.75">
      <c r="B29" s="38" t="s">
        <v>127</v>
      </c>
      <c r="C29" s="29">
        <v>377</v>
      </c>
      <c r="D29" s="29">
        <v>6000</v>
      </c>
      <c r="E29" s="34">
        <v>6000</v>
      </c>
    </row>
    <row r="30" spans="2:5" ht="15.75">
      <c r="B30" s="38" t="s">
        <v>105</v>
      </c>
      <c r="C30" s="29">
        <v>18424.378</v>
      </c>
      <c r="D30" s="29">
        <v>28000</v>
      </c>
      <c r="E30" s="34">
        <v>30000</v>
      </c>
    </row>
    <row r="31" spans="2:5" ht="15.75">
      <c r="B31" s="38" t="s">
        <v>103</v>
      </c>
      <c r="C31" s="29">
        <v>5103.2</v>
      </c>
      <c r="D31" s="29">
        <v>5500</v>
      </c>
      <c r="E31" s="34">
        <v>11000</v>
      </c>
    </row>
    <row r="32" spans="2:5" ht="15.75">
      <c r="B32" s="38" t="s">
        <v>947</v>
      </c>
      <c r="C32" s="29">
        <v>2485.06</v>
      </c>
      <c r="D32" s="29">
        <v>5500</v>
      </c>
      <c r="E32" s="34">
        <v>5500</v>
      </c>
    </row>
    <row r="33" spans="2:5" ht="15.75">
      <c r="B33" s="38" t="s">
        <v>948</v>
      </c>
      <c r="C33" s="29">
        <v>3805.39</v>
      </c>
      <c r="D33" s="29">
        <v>7500</v>
      </c>
      <c r="E33" s="34">
        <v>9000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13487.25</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590</v>
      </c>
      <c r="E40" s="46">
        <f>nhood!E9</f>
        <v>688</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45277.278000000006</v>
      </c>
      <c r="D43" s="389">
        <f>SUM(D26:D38,D40:D41)</f>
        <v>60790</v>
      </c>
      <c r="E43" s="42">
        <f>SUM(E26:E38,E40:E41)</f>
        <v>74188</v>
      </c>
      <c r="G43" s="484">
        <f>D44</f>
        <v>9633.691999999995</v>
      </c>
      <c r="H43" s="485" t="str">
        <f>CONCATENATE("",E1-1," Ending Cash Balance (est.)")</f>
        <v>2013 Ending Cash Balance (est.)</v>
      </c>
      <c r="I43" s="486"/>
      <c r="J43" s="257"/>
    </row>
    <row r="44" spans="2:10" ht="15.75">
      <c r="B44" s="27" t="s">
        <v>119</v>
      </c>
      <c r="C44" s="382">
        <f>C24-C43</f>
        <v>9661.691999999995</v>
      </c>
      <c r="D44" s="382">
        <f>D24-D43</f>
        <v>9633.691999999995</v>
      </c>
      <c r="E44" s="33" t="s">
        <v>289</v>
      </c>
      <c r="G44" s="484">
        <f>E23</f>
        <v>6045</v>
      </c>
      <c r="H44" s="487" t="str">
        <f>CONCATENATE("",E1," Non-AV Receipts (est.)")</f>
        <v>2014 Non-AV Receipts (est.)</v>
      </c>
      <c r="I44" s="486"/>
      <c r="J44" s="257"/>
    </row>
    <row r="45" spans="2:11" ht="15.75">
      <c r="B45" s="48" t="str">
        <f>CONCATENATE("",E1-2,"/",E1-1," Budget Authority Amount:")</f>
        <v>2012/2013 Budget Authority Amount:</v>
      </c>
      <c r="C45" s="132">
        <f>inputOth!B49</f>
        <v>53949</v>
      </c>
      <c r="D45" s="161">
        <f>inputPrYr!D19</f>
        <v>60790</v>
      </c>
      <c r="E45" s="33" t="s">
        <v>289</v>
      </c>
      <c r="F45" s="50"/>
      <c r="G45" s="488">
        <f>IF(D49&gt;0,E48,E50)</f>
        <v>58509.308000000005</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74188</v>
      </c>
      <c r="H46" s="487" t="str">
        <f>CONCATENATE("Total ",E1," Resources Available")</f>
        <v>Total 2014 Resources Available</v>
      </c>
      <c r="I46" s="486"/>
      <c r="J46" s="257"/>
    </row>
    <row r="47" spans="2:10" ht="15.75">
      <c r="B47" s="395" t="str">
        <f>CONCATENATE(C74,"     ",D74)</f>
        <v>     </v>
      </c>
      <c r="C47" s="803" t="s">
        <v>623</v>
      </c>
      <c r="D47" s="804"/>
      <c r="E47" s="32">
        <f>E43+E46</f>
        <v>74188</v>
      </c>
      <c r="G47" s="489"/>
      <c r="H47" s="487"/>
      <c r="I47" s="487"/>
      <c r="J47" s="257"/>
    </row>
    <row r="48" spans="2:10" ht="15.75">
      <c r="B48" s="395" t="str">
        <f>CONCATENATE(C75,"     ",D75)</f>
        <v>     </v>
      </c>
      <c r="C48" s="60"/>
      <c r="D48" s="52" t="s">
        <v>28</v>
      </c>
      <c r="E48" s="46">
        <f>IF(E47-E24&gt;0,E47-E24,0)</f>
        <v>58509.308000000005</v>
      </c>
      <c r="G48" s="488">
        <f>ROUND(C43*0.05+C43,0)</f>
        <v>47541</v>
      </c>
      <c r="H48" s="487" t="str">
        <f>CONCATENATE("Less ",E1-2," Expenditures + 5%")</f>
        <v>Less 2012 Expenditures + 5%</v>
      </c>
      <c r="I48" s="486"/>
      <c r="J48" s="257"/>
    </row>
    <row r="49" spans="2:10" ht="15.75">
      <c r="B49" s="52"/>
      <c r="C49" s="399" t="s">
        <v>624</v>
      </c>
      <c r="D49" s="689">
        <f>inputOth!$E$40</f>
        <v>0</v>
      </c>
      <c r="E49" s="32">
        <f>ROUND(IF(D49&gt;0,(E48*D49),0),0)</f>
        <v>0</v>
      </c>
      <c r="G49" s="490">
        <f>G46-G48</f>
        <v>26647</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58509.308000000005</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13.604</v>
      </c>
      <c r="H53" s="485" t="str">
        <f>CONCATENATE("",E1," Fund Mill Rate")</f>
        <v>2014 Fund Mill Rate</v>
      </c>
      <c r="I53" s="691"/>
      <c r="J53" s="703"/>
    </row>
    <row r="54" spans="2:10" ht="15.75">
      <c r="B54" s="71" t="s">
        <v>31</v>
      </c>
      <c r="C54" s="400" t="str">
        <f>CONCATENATE("",E1-2," Actual Year")</f>
        <v>2012 Actual Year</v>
      </c>
      <c r="D54" s="14"/>
      <c r="E54" s="14"/>
      <c r="G54" s="705">
        <f>summ!F21</f>
        <v>13.769</v>
      </c>
      <c r="H54" s="485" t="str">
        <f>CONCATENATE("",E1-1," Fund Mill Rate")</f>
        <v>2013 Fund Mill Rate</v>
      </c>
      <c r="I54" s="691"/>
      <c r="J54" s="703"/>
    </row>
    <row r="55" spans="2:10" ht="15.75">
      <c r="B55" s="72" t="s">
        <v>14</v>
      </c>
      <c r="C55" s="130">
        <v>5725.02</v>
      </c>
      <c r="D55" s="14"/>
      <c r="E55" s="14"/>
      <c r="G55" s="706">
        <f>summ!I32</f>
        <v>17.104</v>
      </c>
      <c r="H55" s="485" t="str">
        <f>CONCATENATE("Total ",E1," Mill Rate")</f>
        <v>Total 2014 Mill Rate</v>
      </c>
      <c r="I55" s="691"/>
      <c r="J55" s="703"/>
    </row>
    <row r="56" spans="2:10" ht="15.75">
      <c r="B56" s="72" t="s">
        <v>33</v>
      </c>
      <c r="C56" s="132"/>
      <c r="D56" s="14"/>
      <c r="E56" s="14"/>
      <c r="G56" s="705">
        <f>summ!F32</f>
        <v>17.269</v>
      </c>
      <c r="H56" s="707" t="str">
        <f>CONCATENATE("Total ",E1-1," Mill Rate")</f>
        <v>Total 2013 Mill Rate</v>
      </c>
      <c r="I56" s="708"/>
      <c r="J56" s="709"/>
    </row>
    <row r="57" spans="2:5" ht="15.75">
      <c r="B57" s="72" t="s">
        <v>34</v>
      </c>
      <c r="C57" s="398">
        <f>C38</f>
        <v>13487.25</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133.11</v>
      </c>
      <c r="D61" s="14"/>
      <c r="E61" s="14"/>
    </row>
    <row r="62" spans="2:5" ht="15.75">
      <c r="B62" s="76" t="s">
        <v>21</v>
      </c>
      <c r="C62" s="130"/>
      <c r="D62" s="14"/>
      <c r="E62" s="14"/>
    </row>
    <row r="63" spans="2:5" ht="15.75">
      <c r="B63" s="77" t="s">
        <v>24</v>
      </c>
      <c r="C63" s="132">
        <f>SUM(C55:C62)</f>
        <v>19345.38</v>
      </c>
      <c r="D63" s="14"/>
      <c r="E63" s="14"/>
    </row>
    <row r="64" spans="2:5" ht="15.75">
      <c r="B64" s="77" t="s">
        <v>26</v>
      </c>
      <c r="C64" s="130"/>
      <c r="D64" s="14"/>
      <c r="E64" s="14"/>
    </row>
    <row r="65" spans="2:5" ht="15.75">
      <c r="B65" s="77" t="s">
        <v>27</v>
      </c>
      <c r="C65" s="397">
        <f>SUM(C63-C64)</f>
        <v>19345.38</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6">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Fire</v>
      </c>
      <c r="C5" s="386" t="str">
        <f>gen!C5</f>
        <v>Actual for 2012</v>
      </c>
      <c r="D5" s="386" t="str">
        <f>gen!D5</f>
        <v>Estimate for 2013</v>
      </c>
      <c r="E5" s="26" t="str">
        <f>gen!E5</f>
        <v>Year for 2014</v>
      </c>
    </row>
    <row r="6" spans="2:5" ht="15.75">
      <c r="B6" s="27" t="s">
        <v>118</v>
      </c>
      <c r="C6" s="29">
        <v>6024.73</v>
      </c>
      <c r="D6" s="387">
        <f>C34</f>
        <v>7654.629999999999</v>
      </c>
      <c r="E6" s="32">
        <f>D34</f>
        <v>3375.6299999999974</v>
      </c>
    </row>
    <row r="7" spans="2:5" ht="15.75">
      <c r="B7" s="27" t="s">
        <v>120</v>
      </c>
      <c r="C7" s="387"/>
      <c r="D7" s="387"/>
      <c r="E7" s="33"/>
    </row>
    <row r="8" spans="2:5" ht="15.75">
      <c r="B8" s="27" t="s">
        <v>16</v>
      </c>
      <c r="C8" s="29">
        <v>12052.6</v>
      </c>
      <c r="D8" s="387">
        <f>IF(inputPrYr!H15&gt;0,inputPrYr!G20,inputPrYr!E20)</f>
        <v>13920</v>
      </c>
      <c r="E8" s="33" t="s">
        <v>289</v>
      </c>
    </row>
    <row r="9" spans="2:5" ht="15.75">
      <c r="B9" s="27" t="s">
        <v>17</v>
      </c>
      <c r="C9" s="29">
        <v>13.36</v>
      </c>
      <c r="D9" s="29"/>
      <c r="E9" s="34"/>
    </row>
    <row r="10" spans="2:5" ht="15.75">
      <c r="B10" s="27" t="s">
        <v>18</v>
      </c>
      <c r="C10" s="29">
        <v>1393</v>
      </c>
      <c r="D10" s="29">
        <v>925</v>
      </c>
      <c r="E10" s="32">
        <f>mvalloc!G15</f>
        <v>1027</v>
      </c>
    </row>
    <row r="11" spans="2:5" ht="15.75">
      <c r="B11" s="27" t="s">
        <v>19</v>
      </c>
      <c r="C11" s="29">
        <v>19.74</v>
      </c>
      <c r="D11" s="29">
        <v>15</v>
      </c>
      <c r="E11" s="32">
        <f>mvalloc!I15</f>
        <v>15</v>
      </c>
    </row>
    <row r="12" spans="2:5" ht="15.75">
      <c r="B12" s="35" t="s">
        <v>69</v>
      </c>
      <c r="C12" s="29">
        <v>331.3</v>
      </c>
      <c r="D12" s="29">
        <v>301</v>
      </c>
      <c r="E12" s="32">
        <f>mvalloc!J15</f>
        <v>215</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13810</v>
      </c>
      <c r="D20" s="389">
        <f>SUM(D8:D18)</f>
        <v>15161</v>
      </c>
      <c r="E20" s="42">
        <f>SUM(E8:E18)</f>
        <v>1257</v>
      </c>
    </row>
    <row r="21" spans="2:5" ht="15.75">
      <c r="B21" s="43" t="s">
        <v>24</v>
      </c>
      <c r="C21" s="389">
        <f>C20+C6</f>
        <v>19834.73</v>
      </c>
      <c r="D21" s="389">
        <f>D20+D6</f>
        <v>22815.629999999997</v>
      </c>
      <c r="E21" s="42">
        <f>E20+E6</f>
        <v>4632.629999999997</v>
      </c>
    </row>
    <row r="22" spans="2:5" ht="15.75">
      <c r="B22" s="27" t="s">
        <v>25</v>
      </c>
      <c r="C22" s="387"/>
      <c r="D22" s="387"/>
      <c r="E22" s="32"/>
    </row>
    <row r="23" spans="2:5" ht="15.75">
      <c r="B23" s="38" t="s">
        <v>949</v>
      </c>
      <c r="C23" s="29">
        <v>12180.1</v>
      </c>
      <c r="D23" s="29">
        <v>19290</v>
      </c>
      <c r="E23" s="34">
        <v>19508</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v>150</v>
      </c>
      <c r="E30" s="46">
        <f>nhood!E10</f>
        <v>177</v>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12180.1</v>
      </c>
      <c r="D33" s="389">
        <f>SUM(D23:D31)</f>
        <v>19440</v>
      </c>
      <c r="E33" s="42">
        <f>SUM(E23:E31)</f>
        <v>19685</v>
      </c>
      <c r="G33" s="631">
        <f>D34</f>
        <v>3375.6299999999974</v>
      </c>
      <c r="H33" s="632" t="str">
        <f>CONCATENATE("",E1-1," Ending Cash Balance (est.)")</f>
        <v>2013 Ending Cash Balance (est.)</v>
      </c>
      <c r="I33" s="633"/>
      <c r="J33" s="628"/>
      <c r="K33" s="582"/>
    </row>
    <row r="34" spans="2:11" ht="15.75">
      <c r="B34" s="27" t="s">
        <v>119</v>
      </c>
      <c r="C34" s="382">
        <f>C21-C33</f>
        <v>7654.629999999999</v>
      </c>
      <c r="D34" s="382">
        <f>D21-D33</f>
        <v>3375.6299999999974</v>
      </c>
      <c r="E34" s="33" t="s">
        <v>289</v>
      </c>
      <c r="G34" s="631">
        <f>E20</f>
        <v>1257</v>
      </c>
      <c r="H34" s="615" t="str">
        <f>CONCATENATE("",E1," Non-AV Receipts (est.)")</f>
        <v>2014 Non-AV Receipts (est.)</v>
      </c>
      <c r="I34" s="633"/>
      <c r="J34" s="628"/>
      <c r="K34" s="582"/>
    </row>
    <row r="35" spans="2:11" ht="15.75">
      <c r="B35" s="48" t="str">
        <f>CONCATENATE("",E1-2,"/",E1-1," Budget Authority Amount:")</f>
        <v>2012/2013 Budget Authority Amount:</v>
      </c>
      <c r="C35" s="132">
        <f>inputOth!B50</f>
        <v>15356</v>
      </c>
      <c r="D35" s="161">
        <f>inputPrYr!D20</f>
        <v>19440</v>
      </c>
      <c r="E35" s="33" t="s">
        <v>289</v>
      </c>
      <c r="F35" s="50"/>
      <c r="G35" s="640">
        <f>IF(E39&gt;0,E38,E40)</f>
        <v>15052.370000000003</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19685</v>
      </c>
      <c r="H36" s="615" t="str">
        <f>CONCATENATE("Total ",E1," Resources Available")</f>
        <v>Total 2014 Resources Available</v>
      </c>
      <c r="I36" s="633"/>
      <c r="J36" s="628"/>
      <c r="K36" s="582"/>
    </row>
    <row r="37" spans="2:11" ht="15.75">
      <c r="B37" s="395" t="str">
        <f>CONCATENATE(C92,"     ",D92)</f>
        <v>     </v>
      </c>
      <c r="C37" s="803" t="s">
        <v>623</v>
      </c>
      <c r="D37" s="804"/>
      <c r="E37" s="32">
        <f>E33+E36</f>
        <v>19685</v>
      </c>
      <c r="G37" s="644"/>
      <c r="H37" s="615"/>
      <c r="I37" s="615"/>
      <c r="J37" s="628"/>
      <c r="K37" s="582"/>
    </row>
    <row r="38" spans="2:11" ht="15.75">
      <c r="B38" s="395" t="str">
        <f>CONCATENATE(C93,"     ",D93)</f>
        <v>     </v>
      </c>
      <c r="C38" s="60"/>
      <c r="D38" s="52" t="s">
        <v>28</v>
      </c>
      <c r="E38" s="46">
        <f>IF(E37-E21&gt;0,E37-E21,0)</f>
        <v>15052.370000000003</v>
      </c>
      <c r="G38" s="640">
        <f>C33*0.05+C33</f>
        <v>12789.105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6895.895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15052.370000000003</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3.5</v>
      </c>
      <c r="H43" s="632" t="str">
        <f>CONCATENATE("",E1," Fund Mill Rate")</f>
        <v>2014 Fund Mill Rate</v>
      </c>
      <c r="I43" s="656"/>
      <c r="J43" s="657"/>
      <c r="K43" s="582"/>
    </row>
    <row r="44" spans="2:11" ht="15.75">
      <c r="B44" s="14"/>
      <c r="C44" s="385" t="s">
        <v>11</v>
      </c>
      <c r="D44" s="388" t="s">
        <v>12</v>
      </c>
      <c r="E44" s="23" t="s">
        <v>13</v>
      </c>
      <c r="G44" s="659">
        <f>summ!F22</f>
        <v>3.5</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17.104</v>
      </c>
      <c r="H45" s="632" t="str">
        <f>CONCATENATE("Total ",E1," Mill Rate")</f>
        <v>Total 2014 Mill Rate</v>
      </c>
      <c r="I45" s="656"/>
      <c r="J45" s="657"/>
      <c r="K45" s="582"/>
    </row>
    <row r="46" spans="2:11" ht="15.75">
      <c r="B46" s="27" t="s">
        <v>118</v>
      </c>
      <c r="C46" s="29"/>
      <c r="D46" s="387">
        <f>C74</f>
        <v>0</v>
      </c>
      <c r="E46" s="32">
        <f>D74</f>
        <v>0</v>
      </c>
      <c r="G46" s="659">
        <f>summ!F32</f>
        <v>17.269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8</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17.104</v>
      </c>
      <c r="H85" s="632" t="str">
        <f>CONCATENATE("Total ",E1," Mill Rate")</f>
        <v>Total 2014 Mill Rate</v>
      </c>
      <c r="I85" s="656"/>
      <c r="J85" s="657"/>
      <c r="K85" s="582"/>
    </row>
    <row r="86" spans="7:11" ht="15.75">
      <c r="G86" s="659">
        <f>summ!F32</f>
        <v>17.269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17.104</v>
      </c>
      <c r="H45" s="632" t="str">
        <f>CONCATENATE("Total ",E1," Mill Rate")</f>
        <v>Total 2014 Mill Rate</v>
      </c>
      <c r="I45" s="656"/>
      <c r="J45" s="657"/>
      <c r="K45" s="582"/>
    </row>
    <row r="46" spans="2:11" ht="15.75">
      <c r="B46" s="27" t="s">
        <v>118</v>
      </c>
      <c r="C46" s="29"/>
      <c r="D46" s="387">
        <f>C74</f>
        <v>0</v>
      </c>
      <c r="E46" s="32">
        <f>D74</f>
        <v>0</v>
      </c>
      <c r="G46" s="659">
        <f>summ!F32</f>
        <v>17.269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17.104</v>
      </c>
      <c r="H85" s="632" t="str">
        <f>CONCATENATE("Total ",E1," Mill Rate")</f>
        <v>Total 2014 Mill Rate</v>
      </c>
      <c r="I85" s="656"/>
      <c r="J85" s="657"/>
      <c r="K85" s="582"/>
    </row>
    <row r="86" spans="7:11" ht="15.75">
      <c r="G86" s="659">
        <f>summ!F32</f>
        <v>17.269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17.104</v>
      </c>
      <c r="H45" s="632" t="str">
        <f>CONCATENATE("Total ",E1," Mill Rate")</f>
        <v>Total 2014 Mill Rate</v>
      </c>
      <c r="I45" s="656"/>
      <c r="J45" s="657"/>
      <c r="K45" s="582"/>
    </row>
    <row r="46" spans="2:11" ht="15.75">
      <c r="B46" s="27" t="s">
        <v>118</v>
      </c>
      <c r="C46" s="29"/>
      <c r="D46" s="387">
        <f>C74</f>
        <v>0</v>
      </c>
      <c r="E46" s="32">
        <f>D74</f>
        <v>0</v>
      </c>
      <c r="G46" s="659">
        <f>summ!F32</f>
        <v>17.269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17.104</v>
      </c>
      <c r="H85" s="632" t="str">
        <f>CONCATENATE("Total ",E1," Mill Rate")</f>
        <v>Total 2014 Mill Rate</v>
      </c>
      <c r="I85" s="656"/>
      <c r="J85" s="657"/>
      <c r="K85" s="582"/>
    </row>
    <row r="86" spans="7:11" ht="15.75">
      <c r="G86" s="659">
        <f>summ!F32</f>
        <v>17.269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31" sqref="E31"/>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Elm Creek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31" sqref="E31"/>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Elm Creek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7870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60790</v>
      </c>
      <c r="E19" s="187">
        <v>54781</v>
      </c>
      <c r="G19" s="32">
        <f>IF(H15&gt;0,ROUND(E19-(E19*H15),0),0)</f>
        <v>0</v>
      </c>
    </row>
    <row r="20" spans="1:7" ht="15.75">
      <c r="A20" s="14"/>
      <c r="B20" s="379" t="s">
        <v>943</v>
      </c>
      <c r="C20" s="380" t="s">
        <v>273</v>
      </c>
      <c r="D20" s="187">
        <v>19440</v>
      </c>
      <c r="E20" s="187">
        <v>13920</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68701</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88100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13.747</v>
      </c>
      <c r="E45" s="14"/>
    </row>
    <row r="46" spans="1:5" ht="15.75">
      <c r="A46" s="14"/>
      <c r="B46" s="72" t="str">
        <f t="shared" si="0"/>
        <v>Fire</v>
      </c>
      <c r="C46" s="14"/>
      <c r="D46" s="322">
        <v>3.5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17.247</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60006</v>
      </c>
    </row>
    <row r="55" spans="1:5" ht="15.75">
      <c r="A55" s="327" t="str">
        <f>CONCATENATE("Assessed Valuation (",D5-2," budget column)")</f>
        <v>Assessed Valuation (2012 budget column)</v>
      </c>
      <c r="B55" s="328"/>
      <c r="C55" s="267"/>
      <c r="D55" s="28"/>
      <c r="E55" s="187">
        <v>3480028</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E31" sqref="E31"/>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E31" sqref="E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Elm Creek Township</v>
      </c>
      <c r="C5" s="773"/>
      <c r="D5" s="773"/>
      <c r="E5" s="773"/>
      <c r="F5" s="773"/>
      <c r="G5" s="773"/>
      <c r="H5" s="773"/>
      <c r="I5" s="773"/>
    </row>
    <row r="6" spans="2:9" ht="15.75">
      <c r="B6" s="773" t="str">
        <f>inputPrYr!D3</f>
        <v>Marshall County </v>
      </c>
      <c r="C6" s="773"/>
      <c r="D6" s="773"/>
      <c r="E6" s="773"/>
      <c r="F6" s="773"/>
      <c r="G6" s="773"/>
      <c r="H6" s="773"/>
      <c r="I6" s="773"/>
    </row>
    <row r="7" spans="2:9" ht="15.75">
      <c r="B7" s="764" t="str">
        <f>CONCATENATE("will meet on ",inputBudSum!B8," at ",inputBudSum!B10," at ",inputBudSum!B12," for the purpose of hearing and")</f>
        <v>will meet on August 29, 2013 at 7:00 p.m. at 1152 Pheasant Rd., Marysville,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1152 Pheasant Rd., Marysville,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4962.51</v>
      </c>
      <c r="D18" s="524" t="str">
        <f>IF(inputPrYr!D42&gt;0,inputPrYr!D42,"  ")</f>
        <v>  </v>
      </c>
      <c r="E18" s="32">
        <f>IF(gen!$D$50&lt;&gt;0,gen!$D$50,"  ")</f>
        <v>7870</v>
      </c>
      <c r="F18" s="235" t="str">
        <f>IF(inputOth!D17&gt;0,inputOth!D17,"  ")</f>
        <v>  </v>
      </c>
      <c r="G18" s="32">
        <f>IF(gen!$E$50&lt;&gt;0,gen!$E$50,"  ")</f>
        <v>7700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45277.278000000006</v>
      </c>
      <c r="D21" s="524">
        <f>IF(inputPrYr!D45&gt;0,inputPrYr!D45,"  ")</f>
        <v>13.747</v>
      </c>
      <c r="E21" s="32">
        <f>IF(road!$D$43&lt;&gt;0,road!$D$43,"  ")</f>
        <v>60790</v>
      </c>
      <c r="F21" s="235">
        <f>IF(inputOth!D20&gt;0,inputOth!D20,"  ")</f>
        <v>13.769</v>
      </c>
      <c r="G21" s="32">
        <f>IF(road!$E$43&lt;&gt;0,road!$E$43,"  ")</f>
        <v>74188</v>
      </c>
      <c r="H21" s="32">
        <f>IF(road!$E$50&lt;&gt;0,road!$E$50,"  ")</f>
        <v>58509.308000000005</v>
      </c>
      <c r="I21" s="526">
        <f>IF(road!E50&gt;0,ROUND(H21/$G$37*1000,3)," ")</f>
        <v>13.604</v>
      </c>
      <c r="K21" s="833" t="str">
        <f>CONCATENATE("Estimated Value Of One Mill For ",I1,"")</f>
        <v>Estimated Value Of One Mill For 2014</v>
      </c>
      <c r="L21" s="838"/>
      <c r="M21" s="838"/>
      <c r="N21" s="839"/>
    </row>
    <row r="22" spans="2:14" ht="15.75">
      <c r="B22" s="85" t="str">
        <f>IF(inputPrYr!$B20&gt;"  ",inputPrYr!$B20,"  ")</f>
        <v>Fire</v>
      </c>
      <c r="C22" s="32">
        <f>IF(levypage9!$C$33&lt;&gt;0,levypage9!$C$33,"  ")</f>
        <v>12180.1</v>
      </c>
      <c r="D22" s="524">
        <f>IF(inputPrYr!D46&gt;0,inputPrYr!D46,"  ")</f>
        <v>3.5</v>
      </c>
      <c r="E22" s="32">
        <f>IF(levypage9!$D$33&lt;&gt;0,levypage9!$D$33,"  ")</f>
        <v>19440</v>
      </c>
      <c r="F22" s="235">
        <f>IF(inputOth!D21&gt;0,inputOth!D21,"  ")</f>
        <v>3.5</v>
      </c>
      <c r="G22" s="32">
        <f>IF(levypage9!$E$33&lt;&gt;0,levypage9!$E$33,"  ")</f>
        <v>19685</v>
      </c>
      <c r="H22" s="32">
        <f>IF(levypage9!$E$40&lt;&gt;0,levypage9!$E$40,"  ")</f>
        <v>15052.370000000003</v>
      </c>
      <c r="I22" s="526">
        <f>IF(levypage9!E40&gt;0,ROUND(H22/$G$37*1000,3)," ")</f>
        <v>3.5</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4301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17.269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710.3219999999856</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62419.888000000006</v>
      </c>
      <c r="D32" s="478">
        <f t="shared" si="0"/>
        <v>17.247</v>
      </c>
      <c r="E32" s="527">
        <f t="shared" si="0"/>
        <v>88100</v>
      </c>
      <c r="F32" s="478">
        <f t="shared" si="0"/>
        <v>17.269</v>
      </c>
      <c r="G32" s="527">
        <f t="shared" si="0"/>
        <v>101573</v>
      </c>
      <c r="H32" s="527">
        <f t="shared" si="0"/>
        <v>73561.67800000001</v>
      </c>
      <c r="I32" s="530">
        <f t="shared" si="0"/>
        <v>17.104</v>
      </c>
      <c r="K32" s="833" t="str">
        <f>CONCATENATE("Impact On Keeping The Same Mill Rate As For ",I1-1,"")</f>
        <v>Impact On Keeping The Same Mill Rate As For 2013</v>
      </c>
      <c r="L32" s="834"/>
      <c r="M32" s="834"/>
      <c r="N32" s="835"/>
    </row>
    <row r="33" spans="2:14" ht="15.75">
      <c r="B33" s="274" t="s">
        <v>44</v>
      </c>
      <c r="C33" s="32">
        <f>transfer!C29</f>
        <v>13487.25</v>
      </c>
      <c r="D33" s="14"/>
      <c r="E33" s="32">
        <f>transfer!D29</f>
        <v>0</v>
      </c>
      <c r="F33" s="61"/>
      <c r="G33" s="32">
        <f>transfer!E29</f>
        <v>0</v>
      </c>
      <c r="H33" s="14"/>
      <c r="I33" s="14"/>
      <c r="K33" s="507"/>
      <c r="L33" s="501"/>
      <c r="M33" s="501"/>
      <c r="N33" s="508"/>
    </row>
    <row r="34" spans="2:14" ht="16.5" thickBot="1">
      <c r="B34" s="274" t="s">
        <v>45</v>
      </c>
      <c r="C34" s="528">
        <f>C32-C33</f>
        <v>48932.638000000006</v>
      </c>
      <c r="D34" s="14"/>
      <c r="E34" s="528">
        <f>E32-E33</f>
        <v>88100</v>
      </c>
      <c r="F34" s="14"/>
      <c r="G34" s="528">
        <f>G32-G33</f>
        <v>101573</v>
      </c>
      <c r="H34" s="14"/>
      <c r="I34" s="14"/>
      <c r="K34" s="507" t="str">
        <f>CONCATENATE("",I1," Ad Valorem Tax Revenue:")</f>
        <v>2014 Ad Valorem Tax Revenue:</v>
      </c>
      <c r="L34" s="501"/>
      <c r="M34" s="501"/>
      <c r="N34" s="502">
        <f>H32</f>
        <v>73561.67800000001</v>
      </c>
    </row>
    <row r="35" spans="2:14" ht="16.5" thickTop="1">
      <c r="B35" s="274" t="s">
        <v>46</v>
      </c>
      <c r="C35" s="529">
        <f>inputPrYr!E54</f>
        <v>60006</v>
      </c>
      <c r="D35" s="61"/>
      <c r="E35" s="529">
        <f>inputPrYr!E26</f>
        <v>68701</v>
      </c>
      <c r="F35" s="14"/>
      <c r="G35" s="520" t="s">
        <v>289</v>
      </c>
      <c r="H35" s="14"/>
      <c r="I35" s="14"/>
      <c r="K35" s="507" t="str">
        <f>CONCATENATE("",I1-1," Ad Valorem Tax Revenue:")</f>
        <v>2013 Ad Valorem Tax Revenue:</v>
      </c>
      <c r="L35" s="501"/>
      <c r="M35" s="501"/>
      <c r="N35" s="515">
        <f>ROUND(G37*N27/1000,0)</f>
        <v>74272</v>
      </c>
    </row>
    <row r="36" spans="2:14" ht="15.75">
      <c r="B36" s="274" t="s">
        <v>47</v>
      </c>
      <c r="C36" s="55"/>
      <c r="D36" s="61"/>
      <c r="E36" s="55"/>
      <c r="F36" s="61"/>
      <c r="G36" s="14"/>
      <c r="H36" s="14"/>
      <c r="I36" s="14"/>
      <c r="K36" s="512" t="s">
        <v>717</v>
      </c>
      <c r="L36" s="513"/>
      <c r="M36" s="513"/>
      <c r="N36" s="505">
        <f>N34-N35</f>
        <v>-710.3219999999856</v>
      </c>
    </row>
    <row r="37" spans="2:14" ht="15.75">
      <c r="B37" s="274" t="s">
        <v>48</v>
      </c>
      <c r="C37" s="32">
        <f>inputPrYr!E55</f>
        <v>3480028</v>
      </c>
      <c r="D37" s="14"/>
      <c r="E37" s="32">
        <f>inputOth!E29</f>
        <v>3978566</v>
      </c>
      <c r="F37" s="14"/>
      <c r="G37" s="32">
        <f>inputOth!E7</f>
        <v>4300872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17.104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17</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73115</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-446.67800000001444</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Steve Gaydusek</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3">
      <selection activeCell="E31" sqref="E31"/>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Elm Creek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57821</v>
      </c>
      <c r="D9" s="131">
        <f t="shared" si="0"/>
        <v>13.444017864284264</v>
      </c>
      <c r="E9" s="132">
        <f t="shared" si="1"/>
        <v>688</v>
      </c>
      <c r="F9" s="129"/>
    </row>
    <row r="10" spans="1:6" ht="15.75">
      <c r="A10" s="14"/>
      <c r="B10" s="72" t="str">
        <f>inputPrYr!B20</f>
        <v>Fire</v>
      </c>
      <c r="C10" s="130">
        <v>14875</v>
      </c>
      <c r="D10" s="131">
        <f t="shared" si="0"/>
        <v>3.4586009534810613</v>
      </c>
      <c r="E10" s="132">
        <f t="shared" si="1"/>
        <v>177</v>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72696</v>
      </c>
      <c r="D16" s="135">
        <f>SUM(D6:D15)</f>
        <v>16.902618817765326</v>
      </c>
      <c r="E16" s="134">
        <f>SUM(E6:E15)</f>
        <v>865</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4300872</v>
      </c>
      <c r="E19" s="14"/>
      <c r="F19" s="129"/>
    </row>
    <row r="20" spans="1:6" ht="15.75">
      <c r="A20" s="14"/>
      <c r="B20" s="14"/>
      <c r="C20" s="14"/>
      <c r="D20" s="14"/>
      <c r="E20" s="14"/>
      <c r="F20" s="129"/>
    </row>
    <row r="21" spans="1:6" ht="15.75">
      <c r="A21" s="14"/>
      <c r="B21" s="842" t="s">
        <v>365</v>
      </c>
      <c r="C21" s="842"/>
      <c r="D21" s="137">
        <f>IF(D19&gt;0,(D19*0.001),"")</f>
        <v>4300.872</v>
      </c>
      <c r="E21" s="14"/>
      <c r="F21" s="129"/>
    </row>
    <row r="22" spans="1:6" ht="15.75">
      <c r="A22" s="14"/>
      <c r="B22" s="48"/>
      <c r="C22" s="48"/>
      <c r="D22" s="138"/>
      <c r="E22" s="14"/>
      <c r="F22" s="129"/>
    </row>
    <row r="23" spans="1:6" ht="15.75">
      <c r="A23" s="840" t="s">
        <v>367</v>
      </c>
      <c r="B23" s="775"/>
      <c r="C23" s="775"/>
      <c r="D23" s="139">
        <f>inputOth!E13</f>
        <v>51184</v>
      </c>
      <c r="E23" s="140"/>
      <c r="F23" s="140"/>
    </row>
    <row r="24" spans="1:6" ht="15.75">
      <c r="A24" s="140"/>
      <c r="B24" s="140"/>
      <c r="C24" s="140"/>
      <c r="D24" s="141"/>
      <c r="E24" s="140"/>
      <c r="F24" s="140"/>
    </row>
    <row r="25" spans="1:6" ht="15.75">
      <c r="A25" s="140"/>
      <c r="B25" s="840" t="s">
        <v>368</v>
      </c>
      <c r="C25" s="841"/>
      <c r="D25" s="142">
        <f>IF(D23&gt;0,(D23*0.001),"")</f>
        <v>51.184000000000005</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10</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E31" sqref="E31"/>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Elm Creek Township </v>
      </c>
      <c r="I6">
        <f>CONCATENATE(I7)</f>
      </c>
    </row>
    <row r="7" spans="1:7" ht="15.75">
      <c r="A7" s="852" t="str">
        <f>CONCATENATE("   with respect to financing the ",inputPrYr!D5," annual budget for ",(inputPrYr!D2)," , ",(inputPrYr!D3)," , Kansas.")</f>
        <v>   with respect to financing the 2014 annual budget for Elm Creek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Elm Creek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Elm Creek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Elm Creek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Elm Creek Township of Marshall County , Kansas that is our desire to notify the public of increased property taxes to finance the 2014 Elm Creek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Elm Creek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Elm Creek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v>11</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30" sqref="E3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Elm Creek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4300872</v>
      </c>
    </row>
    <row r="8" spans="1:5" ht="15.75">
      <c r="A8" s="22" t="str">
        <f>CONCATENATE("New Improvements for ",E1-1,"")</f>
        <v>New Improvements for 2013</v>
      </c>
      <c r="B8" s="19"/>
      <c r="C8" s="19"/>
      <c r="D8" s="19"/>
      <c r="E8" s="283">
        <v>13243</v>
      </c>
    </row>
    <row r="9" spans="1:5" ht="15.75">
      <c r="A9" s="22" t="str">
        <f>CONCATENATE("Personal Property excluding oil, gas, and mobile homes - ",E1-1,"")</f>
        <v>Personal Property excluding oil, gas, and mobile homes - 2013</v>
      </c>
      <c r="B9" s="19"/>
      <c r="C9" s="19"/>
      <c r="D9" s="19"/>
      <c r="E9" s="283">
        <v>85811</v>
      </c>
    </row>
    <row r="10" spans="1:5" ht="15.75">
      <c r="A10" s="22" t="str">
        <f>CONCATENATE("Property that has changed in use for ",E1-1,"")</f>
        <v>Property that has changed in use for 2013</v>
      </c>
      <c r="B10" s="19"/>
      <c r="C10" s="19"/>
      <c r="D10" s="19"/>
      <c r="E10" s="283">
        <v>30652</v>
      </c>
    </row>
    <row r="11" spans="1:5" ht="15.75">
      <c r="A11" s="22" t="str">
        <f>CONCATENATE("Personal Property excluding oil, gas, and mobile homes- ",E1-2,"")</f>
        <v>Personal Property excluding oil, gas, and mobile homes- 2012</v>
      </c>
      <c r="B11" s="19"/>
      <c r="C11" s="19"/>
      <c r="D11" s="19"/>
      <c r="E11" s="283">
        <v>95822</v>
      </c>
    </row>
    <row r="12" spans="1:5" ht="15.75">
      <c r="A12" s="22" t="str">
        <f>CONCATENATE("Gross earnings (intangible) tax estimate for ",E1,"")</f>
        <v>Gross earnings (intangible) tax estimate for 2014</v>
      </c>
      <c r="B12" s="19"/>
      <c r="C12" s="19"/>
      <c r="D12" s="19"/>
      <c r="E12" s="283">
        <v>2943.25</v>
      </c>
    </row>
    <row r="13" spans="1:5" ht="15.75">
      <c r="A13" s="22" t="str">
        <f>CONCATENATE("Neighborhood Revitalization - ",E1,"")</f>
        <v>Neighborhood Revitalization - 2014</v>
      </c>
      <c r="B13" s="19"/>
      <c r="C13" s="19"/>
      <c r="D13" s="19"/>
      <c r="E13" s="283">
        <v>51184</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13.769</v>
      </c>
      <c r="E20" s="286"/>
    </row>
    <row r="21" spans="1:5" ht="15.75">
      <c r="A21" s="71" t="str">
        <f>inputPrYr!B20</f>
        <v>Fire</v>
      </c>
      <c r="B21" s="267"/>
      <c r="C21" s="19"/>
      <c r="D21" s="289">
        <v>3.5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17.269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3978566</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5066.69</v>
      </c>
    </row>
    <row r="33" spans="1:5" ht="15.75">
      <c r="A33" s="296" t="s">
        <v>276</v>
      </c>
      <c r="B33" s="267"/>
      <c r="C33" s="267"/>
      <c r="D33" s="31"/>
      <c r="E33" s="34">
        <v>75.34</v>
      </c>
    </row>
    <row r="34" spans="1:5" ht="15.75">
      <c r="A34" s="296" t="s">
        <v>160</v>
      </c>
      <c r="B34" s="267"/>
      <c r="C34" s="267"/>
      <c r="D34" s="31"/>
      <c r="E34" s="34">
        <v>1059.31</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7870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53949</v>
      </c>
      <c r="C49" s="140"/>
      <c r="D49" s="140"/>
      <c r="E49" s="140"/>
    </row>
    <row r="50" spans="1:5" ht="15.75">
      <c r="A50" s="304" t="str">
        <f>inputPrYr!B20</f>
        <v>Fire</v>
      </c>
      <c r="B50" s="36">
        <v>15356</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K24" sqref="K24"/>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944</v>
      </c>
      <c r="C4" s="710"/>
      <c r="J4" s="711" t="s">
        <v>843</v>
      </c>
    </row>
    <row r="5" spans="1:10" ht="15.75">
      <c r="A5" s="474"/>
      <c r="B5" s="710"/>
      <c r="J5" s="711" t="s">
        <v>844</v>
      </c>
    </row>
    <row r="6" spans="1:10" ht="15.75">
      <c r="A6" s="474" t="s">
        <v>839</v>
      </c>
      <c r="B6" s="356" t="s">
        <v>945</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19,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952</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41505</v>
      </c>
    </row>
    <row r="22" spans="1:7" ht="15.75">
      <c r="A22" s="354" t="s">
        <v>373</v>
      </c>
      <c r="B22" s="354" t="s">
        <v>378</v>
      </c>
      <c r="C22" s="354"/>
      <c r="D22" s="354"/>
      <c r="E22" s="354"/>
      <c r="G22" s="714">
        <f>IF(B8="","",MONTH(G21))</f>
        <v>8</v>
      </c>
    </row>
    <row r="23" spans="1:7" ht="15.75">
      <c r="A23" s="354"/>
      <c r="B23" s="354"/>
      <c r="C23" s="354"/>
      <c r="D23" s="354"/>
      <c r="E23" s="354"/>
      <c r="G23" s="715">
        <f>IF(B8="","",DAY(G21))</f>
        <v>19</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E31" sqref="E3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Elm Creek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7700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74188</v>
      </c>
      <c r="F24" s="722">
        <f>IF(road!$E$50&lt;&gt;0,road!$E$50,"  ")</f>
        <v>58509.308000000005</v>
      </c>
      <c r="G24" s="723" t="str">
        <f>IF(AND(road!E50=0,$C$40&gt;=0)," ",IF(AND(F24&gt;0,$C$40=0)," ",IF(AND(F24&gt;0,$C$40&gt;0),ROUND(F24/$C$40*1000,3))))</f>
        <v> </v>
      </c>
    </row>
    <row r="25" spans="2:7" s="14" customFormat="1" ht="15.75">
      <c r="B25" s="85" t="str">
        <f>IF(inputPrYr!$B20&gt;"  ",inputPrYr!$B20,"  ")</f>
        <v>Fire</v>
      </c>
      <c r="C25" s="260" t="str">
        <f>IF(inputPrYr!C20&gt;0,inputPrYr!C20,"  ")</f>
        <v>79-1962</v>
      </c>
      <c r="D25" s="261">
        <f>IF(levypage9!C81&gt;0,levypage9!C81,"  ")</f>
        <v>8</v>
      </c>
      <c r="E25" s="722">
        <f>IF(levypage9!$E$33&lt;&gt;0,levypage9!$E$33,"  ")</f>
        <v>19685</v>
      </c>
      <c r="F25" s="722">
        <f>IF(levypage9!$E$40&lt;&gt;0,levypage9!$E$40,"  ")</f>
        <v>15052.370000000003</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101573</v>
      </c>
      <c r="F35" s="724">
        <f>SUM(F21:F30)</f>
        <v>73561.67800000001</v>
      </c>
      <c r="G35" s="725">
        <f>IF(SUM(G21:G30)&gt;0,SUM(G21:G30),"")</f>
      </c>
    </row>
    <row r="36" spans="2:4" s="14" customFormat="1" ht="16.5" thickTop="1">
      <c r="B36" s="27" t="s">
        <v>168</v>
      </c>
      <c r="C36" s="259"/>
      <c r="D36" s="264">
        <f>summ!D49</f>
        <v>9</v>
      </c>
    </row>
    <row r="37" spans="2:6" s="14" customFormat="1" ht="15.75">
      <c r="B37" s="27" t="s">
        <v>214</v>
      </c>
      <c r="C37" s="28"/>
      <c r="D37" s="264">
        <f>IF(nhood!C38&gt;0,nhood!C38,"")</f>
        <v>10</v>
      </c>
      <c r="E37" s="268" t="s">
        <v>157</v>
      </c>
      <c r="F37" s="269" t="str">
        <f>IF(F35&gt;computation!J34,"Yes","No")</f>
        <v>Yes</v>
      </c>
    </row>
    <row r="38" spans="2:6" s="14" customFormat="1" ht="15.75">
      <c r="B38" s="27" t="s">
        <v>156</v>
      </c>
      <c r="C38" s="28"/>
      <c r="D38" s="264">
        <f>IF(Resolution!D50&gt;0,Resolution!D50,"")</f>
        <v>11</v>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31" sqref="E31"/>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Elm Creek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68701</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68701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13243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85811</v>
      </c>
      <c r="F14" s="246"/>
      <c r="G14" s="55"/>
      <c r="H14" s="55"/>
      <c r="I14" s="53"/>
      <c r="J14" s="55"/>
    </row>
    <row r="15" spans="1:10" ht="15.75">
      <c r="A15" s="245"/>
      <c r="B15" s="14" t="s">
        <v>87</v>
      </c>
      <c r="C15" s="14" t="str">
        <f>CONCATENATE("Personal Property ",J1-2,"")</f>
        <v>Personal Property 2012</v>
      </c>
      <c r="D15" s="245" t="s">
        <v>82</v>
      </c>
      <c r="E15" s="249">
        <f>inputOth!E11</f>
        <v>95822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30652</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43895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4300872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4256977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0.010311307766050885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708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69409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69409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E31" sqref="E31"/>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Elm Creek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54781</v>
      </c>
      <c r="E14" s="131">
        <f>IF(inputOth!D20&gt;0,inputOth!D20,"  ")</f>
        <v>13.769</v>
      </c>
      <c r="F14" s="717"/>
      <c r="G14" s="161">
        <f>IF(inputPrYr!E19=0,0,ROUND(D14*$G$30,0))</f>
        <v>4040</v>
      </c>
      <c r="H14" s="718"/>
      <c r="I14" s="161">
        <f>IF(inputPrYr!$E$19=0,0,ROUND($D$14*$I$32,0))</f>
        <v>60</v>
      </c>
      <c r="J14" s="161">
        <f>IF(inputPrYr!E19=0,0,ROUND($D14*$J$34,0))</f>
        <v>845</v>
      </c>
      <c r="K14" s="90"/>
      <c r="L14" s="90"/>
      <c r="M14" s="550"/>
    </row>
    <row r="15" spans="2:13" ht="15.75">
      <c r="B15" s="85" t="str">
        <f>IF(inputPrYr!$B20&gt;"  ",inputPrYr!$B20,"  ")</f>
        <v>Fire</v>
      </c>
      <c r="C15" s="234"/>
      <c r="D15" s="161">
        <f>IF(inputPrYr!E20&gt;=0,inputPrYr!E20,"  ")</f>
        <v>13920</v>
      </c>
      <c r="E15" s="131">
        <f>IF(inputOth!D21&gt;0,inputOth!D21,"  ")</f>
        <v>3.5</v>
      </c>
      <c r="F15" s="717"/>
      <c r="G15" s="161">
        <f>IF(inputPrYr!E20=0,0,ROUND(D15*$G$30,0))</f>
        <v>1027</v>
      </c>
      <c r="H15" s="718"/>
      <c r="I15" s="161">
        <f>IF(inputPrYr!$E$20=0,0,ROUND($D$15*$I$32,0))</f>
        <v>15</v>
      </c>
      <c r="J15" s="161">
        <f>IF(inputPrYr!E20=0,0,ROUND($D15*$J$34,0))</f>
        <v>215</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68701</v>
      </c>
      <c r="E21" s="720">
        <f>SUM(E11:E20)</f>
        <v>17.269</v>
      </c>
      <c r="F21" s="721"/>
      <c r="G21" s="719">
        <f>SUM(G11:G20)</f>
        <v>5067</v>
      </c>
      <c r="H21" s="719"/>
      <c r="I21" s="719">
        <f>SUM(I11:I20)</f>
        <v>75</v>
      </c>
      <c r="J21" s="719">
        <f>SUM(J11:J20)</f>
        <v>1060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5066.69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75.34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1059.31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0.07374987263649728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0.0010966361479454447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0.01541913509264785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31" sqref="E3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Elm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13487.25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13487.25</v>
      </c>
      <c r="D27" s="228">
        <f>SUM(D10:D26)</f>
        <v>0</v>
      </c>
      <c r="E27" s="228">
        <f>SUM(E10:E26)</f>
        <v>0</v>
      </c>
      <c r="F27" s="129"/>
    </row>
    <row r="28" spans="1:6" ht="15.75">
      <c r="A28" s="129"/>
      <c r="B28" s="227" t="s">
        <v>609</v>
      </c>
      <c r="C28" s="129"/>
      <c r="D28" s="224"/>
      <c r="E28" s="224"/>
      <c r="F28" s="129"/>
    </row>
    <row r="29" spans="1:6" ht="15.75">
      <c r="A29" s="129"/>
      <c r="B29" s="179" t="s">
        <v>177</v>
      </c>
      <c r="C29" s="229">
        <f>C27</f>
        <v>13487.25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E31" sqref="E31"/>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2013-07-28T17:58:56Z</cp:lastPrinted>
  <dcterms:created xsi:type="dcterms:W3CDTF">1998-08-26T16:30:41Z</dcterms:created>
  <dcterms:modified xsi:type="dcterms:W3CDTF">2013-08-12T17:56:33Z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