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<sst xmlns="http://schemas.openxmlformats.org/spreadsheetml/2006/main" count="1580" uniqueCount="954">
  <si>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</si>
  <si>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</si>
  <si>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</si>
  <si>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</si>
  <si>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</si>
  <si>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</si>
  <si>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</si>
  <si>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</si>
  <si>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</si>
  <si>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</si>
  <si>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</si>
  <si>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</si>
  <si>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</si>
  <si>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</si>
  <si>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</si>
  <si>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</si>
  <si>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</si>
  <si>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</si>
  <si>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</si>
  <si>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</si>
  <si>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</si>
  <si>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</si>
  <si>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</si>
  <si>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</si>
  <si>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</si>
  <si>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</si>
  <si>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</si>
  <si>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</si>
  <si>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</si>
  <si>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</si>
  <si>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</si>
  <si>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</si>
  <si>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</si>
  <si>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</si>
  <si>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</si>
  <si>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</si>
  <si>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</si>
  <si>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</si>
  <si>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</si>
  <si>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</si>
  <si>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</si>
  <si>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</si>
  <si>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</si>
  <si>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</si>
  <si>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</si>
  <si>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</si>
  <si>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</si>
  <si>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</si>
  <si>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</si>
  <si>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</si>
  <si>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</si>
  <si>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</si>
  <si>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</si>
  <si>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</si>
  <si>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</si>
  <si>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</si>
  <si>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</si>
  <si>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</si>
  <si>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</si>
  <si>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</si>
  <si>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</si>
  <si>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</si>
  <si>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</si>
  <si>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</si>
  <si>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</si>
  <si>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</si>
  <si>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</si>
  <si>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</si>
  <si>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</si>
  <si>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</si>
  <si>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</si>
  <si>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</si>
  <si>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</si>
  <si>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</si>
  <si>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</si>
  <si>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</si>
  <si>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</si>
  <si>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</si>
  <si>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</si>
  <si>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</si>
  <si>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</si>
  <si>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</si>
  <si>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</si>
  <si>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</si>
  <si>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</si>
  <si>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</si>
  <si>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</si>
  <si>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</si>
  <si>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</si>
  <si>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</si>
  <si>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</si>
  <si>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</si>
  <si>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</si>
  <si>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</si>
  <si>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</si>
  <si>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</si>
  <si>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</si>
  <si>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</si>
  <si>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</si>
  <si>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</si>
  <si>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</si>
  <si>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</si>
  <si>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</si>
  <si>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</si>
  <si>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</si>
  <si>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</si>
  <si>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</si>
  <si>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</si>
  <si>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</si>
  <si>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</si>
  <si>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</si>
  <si>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</si>
  <si>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</si>
  <si>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</si>
  <si>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</si>
  <si>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</si>
  <si>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</si>
  <si>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</si>
  <si>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</si>
  <si>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</si>
  <si>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</si>
  <si>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</si>
  <si>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</si>
  <si>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</si>
  <si>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</si>
  <si>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</si>
  <si>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</si>
  <si>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</si>
  <si>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</si>
  <si>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</si>
  <si>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</si>
  <si>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</si>
  <si>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</si>
  <si>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</si>
  <si>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</si>
  <si>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</si>
  <si>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</si>
  <si>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</si>
  <si>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</si>
  <si>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</si>
  <si>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</si>
  <si>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</si>
  <si>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</si>
  <si>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</si>
  <si>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</si>
  <si>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</si>
  <si>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</si>
  <si>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</si>
  <si>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</si>
  <si>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</si>
  <si>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</si>
  <si>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</si>
  <si>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</si>
  <si>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</si>
  <si>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</si>
  <si>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</si>
  <si>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</si>
  <si>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</si>
  <si>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</si>
  <si>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</si>
  <si>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</si>
  <si>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</si>
  <si>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</si>
  <si>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</si>
  <si>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</si>
  <si>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</si>
  <si>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</si>
  <si>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</si>
  <si>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</si>
  <si>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</si>
  <si>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</si>
  <si>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</si>
  <si>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</si>
  <si>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</si>
  <si>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</si>
  <si>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</si>
  <si>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</si>
  <si>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</si>
  <si>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</si>
  <si>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</si>
  <si>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</si>
  <si>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</si>
  <si>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</si>
  <si>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</si>
  <si>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</si>
  <si>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</si>
  <si>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</si>
  <si>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</si>
  <si>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</si>
  <si>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</si>
  <si>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</si>
  <si>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</si>
  <si>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</si>
  <si>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</si>
  <si>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</si>
  <si>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</si>
  <si>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</si>
  <si>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</si>
  <si>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</si>
  <si>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</si>
  <si>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</si>
  <si>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</si>
  <si>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</si>
  <si>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</si>
  <si>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</si>
  <si>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</si>
  <si>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</si>
  <si>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</si>
  <si>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</si>
  <si>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</si>
  <si>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</si>
  <si>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</si>
  <si>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</si>
  <si>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</si>
  <si>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</si>
  <si>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</si>
  <si>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</si>
  <si>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</si>
  <si>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</si>
  <si>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</si>
  <si>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</si>
  <si>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</si>
  <si>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</si>
  <si>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</si>
  <si>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</si>
  <si>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</si>
  <si>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</si>
  <si>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</si>
  <si>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</si>
  <si>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</si>
  <si>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</si>
  <si>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</si>
  <si>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</si>
  <si>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</si>
  <si>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</si>
  <si>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</si>
  <si>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</si>
  <si>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</si>
  <si>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</si>
  <si>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</si>
  <si>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</si>
  <si>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</si>
  <si>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</si>
  <si>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</si>
  <si>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</si>
  <si>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</si>
  <si>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</si>
  <si>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</si>
  <si>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</si>
  <si>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</si>
  <si>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</si>
  <si>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</si>
  <si>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</si>
  <si>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</si>
  <si>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</si>
  <si>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</si>
  <si>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</si>
  <si>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</si>
  <si>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</si>
  <si>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</si>
  <si>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</si>
  <si>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</si>
  <si>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</si>
  <si>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</si>
  <si>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</si>
  <si>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</si>
  <si>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</si>
  <si>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</si>
  <si>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</si>
  <si>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</si>
  <si>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</si>
  <si>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</si>
  <si>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</si>
  <si>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</si>
  <si>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</si>
  <si>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</si>
  <si>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</si>
  <si>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</si>
  <si>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</si>
  <si>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</si>
  <si>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</si>
  <si>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</si>
  <si>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</si>
  <si>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</si>
  <si>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</si>
  <si>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</si>
  <si>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</si>
  <si>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</si>
  <si>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</si>
  <si>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</si>
  <si>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</si>
  <si>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</si>
  <si>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</si>
  <si>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</si>
  <si>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</si>
  <si>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</si>
  <si>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</si>
  <si>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</si>
  <si>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</si>
  <si>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</si>
  <si>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</si>
  <si>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</si>
  <si>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</si>
  <si>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</si>
  <si>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</si>
  <si>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</si>
  <si>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</si>
  <si>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</si>
  <si>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</si>
  <si>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</si>
  <si>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</si>
  <si>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</si>
  <si>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</si>
  <si>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</si>
  <si>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</si>
  <si>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</si>
  <si>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</si>
  <si>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</si>
  <si>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</si>
  <si>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</si>
  <si>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</si>
  <si>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</si>
  <si>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</si>
  <si>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</si>
  <si>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</si>
  <si>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</si>
  <si>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</si>
  <si>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</si>
  <si>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</si>
  <si>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</si>
  <si>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</si>
  <si>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</si>
  <si>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</si>
  <si>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</si>
  <si>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</si>
  <si>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</si>
  <si>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</si>
  <si>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</si>
  <si>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</si>
  <si>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</si>
  <si>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</si>
  <si>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</si>
  <si>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</si>
  <si>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</si>
  <si>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</si>
  <si>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</si>
  <si>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</si>
  <si>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</si>
  <si>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</si>
  <si>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</si>
  <si>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</si>
  <si>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</si>
  <si>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</si>
  <si>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</si>
  <si>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</si>
  <si>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</si>
  <si>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</si>
  <si>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</si>
  <si>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</si>
  <si>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</si>
  <si>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</si>
  <si>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</si>
  <si>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</si>
  <si>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</si>
  <si>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</si>
  <si>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</si>
  <si>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</si>
  <si>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</si>
  <si>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</si>
  <si>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</si>
  <si>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</si>
  <si>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</si>
  <si>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</si>
  <si>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</si>
  <si>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</si>
  <si>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</si>
  <si>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</si>
  <si>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</si>
  <si>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</si>
  <si>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</si>
  <si>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</si>
  <si>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</si>
  <si>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</si>
  <si>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</si>
  <si>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</si>
  <si>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</si>
  <si>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</si>
  <si>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</si>
  <si>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</si>
  <si>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</si>
  <si>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</si>
  <si>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</si>
  <si>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</si>
  <si>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</si>
  <si>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</si>
  <si>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</si>
  <si>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</si>
  <si>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</si>
  <si>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</si>
  <si>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</si>
  <si>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</si>
  <si>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</si>
  <si>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</si>
  <si>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</si>
  <si>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</si>
  <si>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</si>
  <si>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</si>
  <si>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</si>
  <si>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</si>
  <si>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</si>
  <si>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</si>
  <si>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</si>
  <si>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</si>
  <si>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</si>
  <si>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</si>
  <si>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</si>
  <si>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</si>
  <si>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</si>
  <si>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</si>
  <si>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</si>
  <si>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</si>
  <si>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</si>
  <si>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</si>
  <si>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</si>
  <si>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</si>
  <si>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</si>
  <si>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</si>
  <si>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</si>
  <si>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</si>
  <si>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</si>
  <si>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</si>
  <si>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</si>
  <si>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</si>
  <si>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</si>
  <si>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</si>
  <si>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</si>
  <si>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</si>
  <si>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</si>
  <si>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</si>
  <si>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</si>
  <si>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</si>
  <si>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</si>
  <si>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</si>
  <si>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</si>
  <si>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</si>
  <si>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</si>
  <si>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</si>
  <si>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</si>
  <si>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</si>
  <si>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</si>
  <si>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</si>
  <si>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</si>
  <si>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</si>
  <si>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</si>
  <si>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</si>
  <si>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</si>
  <si>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</si>
  <si>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</si>
  <si>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</si>
  <si>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</si>
  <si>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</si>
  <si>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</si>
  <si>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</si>
  <si>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</si>
  <si>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</si>
  <si>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</si>
  <si>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</si>
  <si>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</si>
  <si>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</si>
  <si>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</si>
  <si>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</si>
  <si>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</si>
  <si>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</si>
  <si>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</si>
  <si>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</si>
  <si>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</si>
  <si>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</si>
  <si>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</si>
  <si>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</si>
  <si>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</si>
  <si>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</si>
  <si>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</si>
  <si>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</si>
  <si>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</si>
  <si>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</si>
  <si>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</si>
  <si>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</si>
  <si>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</si>
  <si>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</si>
  <si>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</si>
  <si>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</si>
  <si>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</si>
  <si>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</si>
  <si>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</si>
  <si>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</si>
  <si>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</si>
  <si>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</si>
  <si>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</si>
  <si>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</si>
  <si>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</si>
  <si>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</si>
  <si>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</si>
  <si>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</si>
  <si>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</si>
  <si>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</si>
  <si>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</si>
  <si>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</si>
  <si>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</si>
  <si>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</si>
  <si>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</si>
  <si>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</si>
  <si>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</si>
  <si>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</si>
  <si>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</si>
  <si>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</si>
  <si>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</si>
  <si>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</si>
  <si>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</si>
  <si>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</si>
  <si>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</si>
  <si>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</si>
  <si>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</si>
  <si>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</si>
  <si>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</si>
  <si>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</si>
  <si>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</si>
  <si>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</si>
  <si>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</si>
  <si>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</si>
  <si>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</si>
  <si>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</si>
  <si>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</si>
  <si>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</si>
  <si>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</si>
  <si>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</si>
  <si>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</si>
  <si>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</si>
  <si>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</si>
  <si>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</si>
  <si>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</si>
  <si>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</si>
  <si>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</si>
  <si>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</si>
  <si>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</si>
  <si>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</si>
  <si>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</si>
  <si>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</si>
  <si>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</si>
  <si>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</si>
  <si>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</si>
  <si>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</si>
  <si>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</si>
  <si>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</si>
  <si>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</si>
  <si>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</si>
  <si>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</si>
  <si>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</si>
  <si>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</si>
  <si>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</si>
  <si>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</si>
  <si>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</si>
  <si>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</si>
  <si>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</si>
  <si>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</si>
  <si>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</si>
  <si>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</si>
  <si>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</si>
  <si>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</si>
  <si>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</si>
  <si>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</si>
  <si>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</si>
  <si>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</si>
  <si>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</si>
  <si>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</si>
  <si>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</si>
  <si>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</si>
  <si>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</si>
  <si>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</si>
  <si>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</si>
  <si>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</si>
  <si>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</si>
  <si>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</si>
  <si>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</si>
  <si>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</si>
  <si>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</si>
  <si>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</si>
  <si>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</si>
  <si>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</si>
  <si>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</si>
  <si>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</si>
  <si>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</si>
  <si>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</si>
  <si>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</si>
  <si>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</si>
  <si>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</si>
  <si>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</si>
  <si>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</si>
  <si>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</si>
  <si>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</si>
  <si>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</si>
  <si>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</si>
  <si>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</si>
  <si>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</si>
  <si>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</si>
  <si>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</si>
  <si>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</si>
  <si>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</si>
  <si>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</si>
  <si>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</si>
  <si>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</si>
  <si>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</si>
  <si>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</si>
  <si>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</si>
  <si>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</si>
  <si>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</si>
  <si>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</si>
  <si>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</si>
  <si>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</si>
  <si>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</si>
  <si>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</si>
  <si>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</si>
  <si>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</si>
  <si>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</si>
  <si>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</si>
  <si>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</si>
  <si>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</si>
  <si>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</si>
  <si>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</si>
  <si>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</si>
  <si>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</si>
  <si>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</si>
  <si>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</si>
  <si>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</si>
  <si>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</si>
  <si>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</si>
  <si>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</si>
  <si>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</si>
  <si>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</si>
  <si>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</si>
  <si>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</si>
  <si>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</si>
  <si>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</si>
  <si>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</si>
  <si>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</si>
  <si>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</si>
  <si>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</si>
  <si>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</si>
  <si>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</si>
  <si>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</si>
  <si>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</si>
  <si>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</si>
  <si>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</si>
  <si>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</si>
  <si>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</si>
  <si>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</si>
  <si>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</si>
  <si>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</si>
  <si>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</si>
  <si>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</si>
  <si>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</si>
  <si>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</si>
  <si>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</si>
  <si>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</si>
  <si>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</si>
  <si>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</si>
  <si>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</si>
  <si>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</si>
  <si>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</si>
  <si>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</si>
  <si>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</si>
  <si>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</si>
  <si>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</si>
  <si>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</si>
  <si>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</si>
  <si>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</si>
  <si>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</si>
  <si>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</si>
  <si>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</si>
  <si>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</si>
  <si>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</si>
  <si>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</si>
  <si>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</si>
  <si>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</si>
  <si>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</si>
  <si>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</si>
  <si>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</si>
  <si>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</si>
  <si>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</si>
  <si>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</si>
  <si>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</si>
  <si>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</si>
  <si>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</si>
  <si>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</si>
  <si>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</si>
  <si>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</si>
  <si>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</si>
  <si>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</si>
  <si>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</si>
  <si>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</si>
  <si>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</si>
  <si>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</si>
  <si>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</si>
  <si>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</si>
  <si>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</si>
  <si>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</si>
  <si>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</si>
  <si>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</si>
  <si>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</si>
  <si>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</si>
  <si>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</si>
  <si>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</si>
  <si>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</si>
  <si>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</si>
  <si>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</si>
  <si>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</si>
  <si>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</si>
  <si>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</si>
  <si>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</si>
  <si>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</si>
  <si>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</si>
  <si>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</si>
  <si>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</si>
  <si>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</si>
  <si>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</si>
  <si>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</si>
  <si>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</si>
  <si>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</si>
  <si>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</si>
  <si>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</si>
  <si>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</si>
  <si>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</si>
  <si>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</si>
  <si>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</si>
  <si>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</si>
  <si>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</si>
  <si>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</si>
  <si>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</si>
  <si>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</si>
  <si>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</si>
  <si>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</si>
  <si>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</si>
  <si>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</si>
  <si>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</si>
  <si>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</si>
  <si>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</si>
  <si>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</si>
  <si>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</si>
  <si>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</si>
  <si>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</si>
  <si>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</si>
  <si>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</si>
  <si>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</si>
  <si>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</si>
  <si>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</si>
  <si>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</si>
  <si>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</si>
  <si>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</si>
  <si>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</si>
  <si>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</si>
  <si>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</si>
  <si>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</si>
  <si>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</si>
  <si>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</si>
  <si>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</si>
  <si>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</si>
  <si>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</si>
  <si>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</si>
  <si>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</si>
  <si>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</si>
  <si>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</si>
  <si>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</si>
  <si>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</si>
  <si>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</si>
  <si>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</si>
  <si>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</si>
  <si>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</si>
  <si>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</si>
  <si>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</si>
  <si>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</si>
  <si>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</si>
  <si>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</si>
  <si>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</si>
  <si>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</si>
  <si>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</si>
  <si>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</si>
  <si>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</si>
  <si>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</si>
  <si>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</si>
  <si>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</si>
  <si>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</si>
  <si>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</si>
  <si>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</si>
  <si>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</si>
  <si>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</si>
  <si>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</si>
  <si>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</si>
  <si>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</si>
  <si>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</si>
  <si>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</si>
  <si>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</si>
  <si>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</si>
  <si>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</si>
  <si>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</si>
  <si>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</si>
  <si>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</si>
  <si>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</si>
  <si>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</si>
  <si>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</si>
  <si>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</si>
  <si>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</si>
  <si>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</si>
  <si>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</si>
  <si>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</si>
  <si>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</si>
  <si>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</si>
  <si>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</si>
  <si>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</si>
  <si>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</si>
  <si>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</si>
  <si>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</si>
  <si>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</si>
  <si>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</si>
  <si>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</si>
  <si>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</si>
  <si>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</si>
  <si>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</si>
  <si>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</si>
  <si>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</si>
  <si>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</si>
  <si>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</si>
  <si>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</si>
  <si>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</si>
  <si>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</si>
  <si>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</si>
  <si>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</si>
  <si>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</si>
  <si>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</si>
  <si>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</si>
  <si>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</si>
  <si>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</si>
  <si>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</si>
  <si>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</si>
  <si>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</si>
  <si>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</si>
  <si>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</si>
  <si>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</si>
  <si>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</si>
  <si>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</si>
  <si>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</si>
  <si>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</si>
  <si>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</si>
  <si>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</si>
  <si>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</si>
  <si>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</si>
  <si>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</si>
  <si>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</si>
  <si>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</si>
  <si>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</si>
  <si>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</si>
  <si>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</si>
  <si>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</si>
  <si>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</si>
  <si>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</si>
  <si>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</si>
  <si>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</si>
  <si>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</si>
  <si>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</si>
  <si>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</si>
  <si>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</si>
  <si>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</si>
  <si>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</si>
  <si>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</si>
  <si>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</si>
  <si>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</si>
  <si>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</si>
  <si>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</si>
  <si>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</si>
  <si>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</si>
  <si>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</si>
  <si>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</si>
  <si>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</si>
  <si>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</si>
  <si>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</si>
  <si>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</si>
  <si>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</si>
  <si>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</si>
  <si>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</si>
  <si>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</si>
  <si>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</si>
  <si>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</si>
  <si>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</si>
  <si>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</si>
  <si>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</si>
  <si>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</si>
  <si>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</si>
  <si>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</si>
  <si>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</si>
  <si>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</si>
  <si>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</si>
  <si>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</si>
  <si>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</si>
  <si>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</si>
  <si>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</si>
  <si>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</si>
  <si>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</si>
  <si>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</si>
  <si>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</si>
  <si>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</si>
  <si>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</si>
  <si>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</si>
  <si>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</si>
  <si>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</si>
  <si>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</si>
  <si>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</si>
  <si>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</si>
  <si>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</si>
  <si>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</si>
  <si>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</si>
  <si>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</si>
  <si>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</si>
  <si>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</si>
  <si>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</si>
  <si>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</si>
  <si>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</si>
  <si>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</si>
  <si>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</si>
  <si>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</si>
  <si>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</si>
  <si>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</si>
  <si>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</si>
  <si>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</si>
  <si>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</si>
  <si>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</si>
  <si>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</si>
  <si>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</si>
  <si>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</si>
  <si>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</si>
  <si>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</si>
  <si>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</si>
  <si>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</si>
  <si>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</si>
  <si>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</si>
  <si>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</si>
  <si>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</si>
  <si>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</si>
  <si>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</si>
  <si>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</si>
  <si>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Caney Township</t>
  </si>
  <si>
    <t>In Lieu of Taxes</t>
  </si>
  <si>
    <t>Publication</t>
  </si>
  <si>
    <t>Operations</t>
  </si>
  <si>
    <t>July 31, 2013</t>
  </si>
  <si>
    <t>7:00 PM</t>
  </si>
  <si>
    <t>Ivan Pfalser Residence, 1988 CR 1425, Caney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</si>
</sst>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Caney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Caney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13838365</v>
      </c>
      <c r="F27" s="556"/>
      <c r="G27" s="561">
        <f>summ!G37</f>
        <v>14618455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Caney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1273</v>
      </c>
      <c r="D6" s="387">
        <f>C51</f>
        <v>1347.49</v>
      </c>
      <c r="E6" s="32">
        <f>D51</f>
        <v>786.49</v>
      </c>
    </row>
    <row r="7" spans="2:5" ht="15.75">
      <c r="B7" s="27" t="s">
        <v>120</v>
      </c>
      <c r="C7" s="387"/>
      <c r="D7" s="387"/>
      <c r="E7" s="33"/>
    </row>
    <row r="8" spans="2:5" ht="15.75">
      <c r="B8" s="27" t="s">
        <v>16</v>
      </c>
      <c r="C8" s="29">
        <v>166.49</v>
      </c>
      <c r="D8" s="387">
        <f>IF(inputPrYr!H15&gt;0,inputPrYr!G16,inputPrYr!E16)</f>
        <v>149</v>
      </c>
      <c r="E8" s="33" t="s">
        <v>289</v>
      </c>
    </row>
    <row r="9" spans="2:5" ht="15.75">
      <c r="B9" s="27" t="s">
        <v>17</v>
      </c>
      <c r="C9" s="29">
        <v>13</v>
      </c>
      <c r="D9" s="29">
        <v>10</v>
      </c>
      <c r="E9" s="34">
        <v>10</v>
      </c>
    </row>
    <row r="10" spans="2:5" ht="15.75">
      <c r="B10" s="27" t="s">
        <v>18</v>
      </c>
      <c r="C10" s="29">
        <v>62</v>
      </c>
      <c r="D10" s="29">
        <v>275</v>
      </c>
      <c r="E10" s="32">
        <f>mvalloc!G11</f>
        <v>20.82</v>
      </c>
    </row>
    <row r="11" spans="2:5" ht="15.75">
      <c r="B11" s="27" t="s">
        <v>19</v>
      </c>
      <c r="C11" s="29">
        <v>2</v>
      </c>
      <c r="D11" s="29">
        <v>1</v>
      </c>
      <c r="E11" s="32">
        <f>mvalloc!I11</f>
        <v>0.53</v>
      </c>
    </row>
    <row r="12" spans="2:5" ht="15.75">
      <c r="B12" s="35" t="s">
        <v>69</v>
      </c>
      <c r="C12" s="29">
        <v>4</v>
      </c>
      <c r="D12" s="29">
        <v>4</v>
      </c>
      <c r="E12" s="32">
        <f>mvalloc!J11</f>
        <v>2</v>
      </c>
    </row>
    <row r="13" spans="2:5" ht="15.75">
      <c r="B13" s="35" t="s">
        <v>161</v>
      </c>
      <c r="C13" s="29">
        <v>0</v>
      </c>
      <c r="D13" s="29">
        <v>0</v>
      </c>
      <c r="E13" s="32">
        <f>inputOth!E35</f>
        <v>0</v>
      </c>
    </row>
    <row r="14" spans="2:5" ht="15.75">
      <c r="B14" s="27" t="s">
        <v>20</v>
      </c>
      <c r="C14" s="29">
        <v>0</v>
      </c>
      <c r="D14" s="29">
        <v>0</v>
      </c>
      <c r="E14" s="32">
        <f>inputOth!E12</f>
        <v>0</v>
      </c>
    </row>
    <row r="15" spans="2:5" ht="15.75">
      <c r="B15" s="37" t="s">
        <v>948</v>
      </c>
      <c r="C15" s="29">
        <v>0</v>
      </c>
      <c r="D15" s="29">
        <v>0</v>
      </c>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247.49</v>
      </c>
      <c r="D26" s="389">
        <f>SUM(D8:D24)</f>
        <v>439</v>
      </c>
      <c r="E26" s="42">
        <f>SUM(E8:E24)</f>
        <v>33.35</v>
      </c>
    </row>
    <row r="27" spans="2:5" ht="15.75">
      <c r="B27" s="43" t="s">
        <v>24</v>
      </c>
      <c r="C27" s="389">
        <f>C26+C6</f>
        <v>1520.49</v>
      </c>
      <c r="D27" s="389">
        <f>D26+D6</f>
        <v>1786.49</v>
      </c>
      <c r="E27" s="42">
        <f>E26+E6</f>
        <v>819.84</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31</v>
      </c>
      <c r="D33" s="29">
        <v>100</v>
      </c>
      <c r="E33" s="34">
        <v>100</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949</v>
      </c>
      <c r="C37" s="29">
        <v>142</v>
      </c>
      <c r="D37" s="29">
        <v>150</v>
      </c>
      <c r="E37" s="34">
        <v>150</v>
      </c>
    </row>
    <row r="38" spans="2:5" ht="15.75">
      <c r="B38" s="37" t="s">
        <v>950</v>
      </c>
      <c r="C38" s="29">
        <v>0</v>
      </c>
      <c r="D38" s="29">
        <v>750</v>
      </c>
      <c r="E38" s="34">
        <v>570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v>0</v>
      </c>
      <c r="D47" s="29"/>
      <c r="E47" s="46">
        <f>nhood!E6</f>
      </c>
    </row>
    <row r="48" spans="2:10" ht="15.75">
      <c r="B48" s="35" t="s">
        <v>212</v>
      </c>
      <c r="C48" s="29">
        <v>0</v>
      </c>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173</v>
      </c>
      <c r="D50" s="381">
        <f>SUM(D29:D48)</f>
        <v>1000</v>
      </c>
      <c r="E50" s="47">
        <f>SUM(E29:E43,E45,E47:E48)</f>
        <v>820</v>
      </c>
      <c r="G50" s="484">
        <f>D51</f>
        <v>786.49</v>
      </c>
      <c r="H50" s="485" t="str">
        <f>CONCATENATE("",E1-1," Ending Cash Balance (est.)")</f>
        <v>2013 Ending Cash Balance (est.)</v>
      </c>
      <c r="I50" s="486"/>
      <c r="J50" s="257"/>
    </row>
    <row r="51" spans="2:10" ht="15.75">
      <c r="B51" s="27" t="s">
        <v>119</v>
      </c>
      <c r="C51" s="382">
        <f>C27-C50</f>
        <v>1347.49</v>
      </c>
      <c r="D51" s="382">
        <f>SUM(D27-D50)</f>
        <v>786.49</v>
      </c>
      <c r="E51" s="33" t="s">
        <v>289</v>
      </c>
      <c r="G51" s="484">
        <f>E26</f>
        <v>33.35</v>
      </c>
      <c r="H51" s="487" t="str">
        <f>CONCATENATE("",E1," Non-AV Receipts (est.)")</f>
        <v>2014 Non-AV Receipts (est.)</v>
      </c>
      <c r="I51" s="486"/>
      <c r="J51" s="257"/>
    </row>
    <row r="52" spans="2:11" ht="15.75">
      <c r="B52" s="48" t="str">
        <f>CONCATENATE("",E1-2,"/",E1-1," Budget Authority Amount:")</f>
        <v>2012/2013 Budget Authority Amount:</v>
      </c>
      <c r="C52" s="132">
        <f>inputOth!B46</f>
        <v>950</v>
      </c>
      <c r="D52" s="161">
        <f>inputPrYr!D16</f>
        <v>1000</v>
      </c>
      <c r="E52" s="33" t="s">
        <v>289</v>
      </c>
      <c r="F52" s="50"/>
      <c r="G52" s="488">
        <f>IF(D56&gt;0,E55,E57)</f>
        <v>0.15999999999996817</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820</v>
      </c>
      <c r="H53" s="487" t="str">
        <f>CONCATENATE("Total ",E1," Resources Available")</f>
        <v>Total 2014 Resources Available</v>
      </c>
      <c r="I53" s="486"/>
      <c r="J53" s="257"/>
    </row>
    <row r="54" spans="2:10" ht="15.75">
      <c r="B54" s="395" t="str">
        <f>CONCATENATE(C72,"     ",D72)</f>
        <v>     </v>
      </c>
      <c r="C54" s="803" t="s">
        <v>623</v>
      </c>
      <c r="D54" s="804"/>
      <c r="E54" s="32">
        <f>E50+E53</f>
        <v>820</v>
      </c>
      <c r="G54" s="489"/>
      <c r="H54" s="487"/>
      <c r="I54" s="487"/>
      <c r="J54" s="257"/>
    </row>
    <row r="55" spans="2:10" ht="15.75">
      <c r="B55" s="395" t="str">
        <f>CONCATENATE(C73,"     ",D73)</f>
        <v>     </v>
      </c>
      <c r="C55" s="60"/>
      <c r="D55" s="52" t="s">
        <v>28</v>
      </c>
      <c r="E55" s="46">
        <f>IF(E54-E27&gt;0,E54-E27,0)</f>
        <v>0.15999999999996817</v>
      </c>
      <c r="G55" s="488">
        <f>ROUND(C50*0.05+C50,0)</f>
        <v>182</v>
      </c>
      <c r="H55" s="487" t="str">
        <f>CONCATENATE("Less ",E1-2," Expenditures + 5%")</f>
        <v>Less 2012 Expenditures + 5%</v>
      </c>
      <c r="I55" s="486"/>
      <c r="J55" s="257"/>
    </row>
    <row r="56" spans="2:10" ht="15.75">
      <c r="B56" s="52"/>
      <c r="C56" s="399" t="s">
        <v>624</v>
      </c>
      <c r="D56" s="689">
        <f>inputOth!$E$40</f>
        <v>0.07</v>
      </c>
      <c r="E56" s="32">
        <f>ROUND(IF(D56&gt;0,(E55*D56),0),0)</f>
        <v>0</v>
      </c>
      <c r="G56" s="490">
        <f>G53-G55</f>
        <v>638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0.15999999999996817</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v>
      </c>
      <c r="H60" s="485" t="str">
        <f>CONCATENATE("",E1," Fund Mill Rate")</f>
        <v>2014 Fund Mill Rate</v>
      </c>
      <c r="I60" s="691"/>
      <c r="J60" s="703"/>
      <c r="K60" s="16"/>
    </row>
    <row r="61" spans="2:10" ht="15.75">
      <c r="B61" s="52" t="s">
        <v>9</v>
      </c>
      <c r="C61" s="401">
        <f>IF(inputPrYr!D18&gt;0,7,6)</f>
        <v>6</v>
      </c>
      <c r="D61" s="14"/>
      <c r="E61" s="55"/>
      <c r="G61" s="705">
        <f>summ!F18</f>
        <v>0.011</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0.011</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Caney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0.07</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144</v>
      </c>
      <c r="C46" s="599">
        <v>0</v>
      </c>
      <c r="D46" s="596">
        <f>C74</f>
        <v>0</v>
      </c>
      <c r="E46" s="597">
        <f>D74</f>
        <v>0</v>
      </c>
      <c r="F46" s="635"/>
      <c r="G46" s="659">
        <f>summ!F32</f>
        <v>0.011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0.07</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0.011</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Caney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0.07</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v>
      </c>
      <c r="H55" s="485" t="str">
        <f>CONCATENATE("Total ",E1," Mill Rate")</f>
        <v>Total 2014 Mill Rate</v>
      </c>
      <c r="I55" s="691"/>
      <c r="J55" s="703"/>
    </row>
    <row r="56" spans="2:10" ht="15.75">
      <c r="B56" s="72" t="s">
        <v>33</v>
      </c>
      <c r="C56" s="132"/>
      <c r="D56" s="14"/>
      <c r="E56" s="14"/>
      <c r="G56" s="705">
        <f>summ!F32</f>
        <v>0.011</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Caney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0.07</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0.011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0.07</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0.011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Caney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0.07</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0.011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0.07</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0.011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Caney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0.07</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0.011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0.07</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0.011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Caney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Caney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63" sqref="E6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1000</v>
      </c>
      <c r="E16" s="187">
        <v>149</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c r="E20" s="187"/>
      <c r="G20" s="32">
        <f>IF(H15&gt;0,ROUND(E20-(E20*H15),0),0)</f>
        <v>0</v>
      </c>
    </row>
    <row r="21" spans="1:7" ht="15.75">
      <c r="A21" s="14"/>
      <c r="B21" s="187" t="s">
        <v>943</v>
      </c>
      <c r="C21" s="391" t="s">
        <v>944</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149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1000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0.013</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0</v>
      </c>
      <c r="E45" s="14"/>
    </row>
    <row r="46" spans="1:5" ht="15.75">
      <c r="A46" s="14"/>
      <c r="B46" s="72" t="str">
        <f t="shared" si="0"/>
        <v>Hall</v>
      </c>
      <c r="C46" s="14"/>
      <c r="D46" s="322">
        <v>0</v>
      </c>
      <c r="E46" s="14"/>
    </row>
    <row r="47" spans="1:5" ht="15.75">
      <c r="A47" s="14"/>
      <c r="B47" s="72" t="str">
        <f t="shared" si="0"/>
        <v>Fire Protection</v>
      </c>
      <c r="C47" s="14"/>
      <c r="D47" s="322">
        <v>0</v>
      </c>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0.013</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180</v>
      </c>
    </row>
    <row r="55" spans="1:5" ht="15.75">
      <c r="A55" s="327" t="str">
        <f>CONCATENATE("Assessed Valuation (",D5-2," budget column)")</f>
        <v>Assessed Valuation (2012 budget column)</v>
      </c>
      <c r="B55" s="328"/>
      <c r="C55" s="267"/>
      <c r="D55" s="28"/>
      <c r="E55" s="187">
        <v>13891823</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v>0</v>
      </c>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Caney Township</v>
      </c>
      <c r="C5" s="784"/>
      <c r="D5" s="784"/>
      <c r="E5" s="784"/>
      <c r="F5" s="784"/>
      <c r="G5" s="784"/>
      <c r="H5" s="784"/>
      <c r="I5" s="784"/>
    </row>
    <row r="6" spans="2:9" ht="15.75">
      <c r="B6" s="784" t="str">
        <f>inputPrYr!D3</f>
        <v>Montgomery County</v>
      </c>
      <c r="C6" s="784"/>
      <c r="D6" s="784"/>
      <c r="E6" s="784"/>
      <c r="F6" s="784"/>
      <c r="G6" s="784"/>
      <c r="H6" s="784"/>
      <c r="I6" s="784"/>
    </row>
    <row r="7" spans="2:9" ht="15.75">
      <c r="B7" s="775" t="str">
        <f>CONCATENATE("will meet on ",inputBudSum!B8," at ",inputBudSum!B10," at ",inputBudSum!B12," for the purpose of hearing and")</f>
        <v>will meet on July 31, 2013 at 7:00 PM at Ivan Pfalser Residence, 1988 CR 1425, Caney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173</v>
      </c>
      <c r="D18" s="524">
        <f>IF(inputPrYr!D42&gt;0,inputPrYr!D42,"  ")</f>
        <v>0.013</v>
      </c>
      <c r="E18" s="32">
        <f>IF(gen!$D$50&lt;&gt;0,gen!$D$50,"  ")</f>
        <v>1000</v>
      </c>
      <c r="F18" s="235">
        <f>IF(inputOth!D17&gt;0,inputOth!D17,"  ")</f>
        <v>0.011</v>
      </c>
      <c r="G18" s="32">
        <f>IF(gen!$E$50&lt;&gt;0,gen!$E$50,"  ")</f>
        <v>820</v>
      </c>
      <c r="H18" s="32">
        <f>IF(gen!$E$57&lt;&gt;0,gen!$E$57," ")</f>
        <v>0.15999999999996817</v>
      </c>
      <c r="I18" s="526">
        <f>IF(gen!E57&gt;0,ROUND(H18/$G$37*1000,3)," ")</f>
        <v>0</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14618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0.011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160.84000000000003</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173</v>
      </c>
      <c r="D32" s="478">
        <f t="shared" si="0"/>
        <v>0.013</v>
      </c>
      <c r="E32" s="527">
        <f t="shared" si="0"/>
        <v>1000</v>
      </c>
      <c r="F32" s="478">
        <f t="shared" si="0"/>
        <v>0.011</v>
      </c>
      <c r="G32" s="527">
        <f t="shared" si="0"/>
        <v>820</v>
      </c>
      <c r="H32" s="527">
        <f t="shared" si="0"/>
        <v>0.15999999999996817</v>
      </c>
      <c r="I32" s="530">
        <f t="shared" si="0"/>
        <v>0</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173</v>
      </c>
      <c r="D34" s="14"/>
      <c r="E34" s="528">
        <f>E32-E33</f>
        <v>1000</v>
      </c>
      <c r="F34" s="14"/>
      <c r="G34" s="528">
        <f>G32-G33</f>
        <v>820</v>
      </c>
      <c r="H34" s="14"/>
      <c r="I34" s="14"/>
      <c r="K34" s="507" t="str">
        <f>CONCATENATE("",I1," Ad Valorem Tax Revenue:")</f>
        <v>2014 Ad Valorem Tax Revenue:</v>
      </c>
      <c r="L34" s="501"/>
      <c r="M34" s="501"/>
      <c r="N34" s="502">
        <f>H32</f>
        <v>0.15999999999996817</v>
      </c>
    </row>
    <row r="35" spans="2:14" ht="16.5" thickTop="1">
      <c r="B35" s="274" t="s">
        <v>46</v>
      </c>
      <c r="C35" s="529">
        <f>inputPrYr!E54</f>
        <v>180</v>
      </c>
      <c r="D35" s="61"/>
      <c r="E35" s="529">
        <f>inputPrYr!E26</f>
        <v>149</v>
      </c>
      <c r="F35" s="14"/>
      <c r="G35" s="520" t="s">
        <v>289</v>
      </c>
      <c r="H35" s="14"/>
      <c r="I35" s="14"/>
      <c r="K35" s="507" t="str">
        <f>CONCATENATE("",I1-1," Ad Valorem Tax Revenue:")</f>
        <v>2013 Ad Valorem Tax Revenue:</v>
      </c>
      <c r="L35" s="501"/>
      <c r="M35" s="501"/>
      <c r="N35" s="515">
        <f>ROUND(G37*N27/1000,0)</f>
        <v>161</v>
      </c>
    </row>
    <row r="36" spans="2:14" ht="15.75">
      <c r="B36" s="274" t="s">
        <v>47</v>
      </c>
      <c r="C36" s="55"/>
      <c r="D36" s="61"/>
      <c r="E36" s="55"/>
      <c r="F36" s="61"/>
      <c r="G36" s="14"/>
      <c r="H36" s="14"/>
      <c r="I36" s="14"/>
      <c r="K36" s="512" t="s">
        <v>717</v>
      </c>
      <c r="L36" s="513"/>
      <c r="M36" s="513"/>
      <c r="N36" s="505">
        <f>N34-N35</f>
        <v>-160.84000000000003</v>
      </c>
    </row>
    <row r="37" spans="2:14" ht="15.75">
      <c r="B37" s="274" t="s">
        <v>48</v>
      </c>
      <c r="C37" s="32">
        <f>inputPrYr!E55</f>
        <v>13891823</v>
      </c>
      <c r="D37" s="14"/>
      <c r="E37" s="32">
        <f>inputOth!E29</f>
        <v>13838365</v>
      </c>
      <c r="F37" s="14"/>
      <c r="G37" s="32">
        <f>inputOth!E7</f>
        <v>14618455</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Caney Township</v>
      </c>
      <c r="C46" s="830"/>
      <c r="D46" s="14"/>
      <c r="E46" s="14"/>
      <c r="F46" s="14"/>
      <c r="G46" s="14"/>
      <c r="H46" s="14"/>
      <c r="I46" s="14"/>
    </row>
    <row r="47" spans="2:9" ht="15.75">
      <c r="B47" s="828">
        <f>inputBudSum!B6</f>
        <v>0</v>
      </c>
      <c r="C47" s="829"/>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0">
      <selection activeCell="E45" sqref="E45"/>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Caney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14618455</v>
      </c>
      <c r="E19" s="14"/>
      <c r="F19" s="129"/>
    </row>
    <row r="20" spans="1:6" ht="15.75">
      <c r="A20" s="14"/>
      <c r="B20" s="14"/>
      <c r="C20" s="14"/>
      <c r="D20" s="14"/>
      <c r="E20" s="14"/>
      <c r="F20" s="129"/>
    </row>
    <row r="21" spans="1:6" ht="15.75">
      <c r="A21" s="14"/>
      <c r="B21" s="842" t="s">
        <v>365</v>
      </c>
      <c r="C21" s="842"/>
      <c r="D21" s="137">
        <f>IF(D19&gt;0,(D19*0.001),"")</f>
        <v>14618.455</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8</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Caney Township </v>
      </c>
      <c r="I6">
        <f>CONCATENATE(I7)</f>
      </c>
    </row>
    <row r="7" spans="1:7" ht="15.75">
      <c r="A7" s="848" t="str">
        <f>CONCATENATE("   with respect to financing the ",inputPrYr!D5," annual budget for ",(inputPrYr!D2)," , ",(inputPrYr!D3)," , Kansas.")</f>
        <v>   with respect to financing the 2014 annual budget for Caney Township , Montgomery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Caney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Caney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Caney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Caney Township of Montgomery County, Kansas that is our desire to notify the public of increased property taxes to finance the 2014 Caney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Caney Township Board, Montgomery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Caney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Caney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14618455</v>
      </c>
    </row>
    <row r="8" spans="1:5" ht="15.75">
      <c r="A8" s="22" t="str">
        <f>CONCATENATE("New Improvements for ",E1-1,"")</f>
        <v>New Improvements for 2013</v>
      </c>
      <c r="B8" s="19"/>
      <c r="C8" s="19"/>
      <c r="D8" s="19"/>
      <c r="E8" s="283">
        <v>74075</v>
      </c>
    </row>
    <row r="9" spans="1:5" ht="15.75">
      <c r="A9" s="22" t="str">
        <f>CONCATENATE("Personal Property excluding oil, gas, and mobile homes - ",E1-1,"")</f>
        <v>Personal Property excluding oil, gas, and mobile homes - 2013</v>
      </c>
      <c r="B9" s="19"/>
      <c r="C9" s="19"/>
      <c r="D9" s="19"/>
      <c r="E9" s="283">
        <v>386183</v>
      </c>
    </row>
    <row r="10" spans="1:5" ht="15.75">
      <c r="A10" s="22" t="str">
        <f>CONCATENATE("Property that has changed in use for ",E1-1,"")</f>
        <v>Property that has changed in use for 2013</v>
      </c>
      <c r="B10" s="19"/>
      <c r="C10" s="19"/>
      <c r="D10" s="19"/>
      <c r="E10" s="283">
        <v>16899</v>
      </c>
    </row>
    <row r="11" spans="1:5" ht="15.75">
      <c r="A11" s="22" t="str">
        <f>CONCATENATE("Personal Property excluding oil, gas, and mobile homes- ",E1-2,"")</f>
        <v>Personal Property excluding oil, gas, and mobile homes- 2012</v>
      </c>
      <c r="B11" s="19"/>
      <c r="C11" s="19"/>
      <c r="D11" s="19"/>
      <c r="E11" s="283">
        <v>435205</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0.011</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0</v>
      </c>
      <c r="E20" s="286"/>
    </row>
    <row r="21" spans="1:5" ht="15.75">
      <c r="A21" s="71" t="str">
        <f>inputPrYr!B20</f>
        <v>Hall</v>
      </c>
      <c r="B21" s="267"/>
      <c r="C21" s="19"/>
      <c r="D21" s="289">
        <v>0</v>
      </c>
      <c r="E21" s="286"/>
    </row>
    <row r="22" spans="1:5" ht="15.75">
      <c r="A22" s="71" t="str">
        <f>inputPrYr!B21</f>
        <v>Fire Protection</v>
      </c>
      <c r="B22" s="267"/>
      <c r="C22" s="19"/>
      <c r="D22" s="289">
        <v>0</v>
      </c>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0.011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13838365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20.82</v>
      </c>
    </row>
    <row r="33" spans="1:5" ht="15.75">
      <c r="A33" s="296" t="s">
        <v>276</v>
      </c>
      <c r="B33" s="267"/>
      <c r="C33" s="267"/>
      <c r="D33" s="31"/>
      <c r="E33" s="34">
        <v>0.53</v>
      </c>
    </row>
    <row r="34" spans="1:5" ht="15.75">
      <c r="A34" s="296" t="s">
        <v>160</v>
      </c>
      <c r="B34" s="267"/>
      <c r="C34" s="267"/>
      <c r="D34" s="31"/>
      <c r="E34" s="34">
        <v>2</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0.07</v>
      </c>
    </row>
    <row r="40" spans="1:5" ht="15.75">
      <c r="A40" s="296" t="s">
        <v>856</v>
      </c>
      <c r="B40" s="274"/>
      <c r="C40" s="19"/>
      <c r="D40" s="19"/>
      <c r="E40" s="731">
        <v>0.07</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950</v>
      </c>
      <c r="C46" s="302" t="s">
        <v>210</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0</v>
      </c>
      <c r="C49" s="140"/>
      <c r="D49" s="140"/>
      <c r="E49" s="140"/>
    </row>
    <row r="50" spans="1:5" ht="15.75">
      <c r="A50" s="304" t="str">
        <f>inputPrYr!B20</f>
        <v>Hall</v>
      </c>
      <c r="B50" s="36">
        <v>0</v>
      </c>
      <c r="C50" s="140"/>
      <c r="D50" s="140"/>
      <c r="E50" s="140"/>
    </row>
    <row r="51" spans="1:5" ht="15.75">
      <c r="A51" s="304" t="str">
        <f>inputPrYr!B21</f>
        <v>Fire Protection</v>
      </c>
      <c r="B51" s="36">
        <v>0</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21,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41476</v>
      </c>
    </row>
    <row r="22" spans="1:7" ht="15.75">
      <c r="A22" s="354" t="s">
        <v>373</v>
      </c>
      <c r="B22" s="354" t="s">
        <v>378</v>
      </c>
      <c r="C22" s="354"/>
      <c r="D22" s="354"/>
      <c r="E22" s="354"/>
      <c r="G22" s="714">
        <f>IF(B8="","",MONTH(G21))</f>
        <v>7</v>
      </c>
    </row>
    <row r="23" spans="1:7" ht="15.75">
      <c r="A23" s="354"/>
      <c r="B23" s="354"/>
      <c r="C23" s="354"/>
      <c r="D23" s="354"/>
      <c r="E23" s="354"/>
      <c r="G23" s="715">
        <f>IF(B8="","",DAY(G21))</f>
        <v>21</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Montgomery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Caney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820</v>
      </c>
      <c r="F21" s="722">
        <f>IF(gen!$E$57&lt;&gt;0,gen!$E$57,0)</f>
        <v>0.15999999999996817</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820</v>
      </c>
      <c r="F35" s="724">
        <f>SUM(F21:F30)</f>
        <v>0.15999999999996817</v>
      </c>
      <c r="G35" s="725">
        <f>IF(SUM(G21:G30)&gt;0,SUM(G21:G30),"")</f>
      </c>
    </row>
    <row r="36" spans="2:4" s="14" customFormat="1" ht="16.5" thickTop="1">
      <c r="B36" s="27" t="s">
        <v>168</v>
      </c>
      <c r="C36" s="259"/>
      <c r="D36" s="264">
        <f>summ!D49</f>
        <v>7</v>
      </c>
    </row>
    <row r="37" spans="2:6" s="14" customFormat="1" ht="15.75">
      <c r="B37" s="27" t="s">
        <v>214</v>
      </c>
      <c r="C37" s="28"/>
      <c r="D37" s="264">
        <f>IF(nhood!C38&gt;0,nhood!C38,"")</f>
        <v>8</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Caney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149</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149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74075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386183</v>
      </c>
      <c r="F14" s="246"/>
      <c r="G14" s="55"/>
      <c r="H14" s="55"/>
      <c r="I14" s="53"/>
      <c r="J14" s="55"/>
    </row>
    <row r="15" spans="1:10" ht="15.75">
      <c r="A15" s="245"/>
      <c r="B15" s="14" t="s">
        <v>87</v>
      </c>
      <c r="C15" s="14" t="str">
        <f>CONCATENATE("Personal Property ",J1-2,"")</f>
        <v>Personal Property 2012</v>
      </c>
      <c r="D15" s="245" t="s">
        <v>82</v>
      </c>
      <c r="E15" s="249">
        <f>inputOth!E11</f>
        <v>435205</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16899</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90974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14618455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14527481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0.006262200583845197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150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150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Caney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149</v>
      </c>
      <c r="E11" s="131">
        <f>IF(inputOth!D17&gt;0,inputOth!D17,"  ")</f>
        <v>0.011</v>
      </c>
      <c r="F11" s="717"/>
      <c r="G11" s="161">
        <f>IF(inputPrYr!E16=0,0,G23-SUM(G12:G20))</f>
        <v>20.82</v>
      </c>
      <c r="H11" s="718"/>
      <c r="I11" s="161">
        <f>IF(inputPrYr!E16=0,0,I25-SUM(I12:I20))</f>
        <v>0.53</v>
      </c>
      <c r="J11" s="161">
        <f>IF(inputPrYr!E16=0,0,J27-SUM(J12:J20))</f>
        <v>2</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149</v>
      </c>
      <c r="E21" s="720">
        <f>SUM(E11:E20)</f>
        <v>0.011</v>
      </c>
      <c r="F21" s="721"/>
      <c r="G21" s="719">
        <f>SUM(G11:G20)</f>
        <v>20.82</v>
      </c>
      <c r="H21" s="719"/>
      <c r="I21" s="719">
        <f>SUM(I11:I20)</f>
        <v>0.53</v>
      </c>
      <c r="J21" s="719">
        <f>SUM(J11:J20)</f>
        <v>2</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20.82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0.53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0.13973154362416107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0.003557046979865772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0.013422818791946308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Caney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2013-07-16T20:31:03Z</cp:lastPrinted>
  <dcterms:created xsi:type="dcterms:W3CDTF">1998-08-26T16:30:41Z</dcterms:created>
  <dcterms:modified xsi:type="dcterms:W3CDTF">2013-07-18T18:51:14Z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