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<sst xmlns="http://schemas.openxmlformats.org/spreadsheetml/2006/main" count="1591" uniqueCount="964">
  <si>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</si>
  <si>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</si>
  <si>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</si>
  <si>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</si>
  <si>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</si>
  <si>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</si>
  <si>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</si>
  <si>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</si>
  <si>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</si>
  <si>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</si>
  <si>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</si>
  <si>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</si>
  <si>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</si>
  <si>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</si>
  <si>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</si>
  <si>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</si>
  <si>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</si>
  <si>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</si>
  <si>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</si>
  <si>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</si>
  <si>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</si>
  <si>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</si>
  <si>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</si>
  <si>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</si>
  <si>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</si>
  <si>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</si>
  <si>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</si>
  <si>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</si>
  <si>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</si>
  <si>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</si>
  <si>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</si>
  <si>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</si>
  <si>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</si>
  <si>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</si>
  <si>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</si>
  <si>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</si>
  <si>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</si>
  <si>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</si>
  <si>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</si>
  <si>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</si>
  <si>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</si>
  <si>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</si>
  <si>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</si>
  <si>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</si>
  <si>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</si>
  <si>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</si>
  <si>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</si>
  <si>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</si>
  <si>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</si>
  <si>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</si>
  <si>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</si>
  <si>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</si>
  <si>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</si>
  <si>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</si>
  <si>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</si>
  <si>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</si>
  <si>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</si>
  <si>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</si>
  <si>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</si>
  <si>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</si>
  <si>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</si>
  <si>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</si>
  <si>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</si>
  <si>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</si>
  <si>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</si>
  <si>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</si>
  <si>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</si>
  <si>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</si>
  <si>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</si>
  <si>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</si>
  <si>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</si>
  <si>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</si>
  <si>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</si>
  <si>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</si>
  <si>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</si>
  <si>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</si>
  <si>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</si>
  <si>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</si>
  <si>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</si>
  <si>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</si>
  <si>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</si>
  <si>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</si>
  <si>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</si>
  <si>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</si>
  <si>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</si>
  <si>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</si>
  <si>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</si>
  <si>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</si>
  <si>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</si>
  <si>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</si>
  <si>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</si>
  <si>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</si>
  <si>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</si>
  <si>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</si>
  <si>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</si>
  <si>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</si>
  <si>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</si>
  <si>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</si>
  <si>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</si>
  <si>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</si>
  <si>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</si>
  <si>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</si>
  <si>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</si>
  <si>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</si>
  <si>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</si>
  <si>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</si>
  <si>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</si>
  <si>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</si>
  <si>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</si>
  <si>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</si>
  <si>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</si>
  <si>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</si>
  <si>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</si>
  <si>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</si>
  <si>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</si>
  <si>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</si>
  <si>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</si>
  <si>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</si>
  <si>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</si>
  <si>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</si>
  <si>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</si>
  <si>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</si>
  <si>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</si>
  <si>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</si>
  <si>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</si>
  <si>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</si>
  <si>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</si>
  <si>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</si>
  <si>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</si>
  <si>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</si>
  <si>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</si>
  <si>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</si>
  <si>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</si>
  <si>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</si>
  <si>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</si>
  <si>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</si>
  <si>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</si>
  <si>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</si>
  <si>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</si>
  <si>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</si>
  <si>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</si>
  <si>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</si>
  <si>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</si>
  <si>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</si>
  <si>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</si>
  <si>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</si>
  <si>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</si>
  <si>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</si>
  <si>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</si>
  <si>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</si>
  <si>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</si>
  <si>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</si>
  <si>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</si>
  <si>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</si>
  <si>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</si>
  <si>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</si>
  <si>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</si>
  <si>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</si>
  <si>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</si>
  <si>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</si>
  <si>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</si>
  <si>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</si>
  <si>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</si>
  <si>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</si>
  <si>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</si>
  <si>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</si>
  <si>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</si>
  <si>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</si>
  <si>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</si>
  <si>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</si>
  <si>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</si>
  <si>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</si>
  <si>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</si>
  <si>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</si>
  <si>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</si>
  <si>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</si>
  <si>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</si>
  <si>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</si>
  <si>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</si>
  <si>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</si>
  <si>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</si>
  <si>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</si>
  <si>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</si>
  <si>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</si>
  <si>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</si>
  <si>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</si>
  <si>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</si>
  <si>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</si>
  <si>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</si>
  <si>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</si>
  <si>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</si>
  <si>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</si>
  <si>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</si>
  <si>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</si>
  <si>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</si>
  <si>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</si>
  <si>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</si>
  <si>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</si>
  <si>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</si>
  <si>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</si>
  <si>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</si>
  <si>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</si>
  <si>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</si>
  <si>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</si>
  <si>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</si>
  <si>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</si>
  <si>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</si>
  <si>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</si>
  <si>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</si>
  <si>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</si>
  <si>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</si>
  <si>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</si>
  <si>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</si>
  <si>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</si>
  <si>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</si>
  <si>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</si>
  <si>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</si>
  <si>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</si>
  <si>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</si>
  <si>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</si>
  <si>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</si>
  <si>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</si>
  <si>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</si>
  <si>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</si>
  <si>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</si>
  <si>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</si>
  <si>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</si>
  <si>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</si>
  <si>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</si>
  <si>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</si>
  <si>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</si>
  <si>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</si>
  <si>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</si>
  <si>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</si>
  <si>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</si>
  <si>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</si>
  <si>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</si>
  <si>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</si>
  <si>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</si>
  <si>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</si>
  <si>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</si>
  <si>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</si>
  <si>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</si>
  <si>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</si>
  <si>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</si>
  <si>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</si>
  <si>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</si>
  <si>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</si>
  <si>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</si>
  <si>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</si>
  <si>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</si>
  <si>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</si>
  <si>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</si>
  <si>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</si>
  <si>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</si>
  <si>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</si>
  <si>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</si>
  <si>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</si>
  <si>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</si>
  <si>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</si>
  <si>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</si>
  <si>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</si>
  <si>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</si>
  <si>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</si>
  <si>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</si>
  <si>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</si>
  <si>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</si>
  <si>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</si>
  <si>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</si>
  <si>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</si>
  <si>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</si>
  <si>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</si>
  <si>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</si>
  <si>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</si>
  <si>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</si>
  <si>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</si>
  <si>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</si>
  <si>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</si>
  <si>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</si>
  <si>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</si>
  <si>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</si>
  <si>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</si>
  <si>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</si>
  <si>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</si>
  <si>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</si>
  <si>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</si>
  <si>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</si>
  <si>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</si>
  <si>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</si>
  <si>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</si>
  <si>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</si>
  <si>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</si>
  <si>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</si>
  <si>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</si>
  <si>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</si>
  <si>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</si>
  <si>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</si>
  <si>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</si>
  <si>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</si>
  <si>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</si>
  <si>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</si>
  <si>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</si>
  <si>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</si>
  <si>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</si>
  <si>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</si>
  <si>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</si>
  <si>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</si>
  <si>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</si>
  <si>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</si>
  <si>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</si>
  <si>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</si>
  <si>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</si>
  <si>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</si>
  <si>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</si>
  <si>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</si>
  <si>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</si>
  <si>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</si>
  <si>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</si>
  <si>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</si>
  <si>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</si>
  <si>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</si>
  <si>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</si>
  <si>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</si>
  <si>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</si>
  <si>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</si>
  <si>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</si>
  <si>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</si>
  <si>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</si>
  <si>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</si>
  <si>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</si>
  <si>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</si>
  <si>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</si>
  <si>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</si>
  <si>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</si>
  <si>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</si>
  <si>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</si>
  <si>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</si>
  <si>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</si>
  <si>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</si>
  <si>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</si>
  <si>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</si>
  <si>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</si>
  <si>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</si>
  <si>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</si>
  <si>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</si>
  <si>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</si>
  <si>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</si>
  <si>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</si>
  <si>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</si>
  <si>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</si>
  <si>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</si>
  <si>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</si>
  <si>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</si>
  <si>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</si>
  <si>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</si>
  <si>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</si>
  <si>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</si>
  <si>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</si>
  <si>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</si>
  <si>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</si>
  <si>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</si>
  <si>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</si>
  <si>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</si>
  <si>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</si>
  <si>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</si>
  <si>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</si>
  <si>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</si>
  <si>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</si>
  <si>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</si>
  <si>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</si>
  <si>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</si>
  <si>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</si>
  <si>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</si>
  <si>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</si>
  <si>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</si>
  <si>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</si>
  <si>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</si>
  <si>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</si>
  <si>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</si>
  <si>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</si>
  <si>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</si>
  <si>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</si>
  <si>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</si>
  <si>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</si>
  <si>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</si>
  <si>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</si>
  <si>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</si>
  <si>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</si>
  <si>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</si>
  <si>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</si>
  <si>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</si>
  <si>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</si>
  <si>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</si>
  <si>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</si>
  <si>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</si>
  <si>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</si>
  <si>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</si>
  <si>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</si>
  <si>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</si>
  <si>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</si>
  <si>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</si>
  <si>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</si>
  <si>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</si>
  <si>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</si>
  <si>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</si>
  <si>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</si>
  <si>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</si>
  <si>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</si>
  <si>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</si>
  <si>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</si>
  <si>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</si>
  <si>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</si>
  <si>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</si>
  <si>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</si>
  <si>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</si>
  <si>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</si>
  <si>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</si>
  <si>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</si>
  <si>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</si>
  <si>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</si>
  <si>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</si>
  <si>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</si>
  <si>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</si>
  <si>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</si>
  <si>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</si>
  <si>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</si>
  <si>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</si>
  <si>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</si>
  <si>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</si>
  <si>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</si>
  <si>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</si>
  <si>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</si>
  <si>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</si>
  <si>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</si>
  <si>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</si>
  <si>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</si>
  <si>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</si>
  <si>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</si>
  <si>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</si>
  <si>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</si>
  <si>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</si>
  <si>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</si>
  <si>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</si>
  <si>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</si>
  <si>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</si>
  <si>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</si>
  <si>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</si>
  <si>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</si>
  <si>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</si>
  <si>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</si>
  <si>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</si>
  <si>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</si>
  <si>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</si>
  <si>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</si>
  <si>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</si>
  <si>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</si>
  <si>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</si>
  <si>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</si>
  <si>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</si>
  <si>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</si>
  <si>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</si>
  <si>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</si>
  <si>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</si>
  <si>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</si>
  <si>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</si>
  <si>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</si>
  <si>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</si>
  <si>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</si>
  <si>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</si>
  <si>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</si>
  <si>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</si>
  <si>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</si>
  <si>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</si>
  <si>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</si>
  <si>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</si>
  <si>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</si>
  <si>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</si>
  <si>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</si>
  <si>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</si>
  <si>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</si>
  <si>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</si>
  <si>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</si>
  <si>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</si>
  <si>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</si>
  <si>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</si>
  <si>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</si>
  <si>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</si>
  <si>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</si>
  <si>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</si>
  <si>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</si>
  <si>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</si>
  <si>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</si>
  <si>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</si>
  <si>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</si>
  <si>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</si>
  <si>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</si>
  <si>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</si>
  <si>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</si>
  <si>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</si>
  <si>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</si>
  <si>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</si>
  <si>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</si>
  <si>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</si>
  <si>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</si>
  <si>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</si>
  <si>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</si>
  <si>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</si>
  <si>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</si>
  <si>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</si>
  <si>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</si>
  <si>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</si>
  <si>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</si>
  <si>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</si>
  <si>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</si>
  <si>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</si>
  <si>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</si>
  <si>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</si>
  <si>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</si>
  <si>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</si>
  <si>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</si>
  <si>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</si>
  <si>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</si>
  <si>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</si>
  <si>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</si>
  <si>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</si>
  <si>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</si>
  <si>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</si>
  <si>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</si>
  <si>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</si>
  <si>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</si>
  <si>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</si>
  <si>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</si>
  <si>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</si>
  <si>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</si>
  <si>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</si>
  <si>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</si>
  <si>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</si>
  <si>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</si>
  <si>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</si>
  <si>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</si>
  <si>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</si>
  <si>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</si>
  <si>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</si>
  <si>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</si>
  <si>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</si>
  <si>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</si>
  <si>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</si>
  <si>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</si>
  <si>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</si>
  <si>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</si>
  <si>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</si>
  <si>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</si>
  <si>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</si>
  <si>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</si>
  <si>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</si>
  <si>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</si>
  <si>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</si>
  <si>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</si>
  <si>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</si>
  <si>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</si>
  <si>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</si>
  <si>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</si>
  <si>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</si>
  <si>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</si>
  <si>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</si>
  <si>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</si>
  <si>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</si>
  <si>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</si>
  <si>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</si>
  <si>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</si>
  <si>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</si>
  <si>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</si>
  <si>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</si>
  <si>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</si>
  <si>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</si>
  <si>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</si>
  <si>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</si>
  <si>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</si>
  <si>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</si>
  <si>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</si>
  <si>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</si>
  <si>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</si>
  <si>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</si>
  <si>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</si>
  <si>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</si>
  <si>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</si>
  <si>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</si>
  <si>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</si>
  <si>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</si>
  <si>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</si>
  <si>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</si>
  <si>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</si>
  <si>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</si>
  <si>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</si>
  <si>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</si>
  <si>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</si>
  <si>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</si>
  <si>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</si>
  <si>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</si>
  <si>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</si>
  <si>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</si>
  <si>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</si>
  <si>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</si>
  <si>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</si>
  <si>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</si>
  <si>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</si>
  <si>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</si>
  <si>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</si>
  <si>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</si>
  <si>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</si>
  <si>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</si>
  <si>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</si>
  <si>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</si>
  <si>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</si>
  <si>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</si>
  <si>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</si>
  <si>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</si>
  <si>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</si>
  <si>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</si>
  <si>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</si>
  <si>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</si>
  <si>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</si>
  <si>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</si>
  <si>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</si>
  <si>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</si>
  <si>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</si>
  <si>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</si>
  <si>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</si>
  <si>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</si>
  <si>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</si>
  <si>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</si>
  <si>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</si>
  <si>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</si>
  <si>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</si>
  <si>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</si>
  <si>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</si>
  <si>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</si>
  <si>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</si>
  <si>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</si>
  <si>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</si>
  <si>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</si>
  <si>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</si>
  <si>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</si>
  <si>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</si>
  <si>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</si>
  <si>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</si>
  <si>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</si>
  <si>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</si>
  <si>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</si>
  <si>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</si>
  <si>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</si>
  <si>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</si>
  <si>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</si>
  <si>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</si>
  <si>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</si>
  <si>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</si>
  <si>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</si>
  <si>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</si>
  <si>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</si>
  <si>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</si>
  <si>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</si>
  <si>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</si>
  <si>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</si>
  <si>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</si>
  <si>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</si>
  <si>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</si>
  <si>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</si>
  <si>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</si>
  <si>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</si>
  <si>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</si>
  <si>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</si>
  <si>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</si>
  <si>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</si>
  <si>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</si>
  <si>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</si>
  <si>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</si>
  <si>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</si>
  <si>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</si>
  <si>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</si>
  <si>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</si>
  <si>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</si>
  <si>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</si>
  <si>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</si>
  <si>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</si>
  <si>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</si>
  <si>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</si>
  <si>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</si>
  <si>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</si>
  <si>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</si>
  <si>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</si>
  <si>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</si>
  <si>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</si>
  <si>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</si>
  <si>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</si>
  <si>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</si>
  <si>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</si>
  <si>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</si>
  <si>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</si>
  <si>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</si>
  <si>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</si>
  <si>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</si>
  <si>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</si>
  <si>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</si>
  <si>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</si>
  <si>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</si>
  <si>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</si>
  <si>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</si>
  <si>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</si>
  <si>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</si>
  <si>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</si>
  <si>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</si>
  <si>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</si>
  <si>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</si>
  <si>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</si>
  <si>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</si>
  <si>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</si>
  <si>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</si>
  <si>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</si>
  <si>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</si>
  <si>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</si>
  <si>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</si>
  <si>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</si>
  <si>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</si>
  <si>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</si>
  <si>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</si>
  <si>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</si>
  <si>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</si>
  <si>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</si>
  <si>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</si>
  <si>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</si>
  <si>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</si>
  <si>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</si>
  <si>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</si>
  <si>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</si>
  <si>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</si>
  <si>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</si>
  <si>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</si>
  <si>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</si>
  <si>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</si>
  <si>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</si>
  <si>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</si>
  <si>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</si>
  <si>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</si>
  <si>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</si>
  <si>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</si>
  <si>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</si>
  <si>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</si>
  <si>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</si>
  <si>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</si>
  <si>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</si>
  <si>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</si>
  <si>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</si>
  <si>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</si>
  <si>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</si>
  <si>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</si>
  <si>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</si>
  <si>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</si>
  <si>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</si>
  <si>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</si>
  <si>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</si>
  <si>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</si>
  <si>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</si>
  <si>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</si>
  <si>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</si>
  <si>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</si>
  <si>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</si>
  <si>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</si>
  <si>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</si>
  <si>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</si>
  <si>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</si>
  <si>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</si>
  <si>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</si>
  <si>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</si>
  <si>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</si>
  <si>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</si>
  <si>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</si>
  <si>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</si>
  <si>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</si>
  <si>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</si>
  <si>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</si>
  <si>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</si>
  <si>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</si>
  <si>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</si>
  <si>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</si>
  <si>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</si>
  <si>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</si>
  <si>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</si>
  <si>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</si>
  <si>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</si>
  <si>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</si>
  <si>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</si>
  <si>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</si>
  <si>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</si>
  <si>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</si>
  <si>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</si>
  <si>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</si>
  <si>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</si>
  <si>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</si>
  <si>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</si>
  <si>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</si>
  <si>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</si>
  <si>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</si>
  <si>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</si>
  <si>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</si>
  <si>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</si>
  <si>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</si>
  <si>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</si>
  <si>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</si>
  <si>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</si>
  <si>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</si>
  <si>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</si>
  <si>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</si>
  <si>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</si>
  <si>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</si>
  <si>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</si>
  <si>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</si>
  <si>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</si>
  <si>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</si>
  <si>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</si>
  <si>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</si>
  <si>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</si>
  <si>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</si>
  <si>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</si>
  <si>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</si>
  <si>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</si>
  <si>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</si>
  <si>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</si>
  <si>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</si>
  <si>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</si>
  <si>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</si>
  <si>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</si>
  <si>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</si>
  <si>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</si>
  <si>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</si>
  <si>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</si>
  <si>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</si>
  <si>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</si>
  <si>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</si>
  <si>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</si>
  <si>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</si>
  <si>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</si>
  <si>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</si>
  <si>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</si>
  <si>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</si>
  <si>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</si>
  <si>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</si>
  <si>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</si>
  <si>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</si>
  <si>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</si>
  <si>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</si>
  <si>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</si>
  <si>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</si>
  <si>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</si>
  <si>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</si>
  <si>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</si>
  <si>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</si>
  <si>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</si>
  <si>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</si>
  <si>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</si>
  <si>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</si>
  <si>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</si>
  <si>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</si>
  <si>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</si>
  <si>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</si>
  <si>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</si>
  <si>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</si>
  <si>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</si>
  <si>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</si>
  <si>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</si>
  <si>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</si>
  <si>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</si>
  <si>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</si>
  <si>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</si>
  <si>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</si>
  <si>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</si>
  <si>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</si>
  <si>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</si>
  <si>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</si>
  <si>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</si>
  <si>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</si>
  <si>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</si>
  <si>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</si>
  <si>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</si>
  <si>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</si>
  <si>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</si>
  <si>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</si>
  <si>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</si>
  <si>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</si>
  <si>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</si>
  <si>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</si>
  <si>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</si>
  <si>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</si>
  <si>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</si>
  <si>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</si>
  <si>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</si>
  <si>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</si>
  <si>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</si>
  <si>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</si>
  <si>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</si>
  <si>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</si>
  <si>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</si>
  <si>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</si>
  <si>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</si>
  <si>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</si>
  <si>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</si>
  <si>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</si>
  <si>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</si>
  <si>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</si>
  <si>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</si>
  <si>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</si>
  <si>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</si>
  <si>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</si>
  <si>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</si>
  <si>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</si>
  <si>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</si>
  <si>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</si>
  <si>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</si>
  <si>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</si>
  <si>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</si>
  <si>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</si>
  <si>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</si>
  <si>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</si>
  <si>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</si>
  <si>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</si>
  <si>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</si>
  <si>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</si>
  <si>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</si>
  <si>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</si>
  <si>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</si>
  <si>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</si>
  <si>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</si>
  <si>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</si>
  <si>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</si>
  <si>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</si>
  <si>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</si>
  <si>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</si>
  <si>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</si>
  <si>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</si>
  <si>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</si>
  <si>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</si>
  <si>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</si>
  <si>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Round Mound Township</t>
  </si>
  <si>
    <t>Osborne County</t>
  </si>
  <si>
    <t>Cemetery</t>
  </si>
  <si>
    <t>Weed</t>
  </si>
  <si>
    <t>Publication</t>
  </si>
  <si>
    <t>Bookkeeping</t>
  </si>
  <si>
    <t>Natoma Township</t>
  </si>
  <si>
    <t>Osborne County Highway Dept.</t>
  </si>
  <si>
    <t>Tax Refund</t>
  </si>
  <si>
    <t>fuel and supplies</t>
  </si>
  <si>
    <t>operation other</t>
  </si>
  <si>
    <t>Alan Beisner-Mowing</t>
  </si>
  <si>
    <t>Chemical</t>
  </si>
  <si>
    <t>spraying roads</t>
  </si>
  <si>
    <t>Donald Schneider, Treasurer</t>
  </si>
  <si>
    <t>August 5, 2013</t>
  </si>
  <si>
    <t>8:00 p.m.</t>
  </si>
  <si>
    <t>Schneider Pellets, 2216 W. 210th Drive</t>
  </si>
  <si>
    <t>Osborne County Clerk's Office</t>
  </si>
  <si>
    <t>Vienna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</si>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</sst>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Round Mound Township</v>
      </c>
      <c r="C1" s="167"/>
      <c r="D1" s="167"/>
      <c r="E1" s="167"/>
      <c r="F1" s="167"/>
      <c r="G1" s="167"/>
      <c r="H1" s="167"/>
      <c r="I1" s="167"/>
      <c r="J1" s="14"/>
      <c r="K1" s="14"/>
      <c r="L1" s="15">
        <f>inputPrYr!D5</f>
        <v>2014</v>
      </c>
    </row>
    <row r="2" spans="2:12" ht="15.75">
      <c r="B2" s="166" t="str">
        <f>inputPrYr!$D$3</f>
        <v>Osborne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72"/>
      <c r="D18" s="772"/>
      <c r="E18" s="772"/>
      <c r="F18" s="772"/>
      <c r="G18" s="772"/>
      <c r="H18" s="772"/>
      <c r="I18" s="772"/>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Round Mound Township</v>
      </c>
      <c r="C7" s="556"/>
      <c r="D7" s="556"/>
      <c r="E7" s="556"/>
      <c r="F7" s="556"/>
      <c r="G7" s="556"/>
      <c r="H7" s="556"/>
      <c r="I7" s="556"/>
    </row>
    <row r="8" spans="2:9" ht="15.75">
      <c r="B8" s="557" t="str">
        <f>inputPrYr!D3</f>
        <v>Osborne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3723835</v>
      </c>
      <c r="F27" s="556"/>
      <c r="G27" s="561">
        <f>summ!G37</f>
        <v>2866120</v>
      </c>
      <c r="H27" s="556"/>
      <c r="I27" s="556"/>
    </row>
    <row r="28" spans="2:9" ht="15.75">
      <c r="B28" s="556" t="s">
        <v>779</v>
      </c>
      <c r="C28" s="556"/>
      <c r="D28" s="556"/>
      <c r="E28" s="566" t="str">
        <f>IF(G27-E27&gt;=0,"No","Yes")</f>
        <v>Yes</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4">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Round Mound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2664</v>
      </c>
      <c r="D6" s="387">
        <f>C51</f>
        <v>1298</v>
      </c>
      <c r="E6" s="32">
        <f>D51</f>
        <v>0</v>
      </c>
    </row>
    <row r="7" spans="2:5" ht="15.75">
      <c r="B7" s="27" t="s">
        <v>120</v>
      </c>
      <c r="C7" s="387"/>
      <c r="D7" s="387"/>
      <c r="E7" s="33"/>
    </row>
    <row r="8" spans="2:5" ht="15.75">
      <c r="B8" s="27" t="s">
        <v>16</v>
      </c>
      <c r="C8" s="29"/>
      <c r="D8" s="387">
        <f>IF(inputPrYr!H15&gt;0,inputPrYr!G16,inputPrYr!E16)</f>
        <v>0</v>
      </c>
      <c r="E8" s="33" t="s">
        <v>289</v>
      </c>
    </row>
    <row r="9" spans="2:5" ht="15.75">
      <c r="B9" s="27" t="s">
        <v>17</v>
      </c>
      <c r="C9" s="29"/>
      <c r="D9" s="29"/>
      <c r="E9" s="34"/>
    </row>
    <row r="10" spans="2:5" ht="15.75">
      <c r="B10" s="27" t="s">
        <v>18</v>
      </c>
      <c r="C10" s="29">
        <v>34</v>
      </c>
      <c r="D10" s="29">
        <v>0</v>
      </c>
      <c r="E10" s="32">
        <f>mvalloc!G11</f>
        <v>0</v>
      </c>
    </row>
    <row r="11" spans="2:5" ht="15.75">
      <c r="B11" s="27" t="s">
        <v>19</v>
      </c>
      <c r="C11" s="29"/>
      <c r="D11" s="29">
        <v>0</v>
      </c>
      <c r="E11" s="32">
        <f>mvalloc!I11</f>
        <v>0</v>
      </c>
    </row>
    <row r="12" spans="2:5" ht="15.75">
      <c r="B12" s="35" t="s">
        <v>69</v>
      </c>
      <c r="C12" s="29">
        <v>7</v>
      </c>
      <c r="D12" s="29">
        <v>0</v>
      </c>
      <c r="E12" s="32">
        <f>mvalloc!J11</f>
        <v>0</v>
      </c>
    </row>
    <row r="13" spans="2:5" ht="15.75">
      <c r="B13" s="35" t="s">
        <v>161</v>
      </c>
      <c r="C13" s="29"/>
      <c r="D13" s="29"/>
      <c r="E13" s="32">
        <f>inputOth!E35</f>
        <v>0</v>
      </c>
    </row>
    <row r="14" spans="2:5" ht="15.75">
      <c r="B14" s="27" t="s">
        <v>20</v>
      </c>
      <c r="C14" s="29">
        <v>679</v>
      </c>
      <c r="D14" s="29">
        <v>492</v>
      </c>
      <c r="E14" s="32">
        <f>inputOth!E12</f>
        <v>459</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720</v>
      </c>
      <c r="D26" s="389">
        <f>SUM(D8:D24)</f>
        <v>492</v>
      </c>
      <c r="E26" s="42">
        <f>SUM(E8:E24)</f>
        <v>459</v>
      </c>
    </row>
    <row r="27" spans="2:5" ht="15.75">
      <c r="B27" s="43" t="s">
        <v>24</v>
      </c>
      <c r="C27" s="389">
        <f>C26+C6</f>
        <v>3384</v>
      </c>
      <c r="D27" s="389">
        <f>D26+D6</f>
        <v>1790</v>
      </c>
      <c r="E27" s="42">
        <f>E26+E6</f>
        <v>459</v>
      </c>
    </row>
    <row r="28" spans="2:5" ht="15.75">
      <c r="B28" s="27" t="s">
        <v>25</v>
      </c>
      <c r="C28" s="387"/>
      <c r="D28" s="387"/>
      <c r="E28" s="32"/>
    </row>
    <row r="29" spans="2:5" ht="15.75">
      <c r="B29" s="37"/>
      <c r="C29" s="29"/>
      <c r="D29" s="29"/>
      <c r="E29" s="34"/>
    </row>
    <row r="30" spans="2:5" ht="15.75">
      <c r="B30" s="38" t="s">
        <v>101</v>
      </c>
      <c r="C30" s="29">
        <v>1310</v>
      </c>
      <c r="D30" s="29">
        <v>1300</v>
      </c>
      <c r="E30" s="34">
        <v>440</v>
      </c>
    </row>
    <row r="31" spans="2:5" ht="15.75">
      <c r="B31" s="38" t="s">
        <v>125</v>
      </c>
      <c r="C31" s="29"/>
      <c r="D31" s="29"/>
      <c r="E31" s="34"/>
    </row>
    <row r="32" spans="2:5" ht="15.75">
      <c r="B32" s="38" t="s">
        <v>102</v>
      </c>
      <c r="C32" s="29"/>
      <c r="D32" s="29"/>
      <c r="E32" s="34"/>
    </row>
    <row r="33" spans="2:5" ht="15.75">
      <c r="B33" s="38" t="s">
        <v>36</v>
      </c>
      <c r="C33" s="29">
        <v>388</v>
      </c>
      <c r="D33" s="29">
        <v>100</v>
      </c>
      <c r="E33" s="34">
        <v>0</v>
      </c>
    </row>
    <row r="34" spans="2:5" ht="15.75">
      <c r="B34" s="37" t="s">
        <v>103</v>
      </c>
      <c r="C34" s="29"/>
      <c r="D34" s="29"/>
      <c r="E34" s="34"/>
    </row>
    <row r="35" spans="2:5" ht="15.75">
      <c r="B35" s="37" t="s">
        <v>126</v>
      </c>
      <c r="C35" s="29"/>
      <c r="D35" s="29"/>
      <c r="E35" s="34"/>
    </row>
    <row r="36" spans="2:5" ht="15.75">
      <c r="B36" s="38" t="s">
        <v>128</v>
      </c>
      <c r="C36" s="29"/>
      <c r="D36" s="29"/>
      <c r="E36" s="34"/>
    </row>
    <row r="37" spans="2:5" ht="15.75">
      <c r="B37" s="38" t="s">
        <v>945</v>
      </c>
      <c r="C37" s="29">
        <v>88</v>
      </c>
      <c r="D37" s="29">
        <v>90</v>
      </c>
      <c r="E37" s="34">
        <v>0</v>
      </c>
    </row>
    <row r="38" spans="2:5" ht="15.75">
      <c r="B38" s="37" t="s">
        <v>946</v>
      </c>
      <c r="C38" s="29">
        <v>300</v>
      </c>
      <c r="D38" s="29">
        <v>300</v>
      </c>
      <c r="E38" s="34">
        <v>0</v>
      </c>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2086</v>
      </c>
      <c r="D50" s="381">
        <f>SUM(D29:D48)</f>
        <v>1790</v>
      </c>
      <c r="E50" s="47">
        <f>SUM(E29:E43,E45,E47:E48)</f>
        <v>440</v>
      </c>
      <c r="G50" s="484">
        <f>D51</f>
        <v>0</v>
      </c>
      <c r="H50" s="485" t="str">
        <f>CONCATENATE("",E1-1," Ending Cash Balance (est.)")</f>
        <v>2013 Ending Cash Balance (est.)</v>
      </c>
      <c r="I50" s="486"/>
      <c r="J50" s="257"/>
    </row>
    <row r="51" spans="2:10" ht="15.75">
      <c r="B51" s="27" t="s">
        <v>119</v>
      </c>
      <c r="C51" s="382">
        <f>C27-C50</f>
        <v>1298</v>
      </c>
      <c r="D51" s="382">
        <f>SUM(D27-D50)</f>
        <v>0</v>
      </c>
      <c r="E51" s="33" t="s">
        <v>289</v>
      </c>
      <c r="G51" s="484">
        <f>E26</f>
        <v>459</v>
      </c>
      <c r="H51" s="487" t="str">
        <f>CONCATENATE("",E1," Non-AV Receipts (est.)")</f>
        <v>2014 Non-AV Receipts (est.)</v>
      </c>
      <c r="I51" s="486"/>
      <c r="J51" s="257"/>
    </row>
    <row r="52" spans="2:11" ht="15.75">
      <c r="B52" s="48" t="str">
        <f>CONCATENATE("",E1-2,"/",E1-1," Budget Authority Amount:")</f>
        <v>2012/2013 Budget Authority Amount:</v>
      </c>
      <c r="C52" s="132">
        <f>inputOth!B46</f>
        <v>2500</v>
      </c>
      <c r="D52" s="161">
        <f>inputPrYr!D16</f>
        <v>2250</v>
      </c>
      <c r="E52" s="33" t="s">
        <v>289</v>
      </c>
      <c r="F52" s="50"/>
      <c r="G52" s="488">
        <f>IF(D56&gt;0,E55,E57)</f>
        <v>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459</v>
      </c>
      <c r="H53" s="487" t="str">
        <f>CONCATENATE("Total ",E1," Resources Available")</f>
        <v>Total 2014 Resources Available</v>
      </c>
      <c r="I53" s="486"/>
      <c r="J53" s="257"/>
    </row>
    <row r="54" spans="2:10" ht="15.75">
      <c r="B54" s="395" t="str">
        <f>CONCATENATE(C72,"     ",D72)</f>
        <v>     </v>
      </c>
      <c r="C54" s="803" t="s">
        <v>623</v>
      </c>
      <c r="D54" s="804"/>
      <c r="E54" s="32">
        <f>E50+E53</f>
        <v>440</v>
      </c>
      <c r="G54" s="489"/>
      <c r="H54" s="487"/>
      <c r="I54" s="487"/>
      <c r="J54" s="257"/>
    </row>
    <row r="55" spans="2:10" ht="15.75">
      <c r="B55" s="395" t="str">
        <f>CONCATENATE(C73,"     ",D73)</f>
        <v>     </v>
      </c>
      <c r="C55" s="60"/>
      <c r="D55" s="52" t="s">
        <v>28</v>
      </c>
      <c r="E55" s="46">
        <f>IF(E54-E27&gt;0,E54-E27,0)</f>
        <v>0</v>
      </c>
      <c r="G55" s="488">
        <f>ROUND(C50*0.05+C50,0)</f>
        <v>2190</v>
      </c>
      <c r="H55" s="487" t="str">
        <f>CONCATENATE("Less ",E1-2," Expenditures + 5%")</f>
        <v>Less 2012 Expenditures + 5%</v>
      </c>
      <c r="I55" s="486"/>
      <c r="J55" s="257"/>
    </row>
    <row r="56" spans="2:10" ht="15.75">
      <c r="B56" s="52"/>
      <c r="C56" s="399" t="s">
        <v>624</v>
      </c>
      <c r="D56" s="689">
        <f>inputOth!$E$40</f>
        <v>0</v>
      </c>
      <c r="E56" s="32">
        <f>ROUND(IF(D56&gt;0,(E55*D56),0),0)</f>
        <v>0</v>
      </c>
      <c r="G56" s="490">
        <f>G53-G55</f>
        <v>-1731</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16.525</v>
      </c>
      <c r="H62" s="485" t="str">
        <f>CONCATENATE("Total ",E1," Mill Rate")</f>
        <v>Total 2014 Mill Rate</v>
      </c>
      <c r="I62" s="691"/>
      <c r="J62" s="703"/>
    </row>
    <row r="63" spans="2:10" ht="15.75">
      <c r="B63" s="12"/>
      <c r="G63" s="705">
        <f>summ!F32</f>
        <v>12.719999999999999</v>
      </c>
      <c r="H63" s="707" t="str">
        <f>CONCATENATE("Total ",E1-1," Mill Rate")</f>
        <v>Total 2013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1200" verticalDpi="12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Round Mound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16.525</v>
      </c>
      <c r="H45" s="632" t="str">
        <f>CONCATENATE("Total ",E1," Mill Rate")</f>
        <v>Total 2014 Mill Rate</v>
      </c>
      <c r="I45" s="656"/>
      <c r="J45" s="657"/>
    </row>
    <row r="46" spans="2:10" ht="15.75">
      <c r="B46" s="594" t="s">
        <v>144</v>
      </c>
      <c r="C46" s="599">
        <v>0</v>
      </c>
      <c r="D46" s="596">
        <f>C74</f>
        <v>0</v>
      </c>
      <c r="E46" s="597">
        <f>D74</f>
        <v>0</v>
      </c>
      <c r="F46" s="635"/>
      <c r="G46" s="659">
        <f>summ!F32</f>
        <v>12.719999999999999</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16.525</v>
      </c>
      <c r="H85" s="632" t="str">
        <f>CONCATENATE("Total ",E1," Mill Rate")</f>
        <v>Total 2014 Mill Rate</v>
      </c>
      <c r="I85" s="656"/>
      <c r="J85" s="657"/>
    </row>
    <row r="86" spans="7:10" ht="15.75">
      <c r="G86" s="659">
        <f>summ!F32</f>
        <v>12.719999999999999</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1">
      <selection activeCell="E29" sqref="E2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Round Mound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24518</v>
      </c>
      <c r="D6" s="387">
        <f>C44</f>
        <v>35897</v>
      </c>
      <c r="E6" s="32">
        <f>D44</f>
        <v>28200</v>
      </c>
    </row>
    <row r="7" spans="2:5" ht="15.75">
      <c r="B7" s="27" t="s">
        <v>120</v>
      </c>
      <c r="C7" s="387"/>
      <c r="D7" s="387"/>
      <c r="E7" s="33"/>
    </row>
    <row r="8" spans="2:5" ht="15.75">
      <c r="B8" s="27" t="s">
        <v>16</v>
      </c>
      <c r="C8" s="29">
        <v>42557</v>
      </c>
      <c r="D8" s="387">
        <f>IF(inputPrYr!H15&gt;0,inputPrYr!G19,inputPrYr!E19)</f>
        <v>44091</v>
      </c>
      <c r="E8" s="33" t="s">
        <v>289</v>
      </c>
    </row>
    <row r="9" spans="2:5" ht="15.75">
      <c r="B9" s="27" t="s">
        <v>17</v>
      </c>
      <c r="C9" s="29">
        <v>1</v>
      </c>
      <c r="D9" s="29"/>
      <c r="E9" s="34"/>
    </row>
    <row r="10" spans="2:5" ht="15.75">
      <c r="B10" s="27" t="s">
        <v>18</v>
      </c>
      <c r="C10" s="29">
        <v>685</v>
      </c>
      <c r="D10" s="29">
        <v>684</v>
      </c>
      <c r="E10" s="32">
        <f>mvalloc!G14</f>
        <v>751</v>
      </c>
    </row>
    <row r="11" spans="2:5" ht="15.75">
      <c r="B11" s="27" t="s">
        <v>19</v>
      </c>
      <c r="C11" s="29">
        <v>0</v>
      </c>
      <c r="D11" s="29">
        <v>0</v>
      </c>
      <c r="E11" s="32">
        <f>mvalloc!I14</f>
        <v>0</v>
      </c>
    </row>
    <row r="12" spans="2:5" ht="15.75">
      <c r="B12" s="27" t="s">
        <v>99</v>
      </c>
      <c r="C12" s="29">
        <v>78</v>
      </c>
      <c r="D12" s="29">
        <v>90</v>
      </c>
      <c r="E12" s="32">
        <f>mvalloc!J14</f>
        <v>82</v>
      </c>
    </row>
    <row r="13" spans="2:5" ht="15.75">
      <c r="B13" s="27" t="s">
        <v>100</v>
      </c>
      <c r="C13" s="29">
        <v>1173</v>
      </c>
      <c r="D13" s="29">
        <v>1000</v>
      </c>
      <c r="E13" s="32">
        <f>inputOth!E36</f>
        <v>1100</v>
      </c>
    </row>
    <row r="14" spans="2:5" ht="15.75">
      <c r="B14" s="38" t="s">
        <v>947</v>
      </c>
      <c r="C14" s="29">
        <v>13229</v>
      </c>
      <c r="D14" s="29"/>
      <c r="E14" s="34"/>
    </row>
    <row r="15" spans="2:5" ht="15.75">
      <c r="B15" s="38" t="s">
        <v>948</v>
      </c>
      <c r="C15" s="29">
        <v>66</v>
      </c>
      <c r="D15" s="29"/>
      <c r="E15" s="34"/>
    </row>
    <row r="16" spans="2:5" ht="15.75">
      <c r="B16" s="38" t="s">
        <v>949</v>
      </c>
      <c r="C16" s="29">
        <v>38</v>
      </c>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v>56</v>
      </c>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57883</v>
      </c>
      <c r="D23" s="389">
        <f>SUM(D8:D21)</f>
        <v>45865</v>
      </c>
      <c r="E23" s="42">
        <f>SUM(E8:E21)</f>
        <v>1933</v>
      </c>
    </row>
    <row r="24" spans="2:5" ht="15.75">
      <c r="B24" s="43" t="s">
        <v>24</v>
      </c>
      <c r="C24" s="389">
        <f>C23+C6</f>
        <v>82401</v>
      </c>
      <c r="D24" s="389">
        <f>D23+D6</f>
        <v>81762</v>
      </c>
      <c r="E24" s="42">
        <f>E23+E6</f>
        <v>30133</v>
      </c>
    </row>
    <row r="25" spans="2:5" ht="15.75">
      <c r="B25" s="27" t="s">
        <v>25</v>
      </c>
      <c r="C25" s="387"/>
      <c r="D25" s="387"/>
      <c r="E25" s="32"/>
    </row>
    <row r="26" spans="2:5" ht="15.75">
      <c r="B26" s="38" t="s">
        <v>125</v>
      </c>
      <c r="C26" s="29">
        <v>3621</v>
      </c>
      <c r="D26" s="29">
        <v>5200</v>
      </c>
      <c r="E26" s="34">
        <v>5000</v>
      </c>
    </row>
    <row r="27" spans="2:5" ht="15.75">
      <c r="B27" s="37" t="s">
        <v>102</v>
      </c>
      <c r="C27" s="29">
        <v>1117</v>
      </c>
      <c r="D27" s="29">
        <v>1500</v>
      </c>
      <c r="E27" s="34">
        <v>1500</v>
      </c>
    </row>
    <row r="28" spans="2:5" ht="15.75">
      <c r="B28" s="38" t="s">
        <v>127</v>
      </c>
      <c r="C28" s="29">
        <v>21500</v>
      </c>
      <c r="D28" s="29">
        <v>1200</v>
      </c>
      <c r="E28" s="34">
        <v>23899</v>
      </c>
    </row>
    <row r="29" spans="2:5" ht="15.75">
      <c r="B29" s="38" t="s">
        <v>105</v>
      </c>
      <c r="C29" s="29">
        <v>3305</v>
      </c>
      <c r="D29" s="29">
        <v>10400</v>
      </c>
      <c r="E29" s="34">
        <v>10400</v>
      </c>
    </row>
    <row r="30" spans="2:5" ht="15.75">
      <c r="B30" s="38" t="s">
        <v>103</v>
      </c>
      <c r="C30" s="29">
        <v>4354</v>
      </c>
      <c r="D30" s="29">
        <v>25000</v>
      </c>
      <c r="E30" s="34">
        <v>20000</v>
      </c>
    </row>
    <row r="31" spans="2:5" ht="15.75">
      <c r="B31" s="38" t="s">
        <v>128</v>
      </c>
      <c r="C31" s="29">
        <v>4833</v>
      </c>
      <c r="D31" s="29">
        <v>4500</v>
      </c>
      <c r="E31" s="34">
        <v>5000</v>
      </c>
    </row>
    <row r="32" spans="2:5" ht="15.75">
      <c r="B32" s="38" t="s">
        <v>950</v>
      </c>
      <c r="C32" s="29">
        <v>5908</v>
      </c>
      <c r="D32" s="29"/>
      <c r="E32" s="34">
        <v>6000</v>
      </c>
    </row>
    <row r="33" spans="2:5" ht="15.75">
      <c r="B33" s="38" t="s">
        <v>951</v>
      </c>
      <c r="C33" s="29">
        <v>1866</v>
      </c>
      <c r="D33" s="29">
        <v>5762</v>
      </c>
      <c r="E33" s="34">
        <v>2000</v>
      </c>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46504</v>
      </c>
      <c r="D43" s="389">
        <f>SUM(D26:D38,D40:D41)</f>
        <v>53562</v>
      </c>
      <c r="E43" s="42">
        <f>SUM(E26:E38,E40:E41)</f>
        <v>73799</v>
      </c>
      <c r="G43" s="484">
        <f>D44</f>
        <v>28200</v>
      </c>
      <c r="H43" s="485" t="str">
        <f>CONCATENATE("",E1-1," Ending Cash Balance (est.)")</f>
        <v>2013 Ending Cash Balance (est.)</v>
      </c>
      <c r="I43" s="486"/>
      <c r="J43" s="257"/>
    </row>
    <row r="44" spans="2:10" ht="15.75">
      <c r="B44" s="27" t="s">
        <v>119</v>
      </c>
      <c r="C44" s="382">
        <f>C24-C43</f>
        <v>35897</v>
      </c>
      <c r="D44" s="382">
        <f>D24-D43</f>
        <v>28200</v>
      </c>
      <c r="E44" s="33" t="s">
        <v>289</v>
      </c>
      <c r="G44" s="484">
        <f>E23</f>
        <v>1933</v>
      </c>
      <c r="H44" s="487" t="str">
        <f>CONCATENATE("",E1," Non-AV Receipts (est.)")</f>
        <v>2014 Non-AV Receipts (est.)</v>
      </c>
      <c r="I44" s="486"/>
      <c r="J44" s="257"/>
    </row>
    <row r="45" spans="2:11" ht="15.75">
      <c r="B45" s="48" t="str">
        <f>CONCATENATE("",E1-2,"/",E1-1," Budget Authority Amount:")</f>
        <v>2012/2013 Budget Authority Amount:</v>
      </c>
      <c r="C45" s="132">
        <f>inputOth!B49</f>
        <v>61239</v>
      </c>
      <c r="D45" s="161">
        <f>inputPrYr!D19</f>
        <v>53562</v>
      </c>
      <c r="E45" s="33" t="s">
        <v>289</v>
      </c>
      <c r="F45" s="50"/>
      <c r="G45" s="488">
        <f>IF(D49&gt;0,E48,E50)</f>
        <v>43666</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73799</v>
      </c>
      <c r="H46" s="487" t="str">
        <f>CONCATENATE("Total ",E1," Resources Available")</f>
        <v>Total 2014 Resources Available</v>
      </c>
      <c r="I46" s="486"/>
      <c r="J46" s="257"/>
    </row>
    <row r="47" spans="2:10" ht="15.75">
      <c r="B47" s="395" t="str">
        <f>CONCATENATE(C74,"     ",D74)</f>
        <v>     </v>
      </c>
      <c r="C47" s="803" t="s">
        <v>623</v>
      </c>
      <c r="D47" s="804"/>
      <c r="E47" s="32">
        <f>E43+E46</f>
        <v>73799</v>
      </c>
      <c r="G47" s="489"/>
      <c r="H47" s="487"/>
      <c r="I47" s="487"/>
      <c r="J47" s="257"/>
    </row>
    <row r="48" spans="2:10" ht="15.75">
      <c r="B48" s="395" t="str">
        <f>CONCATENATE(C75,"     ",D75)</f>
        <v>     </v>
      </c>
      <c r="C48" s="60"/>
      <c r="D48" s="52" t="s">
        <v>28</v>
      </c>
      <c r="E48" s="46">
        <f>IF(E47-E24&gt;0,E47-E24,0)</f>
        <v>43666</v>
      </c>
      <c r="G48" s="488">
        <f>ROUND(C43*0.05+C43,0)</f>
        <v>48829</v>
      </c>
      <c r="H48" s="487" t="str">
        <f>CONCATENATE("Less ",E1-2," Expenditures + 5%")</f>
        <v>Less 2012 Expenditures + 5%</v>
      </c>
      <c r="I48" s="486"/>
      <c r="J48" s="257"/>
    </row>
    <row r="49" spans="2:10" ht="15.75">
      <c r="B49" s="52"/>
      <c r="C49" s="399" t="s">
        <v>624</v>
      </c>
      <c r="D49" s="689">
        <f>inputOth!$E$40</f>
        <v>0</v>
      </c>
      <c r="E49" s="32">
        <f>ROUND(IF(D49&gt;0,(E48*D49),0),0)</f>
        <v>0</v>
      </c>
      <c r="G49" s="490">
        <f>G46-G48</f>
        <v>24970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43666</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15.235</v>
      </c>
      <c r="H53" s="485" t="str">
        <f>CONCATENATE("",E1," Fund Mill Rate")</f>
        <v>2014 Fund Mill Rate</v>
      </c>
      <c r="I53" s="691"/>
      <c r="J53" s="703"/>
    </row>
    <row r="54" spans="2:10" ht="15.75">
      <c r="B54" s="71" t="s">
        <v>31</v>
      </c>
      <c r="C54" s="400" t="str">
        <f>CONCATENATE("",E1-2," Actual Year")</f>
        <v>2012 Actual Year</v>
      </c>
      <c r="D54" s="14"/>
      <c r="E54" s="14"/>
      <c r="G54" s="705">
        <f>summ!F21</f>
        <v>11.841</v>
      </c>
      <c r="H54" s="485" t="str">
        <f>CONCATENATE("",E1-1," Fund Mill Rate")</f>
        <v>2013 Fund Mill Rate</v>
      </c>
      <c r="I54" s="691"/>
      <c r="J54" s="703"/>
    </row>
    <row r="55" spans="2:10" ht="15.75">
      <c r="B55" s="72" t="s">
        <v>14</v>
      </c>
      <c r="C55" s="130"/>
      <c r="D55" s="14"/>
      <c r="E55" s="14"/>
      <c r="G55" s="706">
        <f>summ!I32</f>
        <v>16.525</v>
      </c>
      <c r="H55" s="485" t="str">
        <f>CONCATENATE("Total ",E1," Mill Rate")</f>
        <v>Total 2014 Mill Rate</v>
      </c>
      <c r="I55" s="691"/>
      <c r="J55" s="703"/>
    </row>
    <row r="56" spans="2:10" ht="15.75">
      <c r="B56" s="72" t="s">
        <v>33</v>
      </c>
      <c r="C56" s="132"/>
      <c r="D56" s="14"/>
      <c r="E56" s="14"/>
      <c r="G56" s="705">
        <f>summ!F32</f>
        <v>12.719999999999999</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55">
      <selection activeCell="E24" sqref="E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Round Mound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Cemetery</v>
      </c>
      <c r="C5" s="386" t="str">
        <f>gen!C5</f>
        <v>Actual for 2012</v>
      </c>
      <c r="D5" s="386" t="str">
        <f>gen!D5</f>
        <v>Estimate for 2013</v>
      </c>
      <c r="E5" s="26" t="str">
        <f>gen!E5</f>
        <v>Year for 2014</v>
      </c>
    </row>
    <row r="6" spans="2:5" ht="15.75">
      <c r="B6" s="27" t="s">
        <v>118</v>
      </c>
      <c r="C6" s="29">
        <v>4246</v>
      </c>
      <c r="D6" s="387">
        <f>C34</f>
        <v>4800</v>
      </c>
      <c r="E6" s="32">
        <f>D34</f>
        <v>3240</v>
      </c>
    </row>
    <row r="7" spans="2:5" ht="15.75">
      <c r="B7" s="27" t="s">
        <v>120</v>
      </c>
      <c r="C7" s="387"/>
      <c r="D7" s="387"/>
      <c r="E7" s="33"/>
    </row>
    <row r="8" spans="2:5" ht="15.75">
      <c r="B8" s="27" t="s">
        <v>16</v>
      </c>
      <c r="C8" s="29">
        <v>984</v>
      </c>
      <c r="D8" s="387">
        <f>IF(inputPrYr!H15&gt;0,inputPrYr!G20,inputPrYr!E20)</f>
        <v>1422</v>
      </c>
      <c r="E8" s="33" t="s">
        <v>289</v>
      </c>
    </row>
    <row r="9" spans="2:5" ht="15.75">
      <c r="B9" s="27" t="s">
        <v>17</v>
      </c>
      <c r="C9" s="29">
        <v>0</v>
      </c>
      <c r="D9" s="29"/>
      <c r="E9" s="34"/>
    </row>
    <row r="10" spans="2:5" ht="15.75">
      <c r="B10" s="27" t="s">
        <v>18</v>
      </c>
      <c r="C10" s="29">
        <v>44</v>
      </c>
      <c r="D10" s="29">
        <v>16</v>
      </c>
      <c r="E10" s="32">
        <f>mvalloc!G15</f>
        <v>24</v>
      </c>
    </row>
    <row r="11" spans="2:5" ht="15.75">
      <c r="B11" s="27" t="s">
        <v>19</v>
      </c>
      <c r="C11" s="29">
        <v>0</v>
      </c>
      <c r="D11" s="29">
        <v>0</v>
      </c>
      <c r="E11" s="32">
        <f>mvalloc!I15</f>
        <v>0</v>
      </c>
    </row>
    <row r="12" spans="2:5" ht="15.75">
      <c r="B12" s="35" t="s">
        <v>69</v>
      </c>
      <c r="C12" s="29">
        <v>6</v>
      </c>
      <c r="D12" s="29">
        <v>2</v>
      </c>
      <c r="E12" s="32">
        <f>mvalloc!J15</f>
        <v>3</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1034</v>
      </c>
      <c r="D20" s="389">
        <f>SUM(D8:D18)</f>
        <v>1440</v>
      </c>
      <c r="E20" s="42">
        <f>SUM(E8:E18)</f>
        <v>27</v>
      </c>
    </row>
    <row r="21" spans="2:5" ht="15.75">
      <c r="B21" s="43" t="s">
        <v>24</v>
      </c>
      <c r="C21" s="389">
        <f>C20+C6</f>
        <v>5280</v>
      </c>
      <c r="D21" s="389">
        <f>D20+D6</f>
        <v>6240</v>
      </c>
      <c r="E21" s="42">
        <f>E20+E6</f>
        <v>3267</v>
      </c>
    </row>
    <row r="22" spans="2:5" ht="15.75">
      <c r="B22" s="27" t="s">
        <v>25</v>
      </c>
      <c r="C22" s="387"/>
      <c r="D22" s="387"/>
      <c r="E22" s="32"/>
    </row>
    <row r="23" spans="2:5" ht="15.75">
      <c r="B23" s="38" t="s">
        <v>952</v>
      </c>
      <c r="C23" s="29">
        <v>480</v>
      </c>
      <c r="D23" s="29">
        <v>3000</v>
      </c>
      <c r="E23" s="34">
        <v>3500</v>
      </c>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480</v>
      </c>
      <c r="D33" s="389">
        <f>SUM(D23:D31)</f>
        <v>3000</v>
      </c>
      <c r="E33" s="42">
        <f>SUM(E23:E31)</f>
        <v>3500</v>
      </c>
      <c r="G33" s="631">
        <f>D34</f>
        <v>3240</v>
      </c>
      <c r="H33" s="632" t="str">
        <f>CONCATENATE("",E1-1," Ending Cash Balance (est.)")</f>
        <v>2013 Ending Cash Balance (est.)</v>
      </c>
      <c r="I33" s="633"/>
      <c r="J33" s="628"/>
      <c r="K33" s="582"/>
    </row>
    <row r="34" spans="2:11" ht="15.75">
      <c r="B34" s="27" t="s">
        <v>119</v>
      </c>
      <c r="C34" s="382">
        <f>C21-C33</f>
        <v>4800</v>
      </c>
      <c r="D34" s="382">
        <f>D21-D33</f>
        <v>3240</v>
      </c>
      <c r="E34" s="33" t="s">
        <v>289</v>
      </c>
      <c r="G34" s="631">
        <f>E20</f>
        <v>27</v>
      </c>
      <c r="H34" s="615" t="str">
        <f>CONCATENATE("",E1," Non-AV Receipts (est.)")</f>
        <v>2014 Non-AV Receipts (est.)</v>
      </c>
      <c r="I34" s="633"/>
      <c r="J34" s="628"/>
      <c r="K34" s="582"/>
    </row>
    <row r="35" spans="2:11" ht="15.75">
      <c r="B35" s="48" t="str">
        <f>CONCATENATE("",E1-2,"/",E1-1," Budget Authority Amount:")</f>
        <v>2012/2013 Budget Authority Amount:</v>
      </c>
      <c r="C35" s="132">
        <f>inputOth!B50</f>
        <v>3717</v>
      </c>
      <c r="D35" s="161">
        <f>inputPrYr!D20</f>
        <v>3000</v>
      </c>
      <c r="E35" s="33" t="s">
        <v>289</v>
      </c>
      <c r="F35" s="50"/>
      <c r="G35" s="640">
        <f>IF(E39&gt;0,E38,E40)</f>
        <v>233</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3500</v>
      </c>
      <c r="H36" s="615" t="str">
        <f>CONCATENATE("Total ",E1," Resources Available")</f>
        <v>Total 2014 Resources Available</v>
      </c>
      <c r="I36" s="633"/>
      <c r="J36" s="628"/>
      <c r="K36" s="582"/>
    </row>
    <row r="37" spans="2:11" ht="15.75">
      <c r="B37" s="395" t="str">
        <f>CONCATENATE(C92,"     ",D92)</f>
        <v>     </v>
      </c>
      <c r="C37" s="803" t="s">
        <v>623</v>
      </c>
      <c r="D37" s="804"/>
      <c r="E37" s="32">
        <f>E33+E36</f>
        <v>3500</v>
      </c>
      <c r="G37" s="644"/>
      <c r="H37" s="615"/>
      <c r="I37" s="615"/>
      <c r="J37" s="628"/>
      <c r="K37" s="582"/>
    </row>
    <row r="38" spans="2:11" ht="15.75">
      <c r="B38" s="395" t="str">
        <f>CONCATENATE(C93,"     ",D93)</f>
        <v>     </v>
      </c>
      <c r="C38" s="60"/>
      <c r="D38" s="52" t="s">
        <v>28</v>
      </c>
      <c r="E38" s="46">
        <f>IF(E37-E21&gt;0,E37-E21,0)</f>
        <v>233</v>
      </c>
      <c r="G38" s="640">
        <f>C33*0.05+C33</f>
        <v>504</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2996</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233</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0.081</v>
      </c>
      <c r="H43" s="632" t="str">
        <f>CONCATENATE("",E1," Fund Mill Rate")</f>
        <v>2014 Fund Mill Rate</v>
      </c>
      <c r="I43" s="656"/>
      <c r="J43" s="657"/>
      <c r="K43" s="582"/>
    </row>
    <row r="44" spans="2:11" ht="15.75">
      <c r="B44" s="14"/>
      <c r="C44" s="385" t="s">
        <v>11</v>
      </c>
      <c r="D44" s="388" t="s">
        <v>12</v>
      </c>
      <c r="E44" s="23" t="s">
        <v>13</v>
      </c>
      <c r="G44" s="659">
        <f>summ!F22</f>
        <v>0.382</v>
      </c>
      <c r="H44" s="632" t="str">
        <f>CONCATENATE("",E1-1," Fund Mill Rate")</f>
        <v>2013 Fund Mill Rate</v>
      </c>
      <c r="I44" s="656"/>
      <c r="J44" s="657"/>
      <c r="K44" s="582"/>
    </row>
    <row r="45" spans="2:11" ht="15.75">
      <c r="B45" s="477" t="str">
        <f>inputPrYr!B21</f>
        <v>Weed</v>
      </c>
      <c r="C45" s="386" t="str">
        <f>C5</f>
        <v>Actual for 2012</v>
      </c>
      <c r="D45" s="386" t="str">
        <f>D5</f>
        <v>Estimate for 2013</v>
      </c>
      <c r="E45" s="26" t="str">
        <f>E5</f>
        <v>Year for 2014</v>
      </c>
      <c r="G45" s="661">
        <f>summ!I32</f>
        <v>16.525</v>
      </c>
      <c r="H45" s="632" t="str">
        <f>CONCATENATE("Total ",E1," Mill Rate")</f>
        <v>Total 2014 Mill Rate</v>
      </c>
      <c r="I45" s="656"/>
      <c r="J45" s="657"/>
      <c r="K45" s="582"/>
    </row>
    <row r="46" spans="2:11" ht="15.75">
      <c r="B46" s="27" t="s">
        <v>118</v>
      </c>
      <c r="C46" s="29">
        <v>2003</v>
      </c>
      <c r="D46" s="387">
        <f>C74</f>
        <v>758</v>
      </c>
      <c r="E46" s="32">
        <f>D74</f>
        <v>0</v>
      </c>
      <c r="G46" s="659">
        <f>summ!F32</f>
        <v>12.719999999999999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v>1369</v>
      </c>
      <c r="D48" s="387">
        <f>IF(inputPrYr!H15&gt;0,inputPrYr!G21,inputPrYr!E21)</f>
        <v>1849</v>
      </c>
      <c r="E48" s="33" t="s">
        <v>289</v>
      </c>
      <c r="G48" s="744" t="s">
        <v>933</v>
      </c>
      <c r="H48" s="743"/>
      <c r="I48" s="742" t="str">
        <f>cert!F37</f>
        <v>No</v>
      </c>
      <c r="J48" s="582"/>
      <c r="K48" s="582"/>
    </row>
    <row r="49" spans="2:11" ht="15.75">
      <c r="B49" s="27" t="s">
        <v>17</v>
      </c>
      <c r="C49" s="29">
        <v>0</v>
      </c>
      <c r="D49" s="29">
        <v>0</v>
      </c>
      <c r="E49" s="34"/>
      <c r="G49" s="582"/>
      <c r="H49" s="582"/>
      <c r="I49" s="582"/>
      <c r="J49" s="582"/>
      <c r="K49" s="582"/>
    </row>
    <row r="50" spans="2:11" ht="15.75">
      <c r="B50" s="27" t="s">
        <v>18</v>
      </c>
      <c r="C50" s="29">
        <v>46</v>
      </c>
      <c r="D50" s="29">
        <v>22</v>
      </c>
      <c r="E50" s="32">
        <f>mvalloc!G16</f>
        <v>32</v>
      </c>
      <c r="G50" s="582"/>
      <c r="H50" s="582"/>
      <c r="I50" s="582"/>
      <c r="J50" s="582"/>
      <c r="K50" s="582"/>
    </row>
    <row r="51" spans="2:11" ht="15.75">
      <c r="B51" s="27" t="s">
        <v>19</v>
      </c>
      <c r="C51" s="29">
        <v>0</v>
      </c>
      <c r="D51" s="29">
        <v>0</v>
      </c>
      <c r="E51" s="32">
        <f>mvalloc!I16</f>
        <v>0</v>
      </c>
      <c r="G51" s="582"/>
      <c r="H51" s="582"/>
      <c r="I51" s="582"/>
      <c r="J51" s="582"/>
      <c r="K51" s="582"/>
    </row>
    <row r="52" spans="2:11" ht="15.75">
      <c r="B52" s="27" t="s">
        <v>99</v>
      </c>
      <c r="C52" s="29">
        <v>6</v>
      </c>
      <c r="D52" s="29">
        <v>3</v>
      </c>
      <c r="E52" s="32">
        <f>mvalloc!J16</f>
        <v>3</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1421</v>
      </c>
      <c r="D60" s="389">
        <f>SUM(D48:D58)</f>
        <v>1874</v>
      </c>
      <c r="E60" s="42">
        <f>SUM(E48:E58)</f>
        <v>35</v>
      </c>
      <c r="G60" s="582"/>
      <c r="H60" s="582"/>
      <c r="I60" s="582"/>
      <c r="J60" s="582"/>
      <c r="K60" s="582"/>
    </row>
    <row r="61" spans="2:11" ht="15.75">
      <c r="B61" s="43" t="s">
        <v>24</v>
      </c>
      <c r="C61" s="389">
        <f>C60+C46</f>
        <v>3424</v>
      </c>
      <c r="D61" s="389">
        <f>D60+D46</f>
        <v>2632</v>
      </c>
      <c r="E61" s="42">
        <f>E60+E46</f>
        <v>35</v>
      </c>
      <c r="G61" s="582"/>
      <c r="H61" s="582"/>
      <c r="I61" s="582"/>
      <c r="J61" s="582"/>
      <c r="K61" s="582"/>
    </row>
    <row r="62" spans="2:11" ht="15.75">
      <c r="B62" s="27" t="s">
        <v>25</v>
      </c>
      <c r="C62" s="387"/>
      <c r="D62" s="387"/>
      <c r="E62" s="32"/>
      <c r="G62" s="582"/>
      <c r="H62" s="582"/>
      <c r="I62" s="582"/>
      <c r="J62" s="582"/>
      <c r="K62" s="582"/>
    </row>
    <row r="63" spans="2:11" ht="15.75">
      <c r="B63" s="38" t="s">
        <v>953</v>
      </c>
      <c r="C63" s="29">
        <v>1597</v>
      </c>
      <c r="D63" s="29">
        <v>1632</v>
      </c>
      <c r="E63" s="34">
        <v>2000</v>
      </c>
      <c r="G63" s="582"/>
      <c r="H63" s="582"/>
      <c r="I63" s="582"/>
      <c r="J63" s="582"/>
      <c r="K63" s="582"/>
    </row>
    <row r="64" spans="2:11" ht="15.75">
      <c r="B64" s="38" t="s">
        <v>954</v>
      </c>
      <c r="C64" s="29">
        <v>1069</v>
      </c>
      <c r="D64" s="29">
        <v>1000</v>
      </c>
      <c r="E64" s="34">
        <v>1500</v>
      </c>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2666</v>
      </c>
      <c r="D73" s="389">
        <f>SUM(D63:D71)</f>
        <v>2632</v>
      </c>
      <c r="E73" s="42">
        <f>SUM(E63:E71)</f>
        <v>3500</v>
      </c>
      <c r="G73" s="631">
        <f>D74</f>
        <v>0</v>
      </c>
      <c r="H73" s="632" t="str">
        <f>CONCATENATE("",E1-1," Ending Cash Balance (est.)")</f>
        <v>2013 Ending Cash Balance (est.)</v>
      </c>
      <c r="I73" s="633"/>
      <c r="J73" s="668"/>
      <c r="K73" s="582"/>
    </row>
    <row r="74" spans="2:11" ht="15.75">
      <c r="B74" s="27" t="s">
        <v>119</v>
      </c>
      <c r="C74" s="382">
        <f>C61-C73</f>
        <v>758</v>
      </c>
      <c r="D74" s="382">
        <f>D61-D73</f>
        <v>0</v>
      </c>
      <c r="E74" s="33" t="s">
        <v>289</v>
      </c>
      <c r="G74" s="631">
        <f>E60</f>
        <v>35</v>
      </c>
      <c r="H74" s="615" t="str">
        <f>CONCATENATE("",E1," Non-AV Receipts (est.)")</f>
        <v>2014 Non-AV Receipts (est.)</v>
      </c>
      <c r="I74" s="633"/>
      <c r="J74" s="668"/>
      <c r="K74" s="582"/>
    </row>
    <row r="75" spans="2:11" ht="15.75">
      <c r="B75" s="48" t="str">
        <f>CONCATENATE("",E1-2,"/",E1-1," Budget Authority Amount:")</f>
        <v>2012/2013 Budget Authority Amount:</v>
      </c>
      <c r="C75" s="132">
        <f>inputOth!B51</f>
        <v>2500</v>
      </c>
      <c r="D75" s="161">
        <f>inputPrYr!D21</f>
        <v>2800</v>
      </c>
      <c r="E75" s="33" t="s">
        <v>289</v>
      </c>
      <c r="F75" s="50"/>
      <c r="G75" s="640">
        <f>IF(E79&gt;0,E78,E80)</f>
        <v>3465</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3500</v>
      </c>
      <c r="H76" s="615" t="str">
        <f>CONCATENATE("Total ",E1," Resources Available")</f>
        <v>Total 2014 Resources Available</v>
      </c>
      <c r="I76" s="671"/>
      <c r="J76" s="668"/>
      <c r="K76" s="582"/>
    </row>
    <row r="77" spans="2:11" ht="15.75">
      <c r="B77" s="395" t="str">
        <f>CONCATENATE(C94,"     ",D94)</f>
        <v>See Tab A     </v>
      </c>
      <c r="C77" s="803" t="s">
        <v>623</v>
      </c>
      <c r="D77" s="804"/>
      <c r="E77" s="32">
        <f>E73+E76</f>
        <v>3500</v>
      </c>
      <c r="G77" s="672"/>
      <c r="H77" s="673"/>
      <c r="I77" s="614"/>
      <c r="J77" s="668"/>
      <c r="K77" s="582"/>
    </row>
    <row r="78" spans="2:11" ht="15.75">
      <c r="B78" s="395" t="str">
        <f>CONCATENATE(C95,"     ",D95)</f>
        <v>     </v>
      </c>
      <c r="C78" s="60"/>
      <c r="D78" s="52" t="s">
        <v>28</v>
      </c>
      <c r="E78" s="46">
        <f>IF(E77-E61&gt;0,E77-E61,0)</f>
        <v>3465</v>
      </c>
      <c r="G78" s="640">
        <f>ROUND(C73*0.05+C73,0)</f>
        <v>2799</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701</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3465</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f>summ!I23</f>
        <v>1.209</v>
      </c>
      <c r="H83" s="632" t="str">
        <f>CONCATENATE("",E1," Fund Mill Rate")</f>
        <v>2014 Fund Mill Rate</v>
      </c>
      <c r="I83" s="656"/>
      <c r="J83" s="657"/>
      <c r="K83" s="582"/>
    </row>
    <row r="84" spans="7:11" ht="15.75">
      <c r="G84" s="659">
        <f>summ!F23</f>
        <v>0.497</v>
      </c>
      <c r="H84" s="632" t="str">
        <f>CONCATENATE("",E1-1," Fund Mill Rate")</f>
        <v>2013 Fund Mill Rate</v>
      </c>
      <c r="I84" s="656"/>
      <c r="J84" s="657"/>
      <c r="K84" s="582"/>
    </row>
    <row r="85" spans="7:11" ht="15.75">
      <c r="G85" s="661">
        <f>summ!I32</f>
        <v>16.525</v>
      </c>
      <c r="H85" s="632" t="str">
        <f>CONCATENATE("Total ",E1," Mill Rate")</f>
        <v>Total 2014 Mill Rate</v>
      </c>
      <c r="I85" s="656"/>
      <c r="J85" s="657"/>
      <c r="K85" s="582"/>
    </row>
    <row r="86" spans="7:11" ht="15.75">
      <c r="G86" s="659">
        <f>summ!F32</f>
        <v>12.719999999999999</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t="str">
        <f>IF(C73&gt;C75,"See Tab A","")</f>
        <v>See Tab A</v>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Round Mound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16.525</v>
      </c>
      <c r="H45" s="632" t="str">
        <f>CONCATENATE("Total ",E1," Mill Rate")</f>
        <v>Total 2014 Mill Rate</v>
      </c>
      <c r="I45" s="656"/>
      <c r="J45" s="657"/>
      <c r="K45" s="582"/>
    </row>
    <row r="46" spans="2:11" ht="15.75">
      <c r="B46" s="27" t="s">
        <v>118</v>
      </c>
      <c r="C46" s="29"/>
      <c r="D46" s="387">
        <f>C74</f>
        <v>0</v>
      </c>
      <c r="E46" s="32">
        <f>D74</f>
        <v>0</v>
      </c>
      <c r="G46" s="659">
        <f>summ!F32</f>
        <v>12.719999999999999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16.525</v>
      </c>
      <c r="H85" s="632" t="str">
        <f>CONCATENATE("Total ",E1," Mill Rate")</f>
        <v>Total 2014 Mill Rate</v>
      </c>
      <c r="I85" s="656"/>
      <c r="J85" s="657"/>
      <c r="K85" s="582"/>
    </row>
    <row r="86" spans="7:11" ht="15.75">
      <c r="G86" s="659">
        <f>summ!F32</f>
        <v>12.719999999999999</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Round Mound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16.525</v>
      </c>
      <c r="H45" s="632" t="str">
        <f>CONCATENATE("Total ",E1," Mill Rate")</f>
        <v>Total 2014 Mill Rate</v>
      </c>
      <c r="I45" s="656"/>
      <c r="J45" s="657"/>
      <c r="K45" s="582"/>
    </row>
    <row r="46" spans="2:11" ht="15.75">
      <c r="B46" s="27" t="s">
        <v>118</v>
      </c>
      <c r="C46" s="29"/>
      <c r="D46" s="387">
        <f>C74</f>
        <v>0</v>
      </c>
      <c r="E46" s="32">
        <f>D74</f>
        <v>0</v>
      </c>
      <c r="G46" s="659">
        <f>summ!F32</f>
        <v>12.719999999999999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16.525</v>
      </c>
      <c r="H85" s="632" t="str">
        <f>CONCATENATE("Total ",E1," Mill Rate")</f>
        <v>Total 2014 Mill Rate</v>
      </c>
      <c r="I85" s="656"/>
      <c r="J85" s="657"/>
      <c r="K85" s="582"/>
    </row>
    <row r="86" spans="7:11" ht="15.75">
      <c r="G86" s="659">
        <f>summ!F32</f>
        <v>12.719999999999999</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Round Mound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Round Mound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9">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2250</v>
      </c>
      <c r="E16" s="187">
        <v>0</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53562</v>
      </c>
      <c r="E19" s="187">
        <v>44091</v>
      </c>
      <c r="G19" s="32">
        <f>IF(H15&gt;0,ROUND(E19-(E19*H15),0),0)</f>
        <v>0</v>
      </c>
    </row>
    <row r="20" spans="1:7" ht="15.75">
      <c r="A20" s="14"/>
      <c r="B20" s="379" t="s">
        <v>943</v>
      </c>
      <c r="C20" s="380"/>
      <c r="D20" s="187">
        <v>3000</v>
      </c>
      <c r="E20" s="187">
        <v>1422</v>
      </c>
      <c r="G20" s="32">
        <f>IF(H15&gt;0,ROUND(E20-(E20*H15),0),0)</f>
        <v>0</v>
      </c>
    </row>
    <row r="21" spans="1:7" ht="15.75">
      <c r="A21" s="14"/>
      <c r="B21" s="187" t="s">
        <v>944</v>
      </c>
      <c r="C21" s="391"/>
      <c r="D21" s="187">
        <v>2800</v>
      </c>
      <c r="E21" s="187">
        <v>1849</v>
      </c>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47362</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61612</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0</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10.007</v>
      </c>
      <c r="E45" s="14"/>
    </row>
    <row r="46" spans="1:5" ht="15.75">
      <c r="A46" s="14"/>
      <c r="B46" s="72" t="str">
        <f t="shared" si="0"/>
        <v>Cemetery</v>
      </c>
      <c r="C46" s="14"/>
      <c r="D46" s="322">
        <v>0.23</v>
      </c>
      <c r="E46" s="14"/>
    </row>
    <row r="47" spans="1:5" ht="15.75">
      <c r="A47" s="14"/>
      <c r="B47" s="72" t="str">
        <f t="shared" si="0"/>
        <v>Weed</v>
      </c>
      <c r="C47" s="14"/>
      <c r="D47" s="322">
        <v>0.319</v>
      </c>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10.556000000000001</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46007</v>
      </c>
    </row>
    <row r="55" spans="1:5" ht="15.75">
      <c r="A55" s="327" t="str">
        <f>CONCATENATE("Assessed Valuation (",D5-2," budget column)")</f>
        <v>Assessed Valuation (2012 budget column)</v>
      </c>
      <c r="B55" s="328"/>
      <c r="C55" s="267"/>
      <c r="D55" s="28"/>
      <c r="E55" s="187">
        <v>4359113</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75"/>
      <c r="D2" s="775"/>
      <c r="E2" s="775"/>
      <c r="F2" s="775"/>
      <c r="G2" s="775"/>
      <c r="H2" s="775"/>
      <c r="I2" s="775"/>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73" t="str">
        <f>inputPrYr!D2</f>
        <v>Round Mound Township</v>
      </c>
      <c r="C5" s="773"/>
      <c r="D5" s="773"/>
      <c r="E5" s="773"/>
      <c r="F5" s="773"/>
      <c r="G5" s="773"/>
      <c r="H5" s="773"/>
      <c r="I5" s="773"/>
    </row>
    <row r="6" spans="2:9" ht="15.75">
      <c r="B6" s="773" t="str">
        <f>inputPrYr!D3</f>
        <v>Osborne County</v>
      </c>
      <c r="C6" s="773"/>
      <c r="D6" s="773"/>
      <c r="E6" s="773"/>
      <c r="F6" s="773"/>
      <c r="G6" s="773"/>
      <c r="H6" s="773"/>
      <c r="I6" s="773"/>
    </row>
    <row r="7" spans="2:9" ht="15.75">
      <c r="B7" s="764" t="str">
        <f>CONCATENATE("will meet on ",inputBudSum!B8," at ",inputBudSum!B10," at ",inputBudSum!B12," for the purpose of hearing and")</f>
        <v>will meet on August 5, 2013 at 8:00 p.m. at Schneider Pellets, 2216 W. 210th Drive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Osborne County Clerk's Office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7" t="str">
        <f>CONCATENATE("Amount of ",I1-1," Ad Valorem Tax")</f>
        <v>Amount of 2013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2086</v>
      </c>
      <c r="D18" s="524" t="str">
        <f>IF(inputPrYr!D42&gt;0,inputPrYr!D42,"  ")</f>
        <v>  </v>
      </c>
      <c r="E18" s="32">
        <f>IF(gen!$D$50&lt;&gt;0,gen!$D$50,"  ")</f>
        <v>1790</v>
      </c>
      <c r="F18" s="235" t="str">
        <f>IF(inputOth!D17&gt;0,inputOth!D17,"  ")</f>
        <v>  </v>
      </c>
      <c r="G18" s="32">
        <f>IF(gen!$E$50&lt;&gt;0,gen!$E$50,"  ")</f>
        <v>440</v>
      </c>
      <c r="H18" s="32" t="str">
        <f>IF(gen!$E$57&lt;&gt;0,gen!$E$57," ")</f>
        <v> </v>
      </c>
      <c r="I18" s="526" t="str">
        <f>IF(gen!E57&gt;0,ROUND(H18/$G$37*1000,3)," ")</f>
        <v> </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46504</v>
      </c>
      <c r="D21" s="524">
        <f>IF(inputPrYr!D45&gt;0,inputPrYr!D45,"  ")</f>
        <v>10.007</v>
      </c>
      <c r="E21" s="32">
        <f>IF(road!$D$43&lt;&gt;0,road!$D$43,"  ")</f>
        <v>53562</v>
      </c>
      <c r="F21" s="235">
        <f>IF(inputOth!D20&gt;0,inputOth!D20,"  ")</f>
        <v>11.841</v>
      </c>
      <c r="G21" s="32">
        <f>IF(road!$E$43&lt;&gt;0,road!$E$43,"  ")</f>
        <v>73799</v>
      </c>
      <c r="H21" s="32">
        <f>IF(road!$E$50&lt;&gt;0,road!$E$50,"  ")</f>
        <v>43666</v>
      </c>
      <c r="I21" s="526">
        <f>IF(road!E50&gt;0,ROUND(H21/$G$37*1000,3)," ")</f>
        <v>15.235</v>
      </c>
      <c r="K21" s="833" t="str">
        <f>CONCATENATE("Estimated Value Of One Mill For ",I1,"")</f>
        <v>Estimated Value Of One Mill For 2014</v>
      </c>
      <c r="L21" s="838"/>
      <c r="M21" s="838"/>
      <c r="N21" s="839"/>
    </row>
    <row r="22" spans="2:14" ht="15.75">
      <c r="B22" s="85" t="str">
        <f>IF(inputPrYr!$B20&gt;"  ",inputPrYr!$B20,"  ")</f>
        <v>Cemetery</v>
      </c>
      <c r="C22" s="32">
        <f>IF(levypage9!$C$33&lt;&gt;0,levypage9!$C$33,"  ")</f>
        <v>480</v>
      </c>
      <c r="D22" s="524">
        <f>IF(inputPrYr!D46&gt;0,inputPrYr!D46,"  ")</f>
        <v>0.23</v>
      </c>
      <c r="E22" s="32">
        <f>IF(levypage9!$D$33&lt;&gt;0,levypage9!$D$33,"  ")</f>
        <v>3000</v>
      </c>
      <c r="F22" s="235">
        <f>IF(inputOth!D21&gt;0,inputOth!D21,"  ")</f>
        <v>0.382</v>
      </c>
      <c r="G22" s="32">
        <f>IF(levypage9!$E$33&lt;&gt;0,levypage9!$E$33,"  ")</f>
        <v>3500</v>
      </c>
      <c r="H22" s="32">
        <f>IF(levypage9!$E$40&lt;&gt;0,levypage9!$E$40,"  ")</f>
        <v>233</v>
      </c>
      <c r="I22" s="526">
        <f>IF(levypage9!E40&gt;0,ROUND(H22/$G$37*1000,3)," ")</f>
        <v>0.081</v>
      </c>
      <c r="K22" s="500"/>
      <c r="L22" s="501"/>
      <c r="M22" s="501"/>
      <c r="N22" s="502"/>
    </row>
    <row r="23" spans="2:14" ht="15.75">
      <c r="B23" s="85" t="str">
        <f>IF(inputPrYr!$B21&gt;"  ",inputPrYr!$B21,"  ")</f>
        <v>Weed</v>
      </c>
      <c r="C23" s="32">
        <f>IF(levypage9!$C$73&lt;&gt;0,levypage9!$C$73,"  ")</f>
        <v>2666</v>
      </c>
      <c r="D23" s="524">
        <f>IF(inputPrYr!D47&gt;0,inputPrYr!D47,"  ")</f>
        <v>0.319</v>
      </c>
      <c r="E23" s="32">
        <f>IF(levypage9!$D$73&lt;&gt;0,levypage9!$D$73,"  ")</f>
        <v>2632</v>
      </c>
      <c r="F23" s="235">
        <f>IF(inputOth!D22&gt;0,inputOth!D22,"  ")</f>
        <v>0.497</v>
      </c>
      <c r="G23" s="32">
        <f>IF(levypage9!$E$73&lt;&gt;0,levypage9!$E$73,"  ")</f>
        <v>3500</v>
      </c>
      <c r="H23" s="32">
        <f>IF(levypage9!$E$80&lt;&gt;0,levypage9!$E$80,"  ")</f>
        <v>3465</v>
      </c>
      <c r="I23" s="526">
        <f>IF(levypage9!E80&gt;0,ROUND(H23/$G$37*1000,3)," ")</f>
        <v>1.209</v>
      </c>
      <c r="K23" s="503" t="s">
        <v>716</v>
      </c>
      <c r="L23" s="504"/>
      <c r="M23" s="504"/>
      <c r="N23" s="505">
        <f>ROUND(G37/1000,0)</f>
        <v>2866</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12.719999999999999</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-10907</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51736</v>
      </c>
      <c r="D32" s="478">
        <f t="shared" si="0"/>
        <v>10.556000000000001</v>
      </c>
      <c r="E32" s="527">
        <f t="shared" si="0"/>
        <v>60984</v>
      </c>
      <c r="F32" s="478">
        <f t="shared" si="0"/>
        <v>12.719999999999999</v>
      </c>
      <c r="G32" s="527">
        <f t="shared" si="0"/>
        <v>81239</v>
      </c>
      <c r="H32" s="527">
        <f t="shared" si="0"/>
        <v>47364</v>
      </c>
      <c r="I32" s="530">
        <f t="shared" si="0"/>
        <v>16.525</v>
      </c>
      <c r="K32" s="833" t="str">
        <f>CONCATENATE("Impact On Keeping The Same Mill Rate As For ",I1-1,"")</f>
        <v>Impact On Keeping The Same Mill Rate As For 2013</v>
      </c>
      <c r="L32" s="834"/>
      <c r="M32" s="834"/>
      <c r="N32" s="835"/>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51736</v>
      </c>
      <c r="D34" s="14"/>
      <c r="E34" s="528">
        <f>E32-E33</f>
        <v>60984</v>
      </c>
      <c r="F34" s="14"/>
      <c r="G34" s="528">
        <f>G32-G33</f>
        <v>81239</v>
      </c>
      <c r="H34" s="14"/>
      <c r="I34" s="14"/>
      <c r="K34" s="507" t="str">
        <f>CONCATENATE("",I1," Ad Valorem Tax Revenue:")</f>
        <v>2014 Ad Valorem Tax Revenue:</v>
      </c>
      <c r="L34" s="501"/>
      <c r="M34" s="501"/>
      <c r="N34" s="502">
        <f>H32</f>
        <v>47364</v>
      </c>
    </row>
    <row r="35" spans="2:14" ht="16.5" thickTop="1">
      <c r="B35" s="274" t="s">
        <v>46</v>
      </c>
      <c r="C35" s="529">
        <f>inputPrYr!E54</f>
        <v>46007</v>
      </c>
      <c r="D35" s="61"/>
      <c r="E35" s="529">
        <f>inputPrYr!E26</f>
        <v>47362</v>
      </c>
      <c r="F35" s="14"/>
      <c r="G35" s="520" t="s">
        <v>289</v>
      </c>
      <c r="H35" s="14"/>
      <c r="I35" s="14"/>
      <c r="K35" s="507" t="str">
        <f>CONCATENATE("",I1-1," Ad Valorem Tax Revenue:")</f>
        <v>2013 Ad Valorem Tax Revenue:</v>
      </c>
      <c r="L35" s="501"/>
      <c r="M35" s="501"/>
      <c r="N35" s="515">
        <f>ROUND(G37*N27/1000,0)</f>
        <v>36457</v>
      </c>
    </row>
    <row r="36" spans="2:14" ht="15.75">
      <c r="B36" s="274" t="s">
        <v>47</v>
      </c>
      <c r="C36" s="55"/>
      <c r="D36" s="61"/>
      <c r="E36" s="55"/>
      <c r="F36" s="61"/>
      <c r="G36" s="14"/>
      <c r="H36" s="14"/>
      <c r="I36" s="14"/>
      <c r="K36" s="512" t="s">
        <v>717</v>
      </c>
      <c r="L36" s="513"/>
      <c r="M36" s="513"/>
      <c r="N36" s="505">
        <f>N34-N35</f>
        <v>10907</v>
      </c>
    </row>
    <row r="37" spans="2:14" ht="15.75">
      <c r="B37" s="274" t="s">
        <v>48</v>
      </c>
      <c r="C37" s="32">
        <f>inputPrYr!E55</f>
        <v>4359113</v>
      </c>
      <c r="D37" s="14"/>
      <c r="E37" s="32">
        <f>inputOth!E29</f>
        <v>3723835</v>
      </c>
      <c r="F37" s="14"/>
      <c r="G37" s="32">
        <f>inputOth!E7</f>
        <v>2866120</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16.525</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Donald Schneider, Treasurer</v>
      </c>
      <c r="C46" s="832"/>
      <c r="D46" s="14"/>
      <c r="E46" s="14"/>
      <c r="F46" s="14"/>
      <c r="G46" s="14"/>
      <c r="H46" s="14"/>
      <c r="I46" s="14"/>
    </row>
    <row r="47" spans="2:9" ht="15.75">
      <c r="B47" s="830" t="str">
        <f>inputBudSum!B6</f>
        <v>Round Mound Township</v>
      </c>
      <c r="C47" s="831"/>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1200" verticalDpi="12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Round Mound Township</v>
      </c>
      <c r="B1" s="14"/>
      <c r="C1" s="14"/>
      <c r="D1" s="14"/>
      <c r="E1" s="14"/>
      <c r="F1" s="14">
        <f>inputPrYr!D5</f>
        <v>2014</v>
      </c>
    </row>
    <row r="2" spans="1:6" ht="15.75">
      <c r="A2" s="14"/>
      <c r="B2" s="14"/>
      <c r="C2" s="14"/>
      <c r="D2" s="14"/>
      <c r="E2" s="14"/>
      <c r="F2" s="14"/>
    </row>
    <row r="3" spans="1:6" ht="15.75">
      <c r="A3" s="14"/>
      <c r="B3" s="776" t="str">
        <f>CONCATENATE("",F1," Neighborhood Revitalization Rebate")</f>
        <v>2014 Neighborhood Revitalization Rebate</v>
      </c>
      <c r="C3" s="765"/>
      <c r="D3" s="765"/>
      <c r="E3" s="765"/>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Cemetery</v>
      </c>
      <c r="C10" s="130"/>
      <c r="D10" s="131">
        <f t="shared" si="0"/>
      </c>
      <c r="E10" s="132">
        <f t="shared" si="1"/>
      </c>
      <c r="F10" s="129"/>
    </row>
    <row r="11" spans="1:6" ht="15.75">
      <c r="A11" s="14"/>
      <c r="B11" s="72" t="str">
        <f>inputPrYr!B21</f>
        <v>Weed</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2866120</v>
      </c>
      <c r="E19" s="14"/>
      <c r="F19" s="129"/>
    </row>
    <row r="20" spans="1:6" ht="15.75">
      <c r="A20" s="14"/>
      <c r="B20" s="14"/>
      <c r="C20" s="14"/>
      <c r="D20" s="14"/>
      <c r="E20" s="14"/>
      <c r="F20" s="129"/>
    </row>
    <row r="21" spans="1:6" ht="15.75">
      <c r="A21" s="14"/>
      <c r="B21" s="842" t="s">
        <v>365</v>
      </c>
      <c r="C21" s="842"/>
      <c r="D21" s="137">
        <f>IF(D19&gt;0,(D19*0.001),"")</f>
        <v>2866.12</v>
      </c>
      <c r="E21" s="14"/>
      <c r="F21" s="129"/>
    </row>
    <row r="22" spans="1:6" ht="15.75">
      <c r="A22" s="14"/>
      <c r="B22" s="48"/>
      <c r="C22" s="48"/>
      <c r="D22" s="138"/>
      <c r="E22" s="14"/>
      <c r="F22" s="129"/>
    </row>
    <row r="23" spans="1:6" ht="15.75">
      <c r="A23" s="840" t="s">
        <v>367</v>
      </c>
      <c r="B23" s="775"/>
      <c r="C23" s="775"/>
      <c r="D23" s="139">
        <f>inputOth!E13</f>
        <v>15189</v>
      </c>
      <c r="E23" s="140"/>
      <c r="F23" s="140"/>
    </row>
    <row r="24" spans="1:6" ht="15.75">
      <c r="A24" s="140"/>
      <c r="B24" s="140"/>
      <c r="C24" s="140"/>
      <c r="D24" s="141"/>
      <c r="E24" s="140"/>
      <c r="F24" s="140"/>
    </row>
    <row r="25" spans="1:6" ht="15.75">
      <c r="A25" s="140"/>
      <c r="B25" s="840" t="s">
        <v>368</v>
      </c>
      <c r="C25" s="841"/>
      <c r="D25" s="142">
        <f>IF(D23&gt;0,(D23*0.001),"")</f>
        <v>15.189</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Round Mound Township </v>
      </c>
      <c r="I6">
        <f>CONCATENATE(I7)</f>
      </c>
    </row>
    <row r="7" spans="1:7" ht="15.75">
      <c r="A7" s="852" t="str">
        <f>CONCATENATE("   with respect to financing the ",inputPrYr!D5," annual budget for ",(inputPrYr!D2)," , ",(inputPrYr!D3)," , Kansas.")</f>
        <v>   with respect to financing the 2014 annual budget for Round Mound Township , Osborne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Round Mound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Round Mound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Round Mound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Round Mound Township of Osborne County, Kansas that is our desire to notify the public of increased property taxes to finance the 2014 Round Mound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Round Mound Township Board, Osborne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Round Mound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4" sqref="E1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Round Mound Township</v>
      </c>
      <c r="B1" s="90"/>
      <c r="C1" s="90"/>
      <c r="D1" s="90"/>
      <c r="E1" s="90">
        <f>inputPrYr!D5</f>
        <v>2014</v>
      </c>
    </row>
    <row r="2" spans="1:5" ht="15.75">
      <c r="A2" s="88" t="str">
        <f>inputPrYr!D3</f>
        <v>Osborne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2866120</v>
      </c>
    </row>
    <row r="8" spans="1:5" ht="15.75">
      <c r="A8" s="22" t="str">
        <f>CONCATENATE("New Improvements for ",E1-1,"")</f>
        <v>New Improvements for 2013</v>
      </c>
      <c r="B8" s="19"/>
      <c r="C8" s="19"/>
      <c r="D8" s="19"/>
      <c r="E8" s="283">
        <v>0</v>
      </c>
    </row>
    <row r="9" spans="1:5" ht="15.75">
      <c r="A9" s="22" t="str">
        <f>CONCATENATE("Personal Property excluding oil, gas, and mobile homes - ",E1-1,"")</f>
        <v>Personal Property excluding oil, gas, and mobile homes - 2013</v>
      </c>
      <c r="B9" s="19"/>
      <c r="C9" s="19"/>
      <c r="D9" s="19"/>
      <c r="E9" s="283">
        <v>23095</v>
      </c>
    </row>
    <row r="10" spans="1:5" ht="15.75">
      <c r="A10" s="22" t="str">
        <f>CONCATENATE("Property that has changed in use for ",E1-1,"")</f>
        <v>Property that has changed in use for 2013</v>
      </c>
      <c r="B10" s="19"/>
      <c r="C10" s="19"/>
      <c r="D10" s="19"/>
      <c r="E10" s="283">
        <v>98</v>
      </c>
    </row>
    <row r="11" spans="1:5" ht="15.75">
      <c r="A11" s="22" t="str">
        <f>CONCATENATE("Personal Property excluding oil, gas, and mobile homes- ",E1-2,"")</f>
        <v>Personal Property excluding oil, gas, and mobile homes- 2012</v>
      </c>
      <c r="B11" s="19"/>
      <c r="C11" s="19"/>
      <c r="D11" s="19"/>
      <c r="E11" s="283">
        <v>116371</v>
      </c>
    </row>
    <row r="12" spans="1:5" ht="15.75">
      <c r="A12" s="22" t="str">
        <f>CONCATENATE("Gross earnings (intangible) tax estimate for ",E1,"")</f>
        <v>Gross earnings (intangible) tax estimate for 2014</v>
      </c>
      <c r="B12" s="19"/>
      <c r="C12" s="19"/>
      <c r="D12" s="19"/>
      <c r="E12" s="283">
        <v>459</v>
      </c>
    </row>
    <row r="13" spans="1:5" ht="15.75">
      <c r="A13" s="22" t="str">
        <f>CONCATENATE("Neighborhood Revitalization - ",E1,"")</f>
        <v>Neighborhood Revitalization - 2014</v>
      </c>
      <c r="B13" s="19"/>
      <c r="C13" s="19"/>
      <c r="D13" s="19"/>
      <c r="E13" s="283">
        <v>15189</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0</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11.841</v>
      </c>
      <c r="E20" s="286"/>
    </row>
    <row r="21" spans="1:5" ht="15.75">
      <c r="A21" s="71" t="str">
        <f>inputPrYr!B20</f>
        <v>Cemetery</v>
      </c>
      <c r="B21" s="267"/>
      <c r="C21" s="19"/>
      <c r="D21" s="289">
        <v>0.382</v>
      </c>
      <c r="E21" s="286"/>
    </row>
    <row r="22" spans="1:5" ht="15.75">
      <c r="A22" s="71" t="str">
        <f>inputPrYr!B21</f>
        <v>Weed</v>
      </c>
      <c r="B22" s="267"/>
      <c r="C22" s="19"/>
      <c r="D22" s="289">
        <v>0.497</v>
      </c>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12.719999999999999</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3723835</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807</v>
      </c>
    </row>
    <row r="33" spans="1:5" ht="15.75">
      <c r="A33" s="296" t="s">
        <v>276</v>
      </c>
      <c r="B33" s="267"/>
      <c r="C33" s="267"/>
      <c r="D33" s="31"/>
      <c r="E33" s="34">
        <v>0</v>
      </c>
    </row>
    <row r="34" spans="1:5" ht="15.75">
      <c r="A34" s="296" t="s">
        <v>160</v>
      </c>
      <c r="B34" s="267"/>
      <c r="C34" s="267"/>
      <c r="D34" s="31"/>
      <c r="E34" s="34">
        <v>88</v>
      </c>
    </row>
    <row r="35" spans="1:5" ht="15.75">
      <c r="A35" s="296" t="s">
        <v>161</v>
      </c>
      <c r="B35" s="267"/>
      <c r="C35" s="267"/>
      <c r="D35" s="31"/>
      <c r="E35" s="34"/>
    </row>
    <row r="36" spans="1:5" ht="15.75">
      <c r="A36" s="296" t="s">
        <v>100</v>
      </c>
      <c r="B36" s="20"/>
      <c r="C36" s="20"/>
      <c r="D36" s="295"/>
      <c r="E36" s="34">
        <v>1100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2500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61239</v>
      </c>
      <c r="C49" s="140"/>
      <c r="D49" s="140"/>
      <c r="E49" s="140"/>
    </row>
    <row r="50" spans="1:5" ht="15.75">
      <c r="A50" s="304" t="str">
        <f>inputPrYr!B20</f>
        <v>Cemetery</v>
      </c>
      <c r="B50" s="36">
        <v>3717</v>
      </c>
      <c r="C50" s="140"/>
      <c r="D50" s="140"/>
      <c r="E50" s="140"/>
    </row>
    <row r="51" spans="1:5" ht="15.75">
      <c r="A51" s="304" t="str">
        <f>inputPrYr!B21</f>
        <v>Weed</v>
      </c>
      <c r="B51" s="36">
        <v>2500</v>
      </c>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955</v>
      </c>
      <c r="C4" s="710"/>
      <c r="J4" s="711" t="s">
        <v>843</v>
      </c>
    </row>
    <row r="5" spans="1:10" ht="15.75">
      <c r="A5" s="474"/>
      <c r="B5" s="710"/>
      <c r="J5" s="711" t="s">
        <v>844</v>
      </c>
    </row>
    <row r="6" spans="1:10" ht="15.75">
      <c r="A6" s="474" t="s">
        <v>839</v>
      </c>
      <c r="B6" s="356" t="s">
        <v>941</v>
      </c>
      <c r="J6" s="711" t="s">
        <v>845</v>
      </c>
    </row>
    <row r="7" spans="1:10" ht="15.75">
      <c r="A7" s="353"/>
      <c r="B7" s="353"/>
      <c r="C7" s="353"/>
      <c r="D7" s="355"/>
      <c r="E7" s="353"/>
      <c r="F7" s="353"/>
      <c r="J7" s="711" t="s">
        <v>846</v>
      </c>
    </row>
    <row r="8" spans="1:10" ht="15.75">
      <c r="A8" s="354" t="s">
        <v>372</v>
      </c>
      <c r="B8" s="356" t="s">
        <v>956</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July 26, 2013</v>
      </c>
      <c r="E9" s="353"/>
      <c r="F9" s="353"/>
      <c r="J9" s="711" t="s">
        <v>848</v>
      </c>
    </row>
    <row r="10" spans="1:10" ht="15.75">
      <c r="A10" s="354" t="s">
        <v>373</v>
      </c>
      <c r="B10" s="356" t="s">
        <v>957</v>
      </c>
      <c r="C10" s="360"/>
      <c r="D10" s="354"/>
      <c r="E10" s="353"/>
      <c r="F10" s="353"/>
      <c r="J10" s="711" t="s">
        <v>849</v>
      </c>
    </row>
    <row r="11" spans="1:10" ht="15.75">
      <c r="A11" s="354"/>
      <c r="B11" s="354"/>
      <c r="C11" s="354"/>
      <c r="D11" s="354"/>
      <c r="E11" s="353"/>
      <c r="F11" s="353"/>
      <c r="J11" s="711" t="s">
        <v>850</v>
      </c>
    </row>
    <row r="12" spans="1:10" ht="15.75">
      <c r="A12" s="354" t="s">
        <v>374</v>
      </c>
      <c r="B12" s="361" t="s">
        <v>958</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959</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July</v>
      </c>
    </row>
    <row r="20" spans="1:7" ht="15.75">
      <c r="A20" s="354" t="s">
        <v>372</v>
      </c>
      <c r="B20" s="358" t="s">
        <v>377</v>
      </c>
      <c r="C20" s="354"/>
      <c r="D20" s="354"/>
      <c r="E20" s="354"/>
      <c r="G20" s="712" t="str">
        <f>IF(B8="","",CONCATENATE("J",G22))</f>
        <v>J7</v>
      </c>
    </row>
    <row r="21" spans="1:7" ht="15.75">
      <c r="A21" s="354"/>
      <c r="B21" s="354"/>
      <c r="C21" s="354"/>
      <c r="D21" s="354"/>
      <c r="E21" s="354"/>
      <c r="G21" s="713">
        <f>B8-10</f>
        <v>41481</v>
      </c>
    </row>
    <row r="22" spans="1:7" ht="15.75">
      <c r="A22" s="354" t="s">
        <v>373</v>
      </c>
      <c r="B22" s="354" t="s">
        <v>378</v>
      </c>
      <c r="C22" s="354"/>
      <c r="D22" s="354"/>
      <c r="E22" s="354"/>
      <c r="G22" s="714">
        <f>IF(B8="","",MONTH(G21))</f>
        <v>7</v>
      </c>
    </row>
    <row r="23" spans="1:7" ht="15.75">
      <c r="A23" s="354"/>
      <c r="B23" s="354"/>
      <c r="C23" s="354"/>
      <c r="D23" s="354"/>
      <c r="E23" s="354"/>
      <c r="G23" s="715">
        <f>IF(B8="","",DAY(G21))</f>
        <v>26</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3">
      <selection activeCell="G27" sqref="G27"/>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6" t="s">
        <v>70</v>
      </c>
      <c r="C1" s="776"/>
      <c r="D1" s="776"/>
      <c r="E1" s="776"/>
      <c r="F1" s="776"/>
      <c r="G1" s="776"/>
      <c r="H1" s="14">
        <f>inputPrYr!D5</f>
        <v>2014</v>
      </c>
    </row>
    <row r="2" spans="3:7" s="14" customFormat="1" ht="15.75">
      <c r="C2" s="145"/>
      <c r="D2" s="145"/>
      <c r="E2" s="145"/>
      <c r="F2" s="145"/>
      <c r="G2" s="62"/>
    </row>
    <row r="3" spans="2:8" s="14" customFormat="1" ht="15.75">
      <c r="B3" s="764" t="str">
        <f>CONCATENATE("To the Clerk of ",inputPrYr!D3,", State of Kansas")</f>
        <v>To the Clerk of Osborne County, State of Kansas</v>
      </c>
      <c r="C3" s="765"/>
      <c r="D3" s="765"/>
      <c r="E3" s="765"/>
      <c r="F3" s="765"/>
      <c r="G3" s="765"/>
      <c r="H3" s="765"/>
    </row>
    <row r="4" spans="2:7" s="14" customFormat="1" ht="15.75">
      <c r="B4" s="764" t="s">
        <v>152</v>
      </c>
      <c r="C4" s="772"/>
      <c r="D4" s="772"/>
      <c r="E4" s="772"/>
      <c r="F4" s="772"/>
      <c r="G4" s="772"/>
    </row>
    <row r="5" spans="2:7" s="14" customFormat="1" ht="15.75">
      <c r="B5" s="773" t="str">
        <f>inputPrYr!D2</f>
        <v>Round Mound Township</v>
      </c>
      <c r="C5" s="772"/>
      <c r="D5" s="772"/>
      <c r="E5" s="772"/>
      <c r="F5" s="772"/>
      <c r="G5" s="772"/>
    </row>
    <row r="6" spans="2:7" s="14" customFormat="1" ht="15.75">
      <c r="B6" s="783" t="s">
        <v>150</v>
      </c>
      <c r="C6" s="765"/>
      <c r="D6" s="765"/>
      <c r="E6" s="765"/>
      <c r="F6" s="765"/>
      <c r="G6" s="765"/>
    </row>
    <row r="7" spans="2:7" s="14" customFormat="1" ht="15.75" customHeight="1">
      <c r="B7" s="764" t="s">
        <v>151</v>
      </c>
      <c r="C7" s="784"/>
      <c r="D7" s="784"/>
      <c r="E7" s="784"/>
      <c r="F7" s="784"/>
      <c r="G7" s="784"/>
    </row>
    <row r="8" spans="2:7" s="14" customFormat="1" ht="15.75" customHeight="1">
      <c r="B8" s="764" t="str">
        <f>CONCATENATE("maximum expenditures for the various funds for the year ",H1,"; and (3) the")</f>
        <v>maximum expenditures for the various funds for the year 2014; and (3) the</v>
      </c>
      <c r="C8" s="772"/>
      <c r="D8" s="772"/>
      <c r="E8" s="772"/>
      <c r="F8" s="772"/>
      <c r="G8" s="772"/>
    </row>
    <row r="9" spans="2:7" s="14" customFormat="1" ht="15.75" customHeight="1">
      <c r="B9" s="764" t="str">
        <f>CONCATENATE("Amount(s) of ",H1-1," Ad Valorem Tax are within statutory limitations for the ",H1," Budget.")</f>
        <v>Amount(s) of 2013 Ad Valorem Tax are within statutory limitations for the 2014 Budget.</v>
      </c>
      <c r="C9" s="772"/>
      <c r="D9" s="772"/>
      <c r="E9" s="772"/>
      <c r="F9" s="772"/>
      <c r="G9" s="772"/>
    </row>
    <row r="10" spans="5:7" s="14" customFormat="1" ht="15.75" customHeight="1">
      <c r="E10" s="66"/>
      <c r="F10" s="66"/>
      <c r="G10" s="66"/>
    </row>
    <row r="11" spans="4:7" s="14" customFormat="1" ht="15.75">
      <c r="D11" s="19"/>
      <c r="E11" s="780" t="str">
        <f>CONCATENATE("",H1," Adopted Budget")</f>
        <v>2014 Adopted Budget</v>
      </c>
      <c r="F11" s="781"/>
      <c r="G11" s="782"/>
    </row>
    <row r="12" spans="2:7" s="14" customFormat="1" ht="15.75">
      <c r="B12" s="22"/>
      <c r="D12" s="66"/>
      <c r="E12" s="255" t="s">
        <v>277</v>
      </c>
      <c r="F12" s="777" t="str">
        <f>CONCATENATE("Amount of ",H1-1," Ad Valorem Tax")</f>
        <v>Amount of 2013 Ad Valorem Tax</v>
      </c>
      <c r="G12" s="23" t="s">
        <v>278</v>
      </c>
    </row>
    <row r="13" spans="4:7" s="14" customFormat="1" ht="15.75">
      <c r="D13" s="23" t="s">
        <v>279</v>
      </c>
      <c r="E13" s="522" t="s">
        <v>208</v>
      </c>
      <c r="F13" s="778"/>
      <c r="G13" s="156" t="s">
        <v>280</v>
      </c>
    </row>
    <row r="14" spans="2:7" s="14" customFormat="1" ht="15.75">
      <c r="B14" s="71" t="s">
        <v>281</v>
      </c>
      <c r="C14" s="20"/>
      <c r="D14" s="26" t="s">
        <v>282</v>
      </c>
      <c r="E14" s="523" t="s">
        <v>719</v>
      </c>
      <c r="F14" s="77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440</v>
      </c>
      <c r="F21" s="722">
        <f>IF(gen!$E$57&lt;&gt;0,gen!$E$57,0)</f>
        <v>0</v>
      </c>
      <c r="G21" s="723">
        <v>0</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f>IF(road!$E$43&lt;&gt;0,road!$E$43,"  ")</f>
        <v>73799</v>
      </c>
      <c r="F24" s="722">
        <f>IF(road!$E$50&lt;&gt;0,road!$E$50,"  ")</f>
        <v>43666</v>
      </c>
      <c r="G24" s="723">
        <v>15.232</v>
      </c>
    </row>
    <row r="25" spans="2:7" s="14" customFormat="1" ht="15.75">
      <c r="B25" s="85" t="str">
        <f>IF(inputPrYr!$B20&gt;"  ",inputPrYr!$B20,"  ")</f>
        <v>Cemetery</v>
      </c>
      <c r="C25" s="260" t="str">
        <f>IF(inputPrYr!C20&gt;0,inputPrYr!C20,"  ")</f>
        <v>  </v>
      </c>
      <c r="D25" s="261" t="str">
        <f>IF(levypage9!C81&gt;0,levypage9!C81,"  ")</f>
        <v>  </v>
      </c>
      <c r="E25" s="722">
        <f>IF(levypage9!$E$33&lt;&gt;0,levypage9!$E$33,"  ")</f>
        <v>3500</v>
      </c>
      <c r="F25" s="722">
        <f>IF(levypage9!$E$40&lt;&gt;0,levypage9!$E$40,"  ")</f>
        <v>233</v>
      </c>
      <c r="G25" s="723">
        <v>0.082</v>
      </c>
    </row>
    <row r="26" spans="2:7" s="14" customFormat="1" ht="15.75">
      <c r="B26" s="85" t="str">
        <f>IF(inputPrYr!$B21&gt;"  ",inputPrYr!$B21,"  ")</f>
        <v>Weed</v>
      </c>
      <c r="C26" s="260" t="str">
        <f>IF(inputPrYr!C21&gt;0,inputPrYr!C21,"  ")</f>
        <v>  </v>
      </c>
      <c r="D26" s="261" t="str">
        <f>IF(levypage9!C81&gt;0,levypage9!C81,"  ")</f>
        <v>  </v>
      </c>
      <c r="E26" s="722">
        <f>IF(levypage9!$E$73&lt;&gt;0,levypage9!$E$73,"  ")</f>
        <v>3500</v>
      </c>
      <c r="F26" s="722">
        <f>IF(levypage9!$E$80&lt;&gt;0,levypage9!$E$80,"  ")</f>
        <v>3465</v>
      </c>
      <c r="G26" s="723">
        <v>1.209</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81239</v>
      </c>
      <c r="F35" s="724">
        <f>SUM(F21:F30)</f>
        <v>47364</v>
      </c>
      <c r="G35" s="725">
        <f>IF(SUM(G21:G30)&gt;0,SUM(G21:G30),"")</f>
        <v>16.523</v>
      </c>
    </row>
    <row r="36" spans="2:4" s="14" customFormat="1" ht="16.5" thickTop="1">
      <c r="B36" s="27" t="s">
        <v>168</v>
      </c>
      <c r="C36" s="259"/>
      <c r="D36" s="264">
        <f>summ!D49</f>
        <v>0</v>
      </c>
    </row>
    <row r="37" spans="2:6" s="14" customFormat="1" ht="15.75">
      <c r="B37" s="27" t="s">
        <v>214</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66" t="s">
        <v>124</v>
      </c>
      <c r="D39" s="767"/>
      <c r="E39" s="272"/>
      <c r="G39" s="22" t="s">
        <v>290</v>
      </c>
    </row>
    <row r="40" spans="2:7" s="14" customFormat="1" ht="15.75">
      <c r="B40" s="27" t="s">
        <v>98</v>
      </c>
      <c r="C40" s="768">
        <v>2866868</v>
      </c>
      <c r="D40" s="769"/>
      <c r="E40" s="273"/>
      <c r="G40" s="22"/>
    </row>
    <row r="41" spans="2:7" s="14" customFormat="1" ht="15.75">
      <c r="B41" s="274"/>
      <c r="C41" s="770" t="str">
        <f>CONCATENATE("Nov. 1, ",H1-1," Valuation")</f>
        <v>Nov. 1, 2013 Valuation</v>
      </c>
      <c r="D41" s="771"/>
      <c r="E41" s="272"/>
      <c r="G41" s="22"/>
    </row>
    <row r="42" spans="2:7" s="14" customFormat="1" ht="15.75">
      <c r="B42" s="274" t="s">
        <v>291</v>
      </c>
      <c r="E42" s="19"/>
      <c r="G42" s="22"/>
    </row>
    <row r="43" spans="2:7" s="14" customFormat="1" ht="15.75">
      <c r="B43" s="275" t="s">
        <v>960</v>
      </c>
      <c r="C43" s="275"/>
      <c r="E43" s="726" t="s">
        <v>852</v>
      </c>
      <c r="F43" s="726"/>
      <c r="G43" s="726"/>
    </row>
    <row r="44" spans="2:7" s="14" customFormat="1" ht="15.75">
      <c r="B44" s="276" t="s">
        <v>961</v>
      </c>
      <c r="C44" s="276"/>
      <c r="E44" s="727"/>
      <c r="F44" s="727"/>
      <c r="G44" s="727"/>
    </row>
    <row r="45" spans="2:7" s="14" customFormat="1" ht="15.75">
      <c r="B45" s="274" t="s">
        <v>145</v>
      </c>
      <c r="E45" s="726" t="s">
        <v>852</v>
      </c>
      <c r="F45" s="726"/>
      <c r="G45" s="726"/>
    </row>
    <row r="46" spans="2:7" s="14" customFormat="1" ht="15.75">
      <c r="B46" s="275" t="s">
        <v>962</v>
      </c>
      <c r="C46" s="275"/>
      <c r="D46" s="22"/>
      <c r="E46" s="726"/>
      <c r="F46" s="726"/>
      <c r="G46" s="726"/>
    </row>
    <row r="47" spans="2:7" s="14" customFormat="1" ht="15.75">
      <c r="B47" s="276" t="s">
        <v>963</v>
      </c>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74" t="s">
        <v>292</v>
      </c>
      <c r="F54" s="775"/>
      <c r="G54" s="77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1200" verticalDpi="12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Round Mound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76"/>
      <c r="C3" s="776"/>
      <c r="D3" s="776"/>
      <c r="E3" s="776"/>
      <c r="F3" s="776"/>
      <c r="G3" s="776"/>
      <c r="H3" s="776"/>
      <c r="I3" s="776"/>
      <c r="J3" s="776"/>
    </row>
    <row r="4" spans="1:10" ht="15.75">
      <c r="A4" s="14"/>
      <c r="B4" s="14"/>
      <c r="C4" s="14"/>
      <c r="D4" s="14"/>
      <c r="E4" s="776"/>
      <c r="F4" s="776"/>
      <c r="G4" s="77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47362</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47362</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23095</v>
      </c>
      <c r="F14" s="246"/>
      <c r="G14" s="55"/>
      <c r="H14" s="55"/>
      <c r="I14" s="53"/>
      <c r="J14" s="55"/>
    </row>
    <row r="15" spans="1:10" ht="15.75">
      <c r="A15" s="245"/>
      <c r="B15" s="14" t="s">
        <v>87</v>
      </c>
      <c r="C15" s="14" t="str">
        <f>CONCATENATE("Personal Property ",J1-2,"")</f>
        <v>Personal Property 2012</v>
      </c>
      <c r="D15" s="245" t="s">
        <v>82</v>
      </c>
      <c r="E15" s="249">
        <f>inputOth!E11</f>
        <v>116371</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98</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98</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2866120</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2866022</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3.4193736126240485E-05</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2</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47364</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47364</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Round Mound Township</v>
      </c>
      <c r="C1" s="14"/>
      <c r="D1" s="14"/>
      <c r="E1" s="14"/>
      <c r="F1" s="14"/>
      <c r="G1" s="14"/>
      <c r="H1" s="14"/>
      <c r="I1" s="14"/>
      <c r="J1" s="15">
        <f>inputPrYr!D5</f>
        <v>2014</v>
      </c>
      <c r="K1" s="15"/>
      <c r="L1" s="90"/>
    </row>
    <row r="2" spans="2:12" ht="15.75">
      <c r="B2" s="13" t="str">
        <f>inputPrYr!D3</f>
        <v>Osborne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75"/>
      <c r="D6" s="775"/>
      <c r="E6" s="775"/>
      <c r="F6" s="775"/>
      <c r="G6" s="775"/>
      <c r="H6" s="775"/>
      <c r="I6" s="775"/>
      <c r="J6" s="77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44091</v>
      </c>
      <c r="E14" s="131">
        <f>IF(inputOth!D20&gt;0,inputOth!D20,"  ")</f>
        <v>11.841</v>
      </c>
      <c r="F14" s="717"/>
      <c r="G14" s="161">
        <f>IF(inputPrYr!E19=0,0,ROUND(D14*$G$30,0))</f>
        <v>751</v>
      </c>
      <c r="H14" s="718"/>
      <c r="I14" s="161">
        <f>IF(inputPrYr!$E$19=0,0,ROUND($D$14*$I$32,0))</f>
        <v>0</v>
      </c>
      <c r="J14" s="161">
        <f>IF(inputPrYr!E19=0,0,ROUND($D14*$J$34,0))</f>
        <v>82</v>
      </c>
      <c r="K14" s="90"/>
      <c r="L14" s="90"/>
      <c r="M14" s="550"/>
    </row>
    <row r="15" spans="2:13" ht="15.75">
      <c r="B15" s="85" t="str">
        <f>IF(inputPrYr!$B20&gt;"  ",inputPrYr!$B20,"  ")</f>
        <v>Cemetery</v>
      </c>
      <c r="C15" s="234"/>
      <c r="D15" s="161">
        <f>IF(inputPrYr!E20&gt;=0,inputPrYr!E20,"  ")</f>
        <v>1422</v>
      </c>
      <c r="E15" s="131">
        <f>IF(inputOth!D21&gt;0,inputOth!D21,"  ")</f>
        <v>0.382</v>
      </c>
      <c r="F15" s="717"/>
      <c r="G15" s="161">
        <f>IF(inputPrYr!E20=0,0,ROUND(D15*$G$30,0))</f>
        <v>24</v>
      </c>
      <c r="H15" s="718"/>
      <c r="I15" s="161">
        <f>IF(inputPrYr!$E$20=0,0,ROUND($D$15*$I$32,0))</f>
        <v>0</v>
      </c>
      <c r="J15" s="161">
        <f>IF(inputPrYr!E20=0,0,ROUND($D15*$J$34,0))</f>
        <v>3</v>
      </c>
      <c r="K15" s="90"/>
      <c r="L15" s="90"/>
      <c r="M15" s="550"/>
    </row>
    <row r="16" spans="2:13" ht="15.75">
      <c r="B16" s="85" t="str">
        <f>IF(inputPrYr!$B21&gt;"  ",inputPrYr!$B21,"  ")</f>
        <v>Weed</v>
      </c>
      <c r="C16" s="234"/>
      <c r="D16" s="161">
        <f>IF(inputPrYr!E21&gt;=0,inputPrYr!E21,"  ")</f>
        <v>1849</v>
      </c>
      <c r="E16" s="131">
        <f>IF(inputOth!D22&gt;0,inputOth!D22,"  ")</f>
        <v>0.497</v>
      </c>
      <c r="F16" s="717"/>
      <c r="G16" s="161">
        <f>IF(inputPrYr!E21=0,0,ROUND(D16*$G$30,0))</f>
        <v>32</v>
      </c>
      <c r="H16" s="718"/>
      <c r="I16" s="161">
        <f>IF(inputPrYr!$E$21=0,0,ROUND($D$16*$I$32,0))</f>
        <v>0</v>
      </c>
      <c r="J16" s="161">
        <f>IF(inputPrYr!E21=0,0,ROUND($D16*$J$34,0))</f>
        <v>3</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47362</v>
      </c>
      <c r="E21" s="720">
        <f>SUM(E11:E20)</f>
        <v>12.719999999999999</v>
      </c>
      <c r="F21" s="721"/>
      <c r="G21" s="719">
        <f>SUM(G11:G20)</f>
        <v>807</v>
      </c>
      <c r="H21" s="719"/>
      <c r="I21" s="719">
        <f>SUM(I11:I20)</f>
        <v>0</v>
      </c>
      <c r="J21" s="719">
        <f>SUM(J11:J20)</f>
        <v>88</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807</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0</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88</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0.01703897639457793</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0.0018580296440184115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Round Mound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6" t="s">
        <v>169</v>
      </c>
      <c r="B5" s="776"/>
      <c r="C5" s="776"/>
      <c r="D5" s="776"/>
      <c r="E5" s="776"/>
      <c r="F5" s="77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2013-07-17T14:33:39Z</cp:lastPrinted>
  <dcterms:created xsi:type="dcterms:W3CDTF">1998-08-26T16:30:41Z</dcterms:created>
  <dcterms:modified xsi:type="dcterms:W3CDTF">2013-11-19T17:50:24Z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