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<sst xmlns="http://schemas.openxmlformats.org/spreadsheetml/2006/main" count="1385" uniqueCount="822">
  <si>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</si>
  <si>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</si>
  <si>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</si>
  <si>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</si>
  <si>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</si>
  <si>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</si>
  <si>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</si>
  <si>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</si>
  <si>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</si>
  <si>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</si>
  <si>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</si>
  <si>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</si>
  <si>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</si>
  <si>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</si>
  <si>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</si>
  <si>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</si>
  <si>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</si>
  <si>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</si>
  <si>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</si>
  <si>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</si>
  <si>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</si>
  <si>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</si>
  <si>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</si>
  <si>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</si>
  <si>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</si>
  <si>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</si>
  <si>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</si>
  <si>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</si>
  <si>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</si>
  <si>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</si>
  <si>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</si>
  <si>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</si>
  <si>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</si>
  <si>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</si>
  <si>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</si>
  <si>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</si>
  <si>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</si>
  <si>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</si>
  <si>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</si>
  <si>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</si>
  <si>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</si>
  <si>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</si>
  <si>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</si>
  <si>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</si>
  <si>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</si>
  <si>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</si>
  <si>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</si>
  <si>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</si>
  <si>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</si>
  <si>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</si>
  <si>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</si>
  <si>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</si>
  <si>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</si>
  <si>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</si>
  <si>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</si>
  <si>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</si>
  <si>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</si>
  <si>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</si>
  <si>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</si>
  <si>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</si>
  <si>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</si>
  <si>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</si>
  <si>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</si>
  <si>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</si>
  <si>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</si>
  <si>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</si>
  <si>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</si>
  <si>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</si>
  <si>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</si>
  <si>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</si>
  <si>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</si>
  <si>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</si>
  <si>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</si>
  <si>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</si>
  <si>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</si>
  <si>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</si>
  <si>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</si>
  <si>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</si>
  <si>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</si>
  <si>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</si>
  <si>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</si>
  <si>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</si>
  <si>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</si>
  <si>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</si>
  <si>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</si>
  <si>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</si>
  <si>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</si>
  <si>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</si>
  <si>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</si>
  <si>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</si>
  <si>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</si>
  <si>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</si>
  <si>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</si>
  <si>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</si>
  <si>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</si>
  <si>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</si>
  <si>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</si>
  <si>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</si>
  <si>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</si>
  <si>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</si>
  <si>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</si>
  <si>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</si>
  <si>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</si>
  <si>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</si>
  <si>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</si>
  <si>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</si>
  <si>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</si>
  <si>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</si>
  <si>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</si>
  <si>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</si>
  <si>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</si>
  <si>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</si>
  <si>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</si>
  <si>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</si>
  <si>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</si>
  <si>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</si>
  <si>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</si>
  <si>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</si>
  <si>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</si>
  <si>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</si>
  <si>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</si>
  <si>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</si>
  <si>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</si>
  <si>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</si>
  <si>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</si>
  <si>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</si>
  <si>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</si>
  <si>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</si>
  <si>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</si>
  <si>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</si>
  <si>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</si>
  <si>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</si>
  <si>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</si>
  <si>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</si>
  <si>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</si>
  <si>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</si>
  <si>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</si>
  <si>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</si>
  <si>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</si>
  <si>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</si>
  <si>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</si>
  <si>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</si>
  <si>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</si>
  <si>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</si>
  <si>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</si>
  <si>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</si>
  <si>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</si>
  <si>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</si>
  <si>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</si>
  <si>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</si>
  <si>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</si>
  <si>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</si>
  <si>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</si>
  <si>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</si>
  <si>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</si>
  <si>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</si>
  <si>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</si>
  <si>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</si>
  <si>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</si>
  <si>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</si>
  <si>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</si>
  <si>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</si>
  <si>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</si>
  <si>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</si>
  <si>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</si>
  <si>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</si>
  <si>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</si>
  <si>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</si>
  <si>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</si>
  <si>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</si>
  <si>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</si>
  <si>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</si>
  <si>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</si>
  <si>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</si>
  <si>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</si>
  <si>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</si>
  <si>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</si>
  <si>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</si>
  <si>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</si>
  <si>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</si>
  <si>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</si>
  <si>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</si>
  <si>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</si>
  <si>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</si>
  <si>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</si>
  <si>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</si>
  <si>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</si>
  <si>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</si>
  <si>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</si>
  <si>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</si>
  <si>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</si>
  <si>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</si>
  <si>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</si>
  <si>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</si>
  <si>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</si>
  <si>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</si>
  <si>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</si>
  <si>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</si>
  <si>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</si>
  <si>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</si>
  <si>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</si>
  <si>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</si>
  <si>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</si>
  <si>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</si>
  <si>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</si>
  <si>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</si>
  <si>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</si>
  <si>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</si>
  <si>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</si>
  <si>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</si>
  <si>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</si>
  <si>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</si>
  <si>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</si>
  <si>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</si>
  <si>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</si>
  <si>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</si>
  <si>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</si>
  <si>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</si>
  <si>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</si>
  <si>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</si>
  <si>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</si>
  <si>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</si>
  <si>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</si>
  <si>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</si>
  <si>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</si>
  <si>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</si>
  <si>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</si>
  <si>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</si>
  <si>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</si>
  <si>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</si>
  <si>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</si>
  <si>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</si>
  <si>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</si>
  <si>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</si>
  <si>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</si>
  <si>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</si>
  <si>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</si>
  <si>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</si>
  <si>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</si>
  <si>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</si>
  <si>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</si>
  <si>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</si>
  <si>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</si>
  <si>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</si>
  <si>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</si>
  <si>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</si>
  <si>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</si>
  <si>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</si>
  <si>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</si>
  <si>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</si>
  <si>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</si>
  <si>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</si>
  <si>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</si>
  <si>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</si>
  <si>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</si>
  <si>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</si>
  <si>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</si>
  <si>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</si>
  <si>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</si>
  <si>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</si>
  <si>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</si>
  <si>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</si>
  <si>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</si>
  <si>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</si>
  <si>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</si>
  <si>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</si>
  <si>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</si>
  <si>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</si>
  <si>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</si>
  <si>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</si>
  <si>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</si>
  <si>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</si>
  <si>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</si>
  <si>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</si>
  <si>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</si>
  <si>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</si>
  <si>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</si>
  <si>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</si>
  <si>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</si>
  <si>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</si>
  <si>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</si>
  <si>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</si>
  <si>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</si>
  <si>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</si>
  <si>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</si>
  <si>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</si>
  <si>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</si>
  <si>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</si>
  <si>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</si>
  <si>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</si>
  <si>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</si>
  <si>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</si>
  <si>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</si>
  <si>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</si>
  <si>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</si>
  <si>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</si>
  <si>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</si>
  <si>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</si>
  <si>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</si>
  <si>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</si>
  <si>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</si>
  <si>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</si>
  <si>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</si>
  <si>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</si>
  <si>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</si>
  <si>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</si>
  <si>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</si>
  <si>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</si>
  <si>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</si>
  <si>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</si>
  <si>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</si>
  <si>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</si>
  <si>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</si>
  <si>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</si>
  <si>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</si>
  <si>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</si>
  <si>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</si>
  <si>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</si>
  <si>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</si>
  <si>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</si>
  <si>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</si>
  <si>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</si>
  <si>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</si>
  <si>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</si>
  <si>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</si>
  <si>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</si>
  <si>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</si>
  <si>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</si>
  <si>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</si>
  <si>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</si>
  <si>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</si>
  <si>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</si>
  <si>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</si>
  <si>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</si>
  <si>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</si>
  <si>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</si>
  <si>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</si>
  <si>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</si>
  <si>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</si>
  <si>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</si>
  <si>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</si>
  <si>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</si>
  <si>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</si>
  <si>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</si>
  <si>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</si>
  <si>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</si>
  <si>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</si>
  <si>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</si>
  <si>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</si>
  <si>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</si>
  <si>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</si>
  <si>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</si>
  <si>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</si>
  <si>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</si>
  <si>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</si>
  <si>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</si>
  <si>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</si>
  <si>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</si>
  <si>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</si>
  <si>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</si>
  <si>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</si>
  <si>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</si>
  <si>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</si>
  <si>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</si>
  <si>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</si>
  <si>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</si>
  <si>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</si>
  <si>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</si>
  <si>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</si>
  <si>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</si>
  <si>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</si>
  <si>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</si>
  <si>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</si>
  <si>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</si>
  <si>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</si>
  <si>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</si>
  <si>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</si>
  <si>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</si>
  <si>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</si>
  <si>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</si>
  <si>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</si>
  <si>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</si>
  <si>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</si>
  <si>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</si>
  <si>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</si>
  <si>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</si>
  <si>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</si>
  <si>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</si>
  <si>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</si>
  <si>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</si>
  <si>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</si>
  <si>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</si>
  <si>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</si>
  <si>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</si>
  <si>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</si>
  <si>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</si>
  <si>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</si>
  <si>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</si>
  <si>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</si>
  <si>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</si>
  <si>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</si>
  <si>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</si>
  <si>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</si>
  <si>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</si>
  <si>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</si>
  <si>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</si>
  <si>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</si>
  <si>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</si>
  <si>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</si>
  <si>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</si>
  <si>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</si>
  <si>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</si>
  <si>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</si>
  <si>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</si>
  <si>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</si>
  <si>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</si>
  <si>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</si>
  <si>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</si>
  <si>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</si>
  <si>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</si>
  <si>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</si>
  <si>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</si>
  <si>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</si>
  <si>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</si>
  <si>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</si>
  <si>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</si>
  <si>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</si>
  <si>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</si>
  <si>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</si>
  <si>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</si>
  <si>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</si>
  <si>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</si>
  <si>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</si>
  <si>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</si>
  <si>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</si>
  <si>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</si>
  <si>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</si>
  <si>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</si>
  <si>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</si>
  <si>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</si>
  <si>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</si>
  <si>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</si>
  <si>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</si>
  <si>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</si>
  <si>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</si>
  <si>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</si>
  <si>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</si>
  <si>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</si>
  <si>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</si>
  <si>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</si>
  <si>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</si>
  <si>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</si>
  <si>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</si>
  <si>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</si>
  <si>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</si>
  <si>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</si>
  <si>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</si>
  <si>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</si>
  <si>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</si>
  <si>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</si>
  <si>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</si>
  <si>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</si>
  <si>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</si>
  <si>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</si>
  <si>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</si>
  <si>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</si>
  <si>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</si>
  <si>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</si>
  <si>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</si>
  <si>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</si>
  <si>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</si>
  <si>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</si>
  <si>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</si>
  <si>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</si>
  <si>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</si>
  <si>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</si>
  <si>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</si>
  <si>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</si>
  <si>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</si>
  <si>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</si>
  <si>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</si>
  <si>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</si>
  <si>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</si>
  <si>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</si>
  <si>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</si>
  <si>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</si>
  <si>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</si>
  <si>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</si>
  <si>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</si>
  <si>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</si>
  <si>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</si>
  <si>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</si>
  <si>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</si>
  <si>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</si>
  <si>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</si>
  <si>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</si>
  <si>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</si>
  <si>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</si>
  <si>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</si>
  <si>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</si>
  <si>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</si>
  <si>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</si>
  <si>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</si>
  <si>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</si>
  <si>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</si>
  <si>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</si>
  <si>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</si>
  <si>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</si>
  <si>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</si>
  <si>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</si>
  <si>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</si>
  <si>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</si>
  <si>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</si>
  <si>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</si>
  <si>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</si>
  <si>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</si>
  <si>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</si>
  <si>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</si>
  <si>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</si>
  <si>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</si>
  <si>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</si>
  <si>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</si>
  <si>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</si>
  <si>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</si>
  <si>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</si>
  <si>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</si>
  <si>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</si>
  <si>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</si>
  <si>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</si>
  <si>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</si>
  <si>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</si>
  <si>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</si>
  <si>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</si>
  <si>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</si>
  <si>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</si>
  <si>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</si>
  <si>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</si>
  <si>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</si>
  <si>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</si>
  <si>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</si>
  <si>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</si>
  <si>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</si>
  <si>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</si>
  <si>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</si>
  <si>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</si>
  <si>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</si>
  <si>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</si>
  <si>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</si>
  <si>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</si>
  <si>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</si>
  <si>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</si>
  <si>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</si>
  <si>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</si>
  <si>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</si>
  <si>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</si>
  <si>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</si>
  <si>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</si>
  <si>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</si>
  <si>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</si>
  <si>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</si>
  <si>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</si>
  <si>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</si>
  <si>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</si>
  <si>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</si>
  <si>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</si>
  <si>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</si>
  <si>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</si>
  <si>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</si>
  <si>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</si>
  <si>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</si>
  <si>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</si>
  <si>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</si>
  <si>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</si>
  <si>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</si>
  <si>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</si>
  <si>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</si>
  <si>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</si>
  <si>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</si>
  <si>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</si>
  <si>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</si>
  <si>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</si>
  <si>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</si>
  <si>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</si>
  <si>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</si>
  <si>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</si>
  <si>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</si>
  <si>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</si>
  <si>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</si>
  <si>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</si>
  <si>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</si>
  <si>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</si>
  <si>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</si>
  <si>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</si>
  <si>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</si>
  <si>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</si>
  <si>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</si>
  <si>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</si>
  <si>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</si>
  <si>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</si>
  <si>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</si>
  <si>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</si>
  <si>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</si>
  <si>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</si>
  <si>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</si>
  <si>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</si>
  <si>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</si>
  <si>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</si>
  <si>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</si>
  <si>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</si>
  <si>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</si>
  <si>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</si>
  <si>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</si>
  <si>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</si>
  <si>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</si>
  <si>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</si>
  <si>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</si>
  <si>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</si>
  <si>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</si>
  <si>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</si>
  <si>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</si>
  <si>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</si>
  <si>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</si>
  <si>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</si>
  <si>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</si>
  <si>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</si>
  <si>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</si>
  <si>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</si>
  <si>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</si>
  <si>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</si>
  <si>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</si>
  <si>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</si>
  <si>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</si>
  <si>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</si>
  <si>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</si>
  <si>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</si>
  <si>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</si>
  <si>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</si>
  <si>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</si>
  <si>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</si>
  <si>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</si>
  <si>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</si>
  <si>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</si>
  <si>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</si>
  <si>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</si>
  <si>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</si>
  <si>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</si>
  <si>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</si>
  <si>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</si>
  <si>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</si>
  <si>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</si>
  <si>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</si>
  <si>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</si>
  <si>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</si>
  <si>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</si>
  <si>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</si>
  <si>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</si>
  <si>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</si>
  <si>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</si>
  <si>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</si>
  <si>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</si>
  <si>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</si>
  <si>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</si>
  <si>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</si>
  <si>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</si>
  <si>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</si>
  <si>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</si>
  <si>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</si>
  <si>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</si>
  <si>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</si>
  <si>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</si>
  <si>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</si>
  <si>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</si>
  <si>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</si>
  <si>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</si>
  <si>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</si>
  <si>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</si>
  <si>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</si>
  <si>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</si>
  <si>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</si>
  <si>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</si>
  <si>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</si>
  <si>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</si>
  <si>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</si>
  <si>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</si>
  <si>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</si>
  <si>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</si>
  <si>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</si>
  <si>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</si>
  <si>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</si>
  <si>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</si>
  <si>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</si>
  <si>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</si>
  <si>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</si>
  <si>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</si>
  <si>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</si>
  <si>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</si>
  <si>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</si>
  <si>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</si>
  <si>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</si>
  <si>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</si>
  <si>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</si>
  <si>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</si>
  <si>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</si>
  <si>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</si>
  <si>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</si>
  <si>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</si>
  <si>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</si>
  <si>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</si>
  <si>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</si>
  <si>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</si>
  <si>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</si>
  <si>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</si>
  <si>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</si>
  <si>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</si>
  <si>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</si>
  <si>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</si>
  <si>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</si>
  <si>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</si>
  <si>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</si>
  <si>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</si>
  <si>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</si>
  <si>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</si>
  <si>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</si>
  <si>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</si>
  <si>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</si>
  <si>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</si>
  <si>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</si>
  <si>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</si>
  <si>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</si>
  <si>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</si>
  <si>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</si>
  <si>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</si>
  <si>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</si>
  <si>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</si>
  <si>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</si>
  <si>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</si>
  <si>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</si>
  <si>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</si>
  <si>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</si>
  <si>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</si>
  <si>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</si>
  <si>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</si>
  <si>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</si>
  <si>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</si>
  <si>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</si>
  <si>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</si>
  <si>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</si>
  <si>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</si>
  <si>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</si>
  <si>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</si>
  <si>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</si>
  <si>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</si>
  <si>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</si>
  <si>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</si>
  <si>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</si>
  <si>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</si>
  <si>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</si>
  <si>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</si>
  <si>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</si>
  <si>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</si>
  <si>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</si>
  <si>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</si>
  <si>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</si>
  <si>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</si>
  <si>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</si>
  <si>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</si>
  <si>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</si>
  <si>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</si>
  <si>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</si>
  <si>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</si>
  <si>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</si>
  <si>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</si>
  <si>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</si>
  <si>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</si>
  <si>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</si>
  <si>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</si>
  <si>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</si>
  <si>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</si>
  <si>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</si>
  <si>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</si>
  <si>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</si>
  <si>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</si>
  <si>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</si>
  <si>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</si>
  <si>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</si>
  <si>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</si>
  <si>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</si>
  <si>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</si>
  <si>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</si>
  <si>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</si>
  <si>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</si>
  <si>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</si>
  <si>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</si>
  <si>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</si>
  <si>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</si>
  <si>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</si>
  <si>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</si>
  <si>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</si>
  <si>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</si>
  <si>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</si>
  <si>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</si>
  <si>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</si>
  <si>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</si>
  <si>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</si>
  <si>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</si>
  <si>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</si>
  <si>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</si>
  <si>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</si>
  <si>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</si>
  <si>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</si>
  <si>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</si>
  <si>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</si>
  <si>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</si>
  <si>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</si>
  <si>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VALLEY TOWNSHIP</t>
  </si>
  <si>
    <t>Transfer to Road Fund</t>
  </si>
  <si>
    <t>Transfer from General Fund</t>
  </si>
  <si>
    <t>Gas, Oil, Diesel Fuel</t>
  </si>
  <si>
    <t>Fire - Spivey City</t>
  </si>
  <si>
    <t>August 20, 2013</t>
  </si>
  <si>
    <t>7:00 P.M.</t>
  </si>
  <si>
    <t>Edward Troyer Residence, 1790 SE 180 St., Harper, KS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</si>
</sst>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VALLEY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zoomScalePageLayoutView="0" workbookViewId="0" topLeftCell="A1">
      <selection activeCell="G45" sqref="G4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VALLEY TOWNSHIP</v>
      </c>
      <c r="C1" s="14"/>
      <c r="D1" s="14"/>
      <c r="E1" s="15">
        <f>inputPrYr!D5</f>
        <v>2014</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c r="D6" s="418">
        <f>C51</f>
        <v>0.3100000000013097</v>
      </c>
      <c r="E6" s="32">
        <f>D51</f>
        <v>0.3100000000013097</v>
      </c>
    </row>
    <row r="7" spans="2:5" ht="15.75">
      <c r="B7" s="27" t="s">
        <v>124</v>
      </c>
      <c r="C7" s="418"/>
      <c r="D7" s="418"/>
      <c r="E7" s="33"/>
    </row>
    <row r="8" spans="2:5" ht="15.75">
      <c r="B8" s="27" t="s">
        <v>16</v>
      </c>
      <c r="C8" s="29">
        <f>12977.86-23</f>
        <v>12954.86</v>
      </c>
      <c r="D8" s="418">
        <f>inputPrYr!E16</f>
        <v>0</v>
      </c>
      <c r="E8" s="33" t="s">
        <v>302</v>
      </c>
    </row>
    <row r="9" spans="2:5" ht="15.75">
      <c r="B9" s="27" t="s">
        <v>17</v>
      </c>
      <c r="C9" s="29">
        <f>69.76+46.4</f>
        <v>116.16</v>
      </c>
      <c r="D9" s="29"/>
      <c r="E9" s="34"/>
    </row>
    <row r="10" spans="2:5" ht="15.75">
      <c r="B10" s="27" t="s">
        <v>18</v>
      </c>
      <c r="C10" s="29">
        <f>292.11-11</f>
        <v>281.11</v>
      </c>
      <c r="D10" s="29">
        <v>239</v>
      </c>
      <c r="E10" s="32">
        <f>mvalloc!G11</f>
        <v>0</v>
      </c>
    </row>
    <row r="11" spans="2:5" ht="15.75">
      <c r="B11" s="27" t="s">
        <v>19</v>
      </c>
      <c r="C11" s="29">
        <f>1.77+3.75+5.23</f>
        <v>10.75</v>
      </c>
      <c r="D11" s="29">
        <v>10</v>
      </c>
      <c r="E11" s="32">
        <f>mvalloc!I11</f>
        <v>0</v>
      </c>
    </row>
    <row r="12" spans="2:5" ht="15.75">
      <c r="B12" s="35" t="s">
        <v>72</v>
      </c>
      <c r="C12" s="29">
        <f>14.02+3.78+2.92+2.71</f>
        <v>23.43</v>
      </c>
      <c r="D12" s="29">
        <v>3</v>
      </c>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t="s">
        <v>290</v>
      </c>
      <c r="C17" s="29" t="s">
        <v>290</v>
      </c>
      <c r="D17" s="29" t="s">
        <v>290</v>
      </c>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13386.310000000001</v>
      </c>
      <c r="D26" s="420">
        <f>SUM(D8:D24)</f>
        <v>252</v>
      </c>
      <c r="E26" s="42">
        <f>SUM(E8:E24)</f>
        <v>0</v>
      </c>
    </row>
    <row r="27" spans="2:5" ht="15.75">
      <c r="B27" s="43" t="s">
        <v>24</v>
      </c>
      <c r="C27" s="420">
        <f>C26+C6</f>
        <v>13386.310000000001</v>
      </c>
      <c r="D27" s="420">
        <f>D26+D6</f>
        <v>252.3100000000013</v>
      </c>
      <c r="E27" s="42">
        <f>E26+E6</f>
        <v>0.3100000000013097</v>
      </c>
    </row>
    <row r="28" spans="2:5" ht="15.75">
      <c r="B28" s="27" t="s">
        <v>25</v>
      </c>
      <c r="C28" s="418"/>
      <c r="D28" s="418"/>
      <c r="E28" s="32"/>
    </row>
    <row r="29" spans="2:5" ht="15.75">
      <c r="B29" s="37"/>
      <c r="C29" s="29"/>
      <c r="D29" s="29"/>
      <c r="E29" s="34"/>
    </row>
    <row r="30" spans="2:5" ht="15.75">
      <c r="B30" s="38" t="s">
        <v>105</v>
      </c>
      <c r="C30" s="29" t="s">
        <v>290</v>
      </c>
      <c r="D30" s="29"/>
      <c r="E30" s="34"/>
    </row>
    <row r="31" spans="2:5" ht="15.75">
      <c r="B31" s="38" t="s">
        <v>129</v>
      </c>
      <c r="C31" s="29" t="s">
        <v>290</v>
      </c>
      <c r="D31" s="29"/>
      <c r="E31" s="34"/>
    </row>
    <row r="32" spans="2:5" ht="15.75">
      <c r="B32" s="38" t="s">
        <v>106</v>
      </c>
      <c r="C32" s="29"/>
      <c r="D32" s="29"/>
      <c r="E32" s="34"/>
    </row>
    <row r="33" spans="2:5" ht="15.75">
      <c r="B33" s="38" t="s">
        <v>36</v>
      </c>
      <c r="C33" s="29"/>
      <c r="D33" s="29"/>
      <c r="E33" s="34"/>
    </row>
    <row r="34" spans="2:5" ht="15.75">
      <c r="B34" s="37" t="s">
        <v>107</v>
      </c>
      <c r="C34" s="29"/>
      <c r="D34" s="29"/>
      <c r="E34" s="34"/>
    </row>
    <row r="35" spans="2:5" ht="15.75">
      <c r="B35" s="37" t="s">
        <v>130</v>
      </c>
      <c r="C35" s="29"/>
      <c r="D35" s="29"/>
      <c r="E35" s="34"/>
    </row>
    <row r="36" spans="2:5" ht="15.75">
      <c r="B36" s="38" t="s">
        <v>132</v>
      </c>
      <c r="C36" s="29"/>
      <c r="D36" s="29"/>
      <c r="E36" s="34"/>
    </row>
    <row r="37" spans="2:5" ht="15.75">
      <c r="B37" s="38" t="s">
        <v>810</v>
      </c>
      <c r="C37" s="29" t="s">
        <v>290</v>
      </c>
      <c r="D37" s="29"/>
      <c r="E37" s="34"/>
    </row>
    <row r="38" spans="2:5" ht="15.75">
      <c r="B38" s="37" t="s">
        <v>815</v>
      </c>
      <c r="C38" s="29">
        <v>13386</v>
      </c>
      <c r="D38" s="29">
        <v>252</v>
      </c>
      <c r="E38" s="34" t="s">
        <v>290</v>
      </c>
    </row>
    <row r="39" spans="2:5" ht="15.75">
      <c r="B39" s="38" t="s">
        <v>290</v>
      </c>
      <c r="C39" s="29" t="s">
        <v>290</v>
      </c>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13386</v>
      </c>
      <c r="D50" s="412">
        <f>SUM(D29:D48)</f>
        <v>252</v>
      </c>
      <c r="E50" s="47">
        <f>SUM(E29:E43,E45,E47:E48)</f>
        <v>0</v>
      </c>
    </row>
    <row r="51" spans="2:5" ht="15.75">
      <c r="B51" s="27" t="s">
        <v>123</v>
      </c>
      <c r="C51" s="413">
        <f>C27-C50</f>
        <v>0.3100000000013097</v>
      </c>
      <c r="D51" s="413">
        <f>SUM(D27-D50)</f>
        <v>0.3100000000013097</v>
      </c>
      <c r="E51" s="33" t="s">
        <v>302</v>
      </c>
    </row>
    <row r="52" spans="2:6" ht="15.75">
      <c r="B52" s="48" t="str">
        <f>CONCATENATE("",E1-2,"/",E1-1," Budget Authority Amount:")</f>
        <v>2012/2013 Budget Authority Amount:</v>
      </c>
      <c r="C52" s="143">
        <v>13441</v>
      </c>
      <c r="D52" s="172">
        <f>inputPrYr!D16</f>
        <v>252</v>
      </c>
      <c r="E52" s="33" t="s">
        <v>302</v>
      </c>
      <c r="F52" s="50"/>
    </row>
    <row r="53" spans="2:6" ht="15.75">
      <c r="B53" s="48"/>
      <c r="C53" s="609" t="s">
        <v>646</v>
      </c>
      <c r="D53" s="610"/>
      <c r="E53" s="34"/>
      <c r="F53" s="533">
        <f>IF(E50/0.95-E50&lt;E53,"Exceeds 5%","")</f>
      </c>
    </row>
    <row r="54" spans="2:5" ht="15.75">
      <c r="B54" s="436" t="str">
        <f>CONCATENATE(C72,"     ",D72)</f>
        <v>     </v>
      </c>
      <c r="C54" s="611">
        <v>4</v>
      </c>
      <c r="D54" s="612"/>
      <c r="E54" s="32">
        <f>E50+E53</f>
        <v>0</v>
      </c>
    </row>
    <row r="55" spans="2:5" ht="15.75">
      <c r="B55" s="436" t="str">
        <f>CONCATENATE(C73,"     ",D73)</f>
        <v>     </v>
      </c>
      <c r="C55" s="60"/>
      <c r="D55" s="52" t="s">
        <v>28</v>
      </c>
      <c r="E55" s="46">
        <f>IF(E54-E27&gt;0,E54-E27,0)</f>
        <v>0</v>
      </c>
    </row>
    <row r="56" spans="2:5" ht="15.75">
      <c r="B56" s="52"/>
      <c r="C56" s="440" t="s">
        <v>648</v>
      </c>
      <c r="D56" s="432">
        <f>inputOth!$E$40</f>
        <v>0</v>
      </c>
      <c r="E56" s="32">
        <f>ROUND(IF(D56&gt;0,(E55*D56),0),0)</f>
        <v>0</v>
      </c>
    </row>
    <row r="57" spans="2:5" ht="15.75">
      <c r="B57" s="14"/>
      <c r="C57" s="607" t="str">
        <f>CONCATENATE("Amount of  ",$E$1-1," Ad Valorem Tax")</f>
        <v>Amount of  2013 Ad Valorem Tax</v>
      </c>
      <c r="D57" s="608"/>
      <c r="E57" s="46">
        <f>E55+E56</f>
        <v>0</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VALLEY TOWNSHIP</v>
      </c>
      <c r="C1" s="14"/>
      <c r="D1" s="14"/>
      <c r="E1" s="61">
        <f>inputPrYr!$D$5</f>
        <v>2014</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38">
        <f>E29</f>
        <v>0</v>
      </c>
      <c r="H55" s="540" t="str">
        <f>CONCATENATE("",E1," Non-AV Receipts (est.)")</f>
        <v>2014 Non-AV Receipts (est.)</v>
      </c>
      <c r="I55" s="536"/>
    </row>
    <row r="56" spans="2:9" ht="15.75">
      <c r="B56" s="48"/>
      <c r="C56" s="609" t="s">
        <v>646</v>
      </c>
      <c r="D56" s="610"/>
      <c r="E56" s="34"/>
      <c r="F56" s="533">
        <f>IF(E53/0.95-E53&lt;E56,"Exceeds 5%","")</f>
      </c>
      <c r="G56" s="541">
        <f>E60</f>
        <v>0</v>
      </c>
      <c r="H56" s="540" t="str">
        <f>CONCATENATE("",E1," Ad Valorem Tax (est.)")</f>
        <v>2014 Ad Valorem Tax (est.)</v>
      </c>
      <c r="I56" s="536"/>
    </row>
    <row r="57" spans="2:9" ht="15.75">
      <c r="B57" s="436" t="str">
        <f>CONCATENATE(C72,"     ",D72)</f>
        <v>     </v>
      </c>
      <c r="C57" s="611" t="s">
        <v>647</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A1">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VALLEY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63703</v>
      </c>
      <c r="D6" s="418">
        <f>C44</f>
        <v>103582.22999999998</v>
      </c>
      <c r="E6" s="32">
        <f>D44</f>
        <v>82401.22999999998</v>
      </c>
    </row>
    <row r="7" spans="2:5" ht="15.75">
      <c r="B7" s="27" t="s">
        <v>124</v>
      </c>
      <c r="C7" s="418"/>
      <c r="D7" s="418"/>
      <c r="E7" s="33"/>
    </row>
    <row r="8" spans="2:5" ht="15.75">
      <c r="B8" s="27" t="s">
        <v>16</v>
      </c>
      <c r="C8" s="29">
        <v>63997</v>
      </c>
      <c r="D8" s="418">
        <f>inputPrYr!E18</f>
        <v>69204</v>
      </c>
      <c r="E8" s="33" t="s">
        <v>302</v>
      </c>
    </row>
    <row r="9" spans="2:5" ht="15.75">
      <c r="B9" s="27" t="s">
        <v>17</v>
      </c>
      <c r="C9" s="29">
        <f>251.07+193</f>
        <v>444.07</v>
      </c>
      <c r="D9" s="29"/>
      <c r="E9" s="34"/>
    </row>
    <row r="10" spans="2:5" ht="15.75">
      <c r="B10" s="27" t="s">
        <v>18</v>
      </c>
      <c r="C10" s="29">
        <f>903.52-32</f>
        <v>871.52</v>
      </c>
      <c r="D10" s="29">
        <v>847</v>
      </c>
      <c r="E10" s="32">
        <f>mvalloc!G13</f>
        <v>1202</v>
      </c>
    </row>
    <row r="11" spans="2:5" ht="15.75">
      <c r="B11" s="27" t="s">
        <v>19</v>
      </c>
      <c r="C11" s="29">
        <f>11.2+8.56+11.94</f>
        <v>31.699999999999996</v>
      </c>
      <c r="D11" s="29">
        <v>34</v>
      </c>
      <c r="E11" s="32">
        <f>mvalloc!I13</f>
        <v>41</v>
      </c>
    </row>
    <row r="12" spans="2:5" ht="15.75">
      <c r="B12" s="27" t="s">
        <v>103</v>
      </c>
      <c r="C12" s="29">
        <f>88.65+23.89+18.46+17.16</f>
        <v>148.16</v>
      </c>
      <c r="D12" s="29">
        <v>12</v>
      </c>
      <c r="E12" s="32">
        <f>mvalloc!J13</f>
        <v>142</v>
      </c>
    </row>
    <row r="13" spans="2:5" ht="15.75">
      <c r="B13" s="27" t="s">
        <v>167</v>
      </c>
      <c r="C13" s="29"/>
      <c r="D13" s="29"/>
      <c r="E13" s="32">
        <f>mvalloc!K13</f>
        <v>0</v>
      </c>
    </row>
    <row r="14" spans="2:5" ht="15.75">
      <c r="B14" s="27" t="s">
        <v>104</v>
      </c>
      <c r="C14" s="29">
        <f>462.02+439.77+34.01+460.23+460.75</f>
        <v>1856.78</v>
      </c>
      <c r="D14" s="29">
        <v>1770</v>
      </c>
      <c r="E14" s="32">
        <f>inputOth!E36</f>
        <v>1800</v>
      </c>
    </row>
    <row r="15" spans="2:5" ht="15.75">
      <c r="B15" s="38" t="s">
        <v>816</v>
      </c>
      <c r="C15" s="29">
        <v>13386</v>
      </c>
      <c r="D15" s="29">
        <v>252</v>
      </c>
      <c r="E15" s="34" t="s">
        <v>290</v>
      </c>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80735.23</v>
      </c>
      <c r="D23" s="420">
        <f>SUM(D8:D21)</f>
        <v>72119</v>
      </c>
      <c r="E23" s="42">
        <f>SUM(E8:E21)</f>
        <v>3185</v>
      </c>
    </row>
    <row r="24" spans="2:5" ht="15.75">
      <c r="B24" s="43" t="s">
        <v>24</v>
      </c>
      <c r="C24" s="420">
        <f>C23+C6</f>
        <v>144438.22999999998</v>
      </c>
      <c r="D24" s="420">
        <f>D23+D6</f>
        <v>175701.22999999998</v>
      </c>
      <c r="E24" s="42">
        <f>E23+E6</f>
        <v>85586.22999999998</v>
      </c>
    </row>
    <row r="25" spans="2:5" ht="15.75">
      <c r="B25" s="27" t="s">
        <v>25</v>
      </c>
      <c r="C25" s="418"/>
      <c r="D25" s="418"/>
      <c r="E25" s="32"/>
    </row>
    <row r="26" spans="2:5" ht="15.75">
      <c r="B26" s="38" t="s">
        <v>105</v>
      </c>
      <c r="C26" s="29">
        <v>1195</v>
      </c>
      <c r="D26" s="29">
        <v>1440</v>
      </c>
      <c r="E26" s="34">
        <v>1440</v>
      </c>
    </row>
    <row r="27" spans="2:5" ht="15.75">
      <c r="B27" s="38" t="s">
        <v>129</v>
      </c>
      <c r="C27" s="29">
        <v>6452</v>
      </c>
      <c r="D27" s="29">
        <v>16000</v>
      </c>
      <c r="E27" s="34">
        <v>16000</v>
      </c>
    </row>
    <row r="28" spans="2:5" ht="15.75">
      <c r="B28" s="37" t="s">
        <v>106</v>
      </c>
      <c r="C28" s="29">
        <v>2581</v>
      </c>
      <c r="D28" s="29">
        <v>1075</v>
      </c>
      <c r="E28" s="34">
        <v>1075</v>
      </c>
    </row>
    <row r="29" spans="2:5" ht="15.75">
      <c r="B29" s="38" t="s">
        <v>131</v>
      </c>
      <c r="C29" s="29"/>
      <c r="D29" s="29">
        <v>13920</v>
      </c>
      <c r="E29" s="34">
        <v>13920</v>
      </c>
    </row>
    <row r="30" spans="2:5" ht="15.75">
      <c r="B30" s="38" t="s">
        <v>109</v>
      </c>
      <c r="C30" s="29">
        <v>2070</v>
      </c>
      <c r="D30" s="29">
        <v>19137</v>
      </c>
      <c r="E30" s="34">
        <v>49137</v>
      </c>
    </row>
    <row r="31" spans="2:5" ht="15.75">
      <c r="B31" s="38" t="s">
        <v>107</v>
      </c>
      <c r="C31" s="29"/>
      <c r="D31" s="29">
        <v>40000</v>
      </c>
      <c r="E31" s="34">
        <v>71443</v>
      </c>
    </row>
    <row r="32" spans="2:5" ht="15.75">
      <c r="B32" s="38" t="s">
        <v>132</v>
      </c>
      <c r="C32" s="29">
        <f>630+2425</f>
        <v>3055</v>
      </c>
      <c r="D32" s="29"/>
      <c r="E32" s="34"/>
    </row>
    <row r="33" spans="2:5" ht="15.75">
      <c r="B33" s="38" t="s">
        <v>811</v>
      </c>
      <c r="C33" s="29"/>
      <c r="D33" s="29"/>
      <c r="E33" s="34"/>
    </row>
    <row r="34" spans="2:5" ht="15.75">
      <c r="B34" s="37" t="s">
        <v>812</v>
      </c>
      <c r="C34" s="29"/>
      <c r="D34" s="29"/>
      <c r="E34" s="34"/>
    </row>
    <row r="35" spans="2:5" ht="15.75">
      <c r="B35" s="37" t="s">
        <v>817</v>
      </c>
      <c r="C35" s="29">
        <v>1979</v>
      </c>
      <c r="D35" s="29">
        <v>1250</v>
      </c>
      <c r="E35" s="34">
        <v>1256</v>
      </c>
    </row>
    <row r="36" spans="2:5" ht="15.75">
      <c r="B36" s="38" t="s">
        <v>818</v>
      </c>
      <c r="C36" s="29">
        <v>5500</v>
      </c>
      <c r="D36" s="29"/>
      <c r="E36" s="34"/>
    </row>
    <row r="37" spans="2:5" ht="15.75">
      <c r="B37" s="38"/>
      <c r="C37" s="29"/>
      <c r="D37" s="29"/>
      <c r="E37" s="34" t="s">
        <v>290</v>
      </c>
    </row>
    <row r="38" spans="2:5" ht="15.75">
      <c r="B38" s="27" t="s">
        <v>108</v>
      </c>
      <c r="C38" s="29">
        <v>18024</v>
      </c>
      <c r="D38" s="29"/>
      <c r="E38" s="34"/>
    </row>
    <row r="39" spans="2:5" ht="15.75">
      <c r="B39" s="27" t="s">
        <v>649</v>
      </c>
      <c r="C39" s="426">
        <f>IF(C24*0.25&lt;C38,"Not Authorized","")</f>
      </c>
      <c r="D39" s="426">
        <f>IF(D24*0.25&lt;D38,"Not Authorized","")</f>
      </c>
      <c r="E39" s="78">
        <f>IF(E24*0.25+E50&lt;E38,"Not Authorized","")</f>
      </c>
    </row>
    <row r="40" spans="2:5" ht="15.75">
      <c r="B40" s="35" t="s">
        <v>226</v>
      </c>
      <c r="C40" s="29"/>
      <c r="D40" s="29">
        <v>478</v>
      </c>
      <c r="E40" s="46">
        <f>nhood!E8</f>
        <v>472</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40856</v>
      </c>
      <c r="D43" s="420">
        <f>SUM(D26:D38,D40:D41)</f>
        <v>93300</v>
      </c>
      <c r="E43" s="42">
        <f>SUM(E26:E38,E40:E41)</f>
        <v>154743</v>
      </c>
    </row>
    <row r="44" spans="2:5" ht="15.75">
      <c r="B44" s="27" t="s">
        <v>123</v>
      </c>
      <c r="C44" s="413">
        <f>C24-C43</f>
        <v>103582.22999999998</v>
      </c>
      <c r="D44" s="413">
        <f>D24-D43</f>
        <v>82401.22999999998</v>
      </c>
      <c r="E44" s="33" t="s">
        <v>302</v>
      </c>
    </row>
    <row r="45" spans="2:6" ht="15.75">
      <c r="B45" s="48" t="str">
        <f>CONCATENATE("",E1-2,"/",E1-1," Budget Authority Amount:")</f>
        <v>2012/2013 Budget Authority Amount:</v>
      </c>
      <c r="C45" s="143">
        <v>91907</v>
      </c>
      <c r="D45" s="172">
        <f>inputPrYr!D18</f>
        <v>93300</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154743</v>
      </c>
    </row>
    <row r="48" spans="2:5" ht="15.75">
      <c r="B48" s="436" t="str">
        <f>CONCATENATE(C75,"     ",D75)</f>
        <v>     </v>
      </c>
      <c r="C48" s="60"/>
      <c r="D48" s="52" t="s">
        <v>28</v>
      </c>
      <c r="E48" s="46">
        <f>IF(E47-E24&gt;0,E47-E24,0)</f>
        <v>69156.77000000002</v>
      </c>
    </row>
    <row r="49" spans="2:5" ht="15.75">
      <c r="B49" s="52"/>
      <c r="C49" s="440" t="s">
        <v>648</v>
      </c>
      <c r="D49" s="432">
        <f>inputOth!$E$40</f>
        <v>0</v>
      </c>
      <c r="E49" s="32">
        <f>ROUND(IF(D49&gt;0,(E48*D49),0),0)</f>
        <v>0</v>
      </c>
    </row>
    <row r="50" spans="2:5" ht="15.75">
      <c r="B50" s="14"/>
      <c r="C50" s="607" t="str">
        <f>CONCATENATE("Amount of  ",$E$1-1," Ad Valorem Tax")</f>
        <v>Amount of  2013 Ad Valorem Tax</v>
      </c>
      <c r="D50" s="608"/>
      <c r="E50" s="46">
        <f>E48+E49</f>
        <v>69156.77000000002</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131777</v>
      </c>
      <c r="D55" s="14"/>
      <c r="E55" s="14"/>
    </row>
    <row r="56" spans="2:5" ht="15.75">
      <c r="B56" s="83" t="s">
        <v>33</v>
      </c>
      <c r="C56" s="143"/>
      <c r="D56" s="14"/>
      <c r="E56" s="14"/>
    </row>
    <row r="57" spans="2:5" ht="15.75">
      <c r="B57" s="83" t="s">
        <v>34</v>
      </c>
      <c r="C57" s="439">
        <f>C38</f>
        <v>18024</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v>25</v>
      </c>
      <c r="D61" s="14"/>
      <c r="E61" s="14"/>
    </row>
    <row r="62" spans="2:5" ht="15.75">
      <c r="B62" s="87" t="s">
        <v>21</v>
      </c>
      <c r="C62" s="557"/>
      <c r="D62" s="14"/>
      <c r="E62" s="14"/>
    </row>
    <row r="63" spans="2:5" ht="15.75">
      <c r="B63" s="88" t="s">
        <v>24</v>
      </c>
      <c r="C63" s="143">
        <f>SUM(C55:C62)</f>
        <v>149826</v>
      </c>
      <c r="D63" s="14"/>
      <c r="E63" s="14"/>
    </row>
    <row r="64" spans="2:5" ht="15.75">
      <c r="B64" s="88" t="s">
        <v>26</v>
      </c>
      <c r="C64" s="557"/>
      <c r="D64" s="14"/>
      <c r="E64" s="14"/>
    </row>
    <row r="65" spans="2:5" ht="15.75">
      <c r="B65" s="88" t="s">
        <v>27</v>
      </c>
      <c r="C65" s="438">
        <f>SUM(C63-C64)</f>
        <v>149826</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VALLEY TOWNSHIP</v>
      </c>
      <c r="C1" s="22" t="s">
        <v>35</v>
      </c>
      <c r="D1" s="14"/>
      <c r="E1" s="15">
        <f>inputPrYr!D5</f>
        <v>2014</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VALLEY TOWNSHIP</v>
      </c>
      <c r="C1" s="14"/>
      <c r="D1" s="14"/>
      <c r="E1" s="15">
        <f>inputPrYr!D5</f>
        <v>2014</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VALLEY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VALLEY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VALLEY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252</v>
      </c>
      <c r="E16" s="200">
        <v>0</v>
      </c>
    </row>
    <row r="17" spans="1:5" ht="15.75">
      <c r="A17" s="14"/>
      <c r="B17" s="83" t="s">
        <v>312</v>
      </c>
      <c r="C17" s="172" t="s">
        <v>157</v>
      </c>
      <c r="D17" s="200"/>
      <c r="E17" s="200"/>
    </row>
    <row r="18" spans="1:5" ht="15.75">
      <c r="A18" s="14"/>
      <c r="B18" s="83" t="s">
        <v>287</v>
      </c>
      <c r="C18" s="192" t="s">
        <v>327</v>
      </c>
      <c r="D18" s="200">
        <v>93300</v>
      </c>
      <c r="E18" s="200">
        <v>69204</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69204</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93552</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2.917</v>
      </c>
      <c r="E41" s="14"/>
    </row>
    <row r="42" spans="1:5" ht="15.75">
      <c r="A42" s="14"/>
      <c r="B42" s="96" t="str">
        <f t="shared" si="0"/>
        <v>Debt Service</v>
      </c>
      <c r="C42" s="14"/>
      <c r="D42" s="348"/>
      <c r="E42" s="14"/>
    </row>
    <row r="43" spans="1:5" ht="15.75">
      <c r="A43" s="14"/>
      <c r="B43" s="96" t="str">
        <f t="shared" si="0"/>
        <v>Road</v>
      </c>
      <c r="C43" s="14"/>
      <c r="D43" s="348">
        <v>10.346</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13.263</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60134</v>
      </c>
    </row>
    <row r="53" spans="1:5" ht="15.75">
      <c r="A53" s="353" t="str">
        <f>CONCATENATE("Assessed Valuation (",D5-2," budget column)")</f>
        <v>Assessed Valuation (2012 budget column)</v>
      </c>
      <c r="B53" s="354"/>
      <c r="C53" s="291"/>
      <c r="D53" s="28"/>
      <c r="E53" s="200">
        <v>4533990</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VALLEY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20, 2013 at 7:00 P.M. at Edward Troyer Residence, 1790 SE 180 St., Harper, KS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Edward Troyer Residence, 1790 SE 180 St., Harper,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13386</v>
      </c>
      <c r="D17" s="549">
        <f>IF(inputPrYr!D41&gt;0,inputPrYr!D41,"  ")</f>
        <v>2.917</v>
      </c>
      <c r="E17" s="32">
        <f>IF(gen!$D$50&lt;&gt;0,gen!$D$50,"  ")</f>
        <v>252</v>
      </c>
      <c r="F17" s="253" t="str">
        <f>IF(inputOth!D17&gt;0,inputOth!D17,"  ")</f>
        <v>  </v>
      </c>
      <c r="G17" s="32" t="str">
        <f>IF(gen!$E$50&lt;&gt;0,gen!$E$50,"  ")</f>
        <v>  </v>
      </c>
      <c r="H17" s="32" t="str">
        <f>IF(gen!$E$57&lt;&gt;0,gen!$E$57," ")</f>
        <v> </v>
      </c>
      <c r="I17" s="551" t="str">
        <f>IF(gen!E57&gt;0,ROUND(H17/$G$35*1000,3)," ")</f>
        <v> </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40856</v>
      </c>
      <c r="D19" s="549">
        <f>IF(inputPrYr!D43&gt;0,inputPrYr!D43,"  ")</f>
        <v>10.346</v>
      </c>
      <c r="E19" s="32">
        <f>IF(road!$D$43&lt;&gt;0,road!$D$43,"  ")</f>
        <v>93300</v>
      </c>
      <c r="F19" s="253">
        <f>IF(inputOth!D19&gt;0,inputOth!D19,"  ")</f>
        <v>13.105</v>
      </c>
      <c r="G19" s="32">
        <f>IF(road!$E$43&lt;&gt;0,road!$E$43,"  ")</f>
        <v>154743</v>
      </c>
      <c r="H19" s="32">
        <f>IF(road!$E$50&lt;&gt;0,road!$E$50,"  ")</f>
        <v>69156.77000000002</v>
      </c>
      <c r="I19" s="551">
        <f>IF(road!E50&gt;0,ROUND(H19/$G$35*1000,3)," ")</f>
        <v>13.105</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t="str">
        <f>IF(road!C64&lt;&gt;0,road!C64,"  ")</f>
        <v>  </v>
      </c>
      <c r="D29" s="531"/>
      <c r="E29" s="550"/>
      <c r="F29" s="531"/>
      <c r="G29" s="550"/>
      <c r="H29" s="550"/>
      <c r="I29" s="531"/>
    </row>
    <row r="30" spans="2:9" ht="15.75">
      <c r="B30" s="83" t="s">
        <v>301</v>
      </c>
      <c r="C30" s="552">
        <f aca="true" t="shared" si="0" ref="C30:I30">SUM(C17:C29)</f>
        <v>54242</v>
      </c>
      <c r="D30" s="529">
        <f t="shared" si="0"/>
        <v>13.263</v>
      </c>
      <c r="E30" s="552">
        <f t="shared" si="0"/>
        <v>93552</v>
      </c>
      <c r="F30" s="529">
        <f t="shared" si="0"/>
        <v>13.105</v>
      </c>
      <c r="G30" s="552">
        <f t="shared" si="0"/>
        <v>154743</v>
      </c>
      <c r="H30" s="552">
        <f t="shared" si="0"/>
        <v>69156.77000000002</v>
      </c>
      <c r="I30" s="555">
        <f t="shared" si="0"/>
        <v>13.105</v>
      </c>
    </row>
    <row r="31" spans="2:9" ht="15.75">
      <c r="B31" s="83" t="s">
        <v>44</v>
      </c>
      <c r="C31" s="32">
        <f>transfer!C29</f>
        <v>18024</v>
      </c>
      <c r="D31" s="14"/>
      <c r="E31" s="32">
        <f>transfer!D29</f>
        <v>0</v>
      </c>
      <c r="F31" s="62"/>
      <c r="G31" s="32">
        <f>transfer!E29</f>
        <v>0</v>
      </c>
      <c r="H31" s="14"/>
      <c r="I31" s="14"/>
    </row>
    <row r="32" spans="2:9" ht="16.5" thickBot="1">
      <c r="B32" s="83" t="s">
        <v>45</v>
      </c>
      <c r="C32" s="553">
        <f>C30-C31</f>
        <v>36218</v>
      </c>
      <c r="D32" s="14"/>
      <c r="E32" s="553">
        <f>E30-E31</f>
        <v>93552</v>
      </c>
      <c r="F32" s="14"/>
      <c r="G32" s="553">
        <f>G30-G31</f>
        <v>154743</v>
      </c>
      <c r="H32" s="14"/>
      <c r="I32" s="14"/>
    </row>
    <row r="33" spans="2:9" ht="16.5" thickTop="1">
      <c r="B33" s="83" t="s">
        <v>46</v>
      </c>
      <c r="C33" s="554">
        <f>inputPrYr!E52</f>
        <v>60134</v>
      </c>
      <c r="D33" s="62"/>
      <c r="E33" s="554">
        <f>inputPrYr!E25</f>
        <v>69204</v>
      </c>
      <c r="F33" s="14"/>
      <c r="G33" s="545" t="s">
        <v>302</v>
      </c>
      <c r="H33" s="14"/>
      <c r="I33" s="14"/>
    </row>
    <row r="34" spans="2:9" ht="15.75">
      <c r="B34" s="279" t="s">
        <v>47</v>
      </c>
      <c r="C34" s="55"/>
      <c r="D34" s="62"/>
      <c r="E34" s="55"/>
      <c r="F34" s="62"/>
      <c r="G34" s="14"/>
      <c r="H34" s="14"/>
      <c r="I34" s="14"/>
    </row>
    <row r="35" spans="2:9" ht="15.75">
      <c r="B35" s="563" t="s">
        <v>48</v>
      </c>
      <c r="C35" s="31">
        <f>inputPrYr!E53</f>
        <v>4533990</v>
      </c>
      <c r="D35" s="14"/>
      <c r="E35" s="32">
        <f>inputOth!E28</f>
        <v>5280866</v>
      </c>
      <c r="F35" s="14"/>
      <c r="G35" s="32">
        <f>inputOth!E7</f>
        <v>5277251</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VALLEY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v>69157</v>
      </c>
      <c r="D8" s="142">
        <f t="shared" si="0"/>
        <v>13.10473956990107</v>
      </c>
      <c r="E8" s="143">
        <f t="shared" si="1"/>
        <v>472</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69157</v>
      </c>
      <c r="D15" s="146">
        <f>SUM(D6:D14)</f>
        <v>13.10473956990107</v>
      </c>
      <c r="E15" s="145">
        <f>SUM(E6:E14)</f>
        <v>472</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5277251</v>
      </c>
      <c r="E18" s="14"/>
      <c r="F18" s="140"/>
    </row>
    <row r="19" spans="1:6" ht="15.75">
      <c r="A19" s="14"/>
      <c r="B19" s="14"/>
      <c r="C19" s="14"/>
      <c r="D19" s="14"/>
      <c r="E19" s="14"/>
      <c r="F19" s="140"/>
    </row>
    <row r="20" spans="1:6" ht="15.75">
      <c r="A20" s="14"/>
      <c r="B20" s="629" t="s">
        <v>379</v>
      </c>
      <c r="C20" s="629"/>
      <c r="D20" s="148">
        <f>IF(D18&gt;0,(D18*0.001),"")</f>
        <v>5277.251</v>
      </c>
      <c r="E20" s="14"/>
      <c r="F20" s="140"/>
    </row>
    <row r="21" spans="1:6" ht="15.75">
      <c r="A21" s="14"/>
      <c r="B21" s="48"/>
      <c r="C21" s="48"/>
      <c r="D21" s="149"/>
      <c r="E21" s="14"/>
      <c r="F21" s="140"/>
    </row>
    <row r="22" spans="1:6" ht="15.75">
      <c r="A22" s="627" t="s">
        <v>381</v>
      </c>
      <c r="B22" s="582"/>
      <c r="C22" s="582"/>
      <c r="D22" s="150">
        <f>inputOth!E13</f>
        <v>36040</v>
      </c>
      <c r="E22" s="151"/>
      <c r="F22" s="151"/>
    </row>
    <row r="23" spans="1:6" ht="15.75">
      <c r="A23" s="151"/>
      <c r="B23" s="151"/>
      <c r="C23" s="151"/>
      <c r="D23" s="152"/>
      <c r="E23" s="151"/>
      <c r="F23" s="151"/>
    </row>
    <row r="24" spans="1:6" ht="15.75">
      <c r="A24" s="151"/>
      <c r="B24" s="627" t="s">
        <v>382</v>
      </c>
      <c r="C24" s="628"/>
      <c r="D24" s="153">
        <f>IF(D22&gt;0,(D22*0.001),"")</f>
        <v>36.04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7" t="s">
        <v>133</v>
      </c>
      <c r="B1" s="637"/>
      <c r="C1" s="637"/>
      <c r="D1" s="637"/>
      <c r="E1" s="637"/>
      <c r="F1" s="637"/>
      <c r="G1" s="637"/>
    </row>
    <row r="2" ht="15.75">
      <c r="A2" s="1"/>
    </row>
    <row r="3" spans="1:7" ht="15.75">
      <c r="A3" s="638" t="s">
        <v>134</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VALLEY TOWNSHIP </v>
      </c>
      <c r="I6">
        <f>CONCATENATE(I7)</f>
      </c>
    </row>
    <row r="7" spans="1:7" ht="15.75">
      <c r="A7" s="639" t="str">
        <f>CONCATENATE("   with respect to financing the ",inputPrYr!D5," annual budget for ",(inputPrYr!D2)," , ",(inputPrYr!D3)," , Kansas.")</f>
        <v>   with respect to financing the 2014 annual budget for VALLEY TOWNSHIP , KINGMAN COUNTY , Kansas.</v>
      </c>
      <c r="B7" s="632"/>
      <c r="C7" s="632"/>
      <c r="D7" s="632"/>
      <c r="E7" s="632"/>
      <c r="F7" s="632"/>
      <c r="G7" s="632"/>
    </row>
    <row r="8" spans="1:7" ht="15.75">
      <c r="A8" s="632"/>
      <c r="B8" s="632"/>
      <c r="C8" s="632"/>
      <c r="D8" s="632"/>
      <c r="E8" s="632"/>
      <c r="F8" s="632"/>
      <c r="G8" s="632"/>
    </row>
    <row r="9" ht="15.75">
      <c r="A9" s="1"/>
    </row>
    <row r="10" ht="15.75">
      <c r="A10" s="9" t="s">
        <v>135</v>
      </c>
    </row>
    <row r="11" ht="15.75">
      <c r="A11" s="7" t="str">
        <f>CONCATENATE("to finance the ",inputPrYr!D5," ",(inputPrYr!D2)," budget exceed the amount levied to finance the ",inputPrYr!D5-1,"")</f>
        <v>to finance the 2014 VALLEY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140</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136</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VALLEY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137</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VALLEY TOWNSHIP of KINGMAN COUNTY, Kansas that is our desire to notify the public of increased property taxes to finance the 2014 VALLEY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_________ day of ___________, ",inputPrYr!D5-1," by the ",(inputPrYr!D2)," Board, ",(inputPrYr!D3),", Kansas.")</f>
        <v>Adopted this _________ day of ___________, 2013 by the VALLEY TOWNSHIP Board, KINGMAN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VALLEY TOWNSHIP Board</v>
      </c>
      <c r="E33" s="633"/>
      <c r="F33" s="633"/>
      <c r="G33" s="633"/>
    </row>
    <row r="35" spans="4:7" ht="15.75">
      <c r="D35" s="630" t="s">
        <v>138</v>
      </c>
      <c r="E35" s="630"/>
      <c r="F35" s="630"/>
      <c r="G35" s="630"/>
    </row>
    <row r="36" spans="1:7" ht="15.75">
      <c r="A36" s="5"/>
      <c r="D36" s="630" t="s">
        <v>142</v>
      </c>
      <c r="E36" s="630"/>
      <c r="F36" s="630"/>
      <c r="G36" s="630"/>
    </row>
    <row r="37" spans="4:7" ht="15.75">
      <c r="D37" s="630"/>
      <c r="E37" s="630"/>
      <c r="F37" s="630"/>
      <c r="G37" s="630"/>
    </row>
    <row r="38" spans="4:7" ht="15.75">
      <c r="D38" s="630" t="s">
        <v>138</v>
      </c>
      <c r="E38" s="630"/>
      <c r="F38" s="630"/>
      <c r="G38" s="630"/>
    </row>
    <row r="39" spans="1:7" ht="15.75">
      <c r="A39" s="4"/>
      <c r="D39" s="630" t="s">
        <v>143</v>
      </c>
      <c r="E39" s="630"/>
      <c r="F39" s="630"/>
      <c r="G39" s="630"/>
    </row>
    <row r="40" spans="4:7" ht="15.75">
      <c r="D40" s="630"/>
      <c r="E40" s="630"/>
      <c r="F40" s="630"/>
      <c r="G40" s="630"/>
    </row>
    <row r="41" spans="4:7" ht="15.75">
      <c r="D41" s="630" t="s">
        <v>141</v>
      </c>
      <c r="E41" s="630"/>
      <c r="F41" s="630"/>
      <c r="G41" s="630"/>
    </row>
    <row r="42" spans="1:7" ht="15.75">
      <c r="A42" s="4"/>
      <c r="D42" s="630" t="s">
        <v>144</v>
      </c>
      <c r="E42" s="630"/>
      <c r="F42" s="630"/>
      <c r="G42" s="630"/>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650</v>
      </c>
      <c r="C6" s="657"/>
      <c r="D6" s="657"/>
      <c r="E6" s="657"/>
      <c r="F6" s="657"/>
      <c r="G6" s="657"/>
      <c r="H6" s="657"/>
      <c r="I6" s="657"/>
      <c r="J6" s="657"/>
      <c r="K6" s="657"/>
      <c r="L6" s="446"/>
    </row>
    <row r="7" spans="1:12" ht="40.5" customHeight="1">
      <c r="A7" s="443"/>
      <c r="B7" s="668" t="s">
        <v>651</v>
      </c>
      <c r="C7" s="669"/>
      <c r="D7" s="669"/>
      <c r="E7" s="669"/>
      <c r="F7" s="669"/>
      <c r="G7" s="669"/>
      <c r="H7" s="669"/>
      <c r="I7" s="669"/>
      <c r="J7" s="669"/>
      <c r="K7" s="669"/>
      <c r="L7" s="443"/>
    </row>
    <row r="8" spans="1:12" ht="14.25">
      <c r="A8" s="443"/>
      <c r="B8" s="665" t="s">
        <v>652</v>
      </c>
      <c r="C8" s="665"/>
      <c r="D8" s="665"/>
      <c r="E8" s="665"/>
      <c r="F8" s="665"/>
      <c r="G8" s="665"/>
      <c r="H8" s="665"/>
      <c r="I8" s="665"/>
      <c r="J8" s="665"/>
      <c r="K8" s="665"/>
      <c r="L8" s="443"/>
    </row>
    <row r="9" spans="1:12" ht="14.25">
      <c r="A9" s="443"/>
      <c r="L9" s="443"/>
    </row>
    <row r="10" spans="1:12" ht="14.25">
      <c r="A10" s="443"/>
      <c r="B10" s="665" t="s">
        <v>653</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654</v>
      </c>
      <c r="C12" s="650"/>
      <c r="D12" s="650"/>
      <c r="E12" s="650"/>
      <c r="F12" s="650"/>
      <c r="G12" s="650"/>
      <c r="H12" s="650"/>
      <c r="I12" s="650"/>
      <c r="J12" s="650"/>
      <c r="K12" s="650"/>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52">
        <v>133685008</v>
      </c>
      <c r="G23" s="652"/>
      <c r="L23" s="443"/>
    </row>
    <row r="24" spans="1:12" ht="14.25">
      <c r="A24" s="443"/>
      <c r="L24" s="443"/>
    </row>
    <row r="25" spans="1:12" ht="14.25">
      <c r="A25" s="443"/>
      <c r="C25" s="666">
        <f>F23</f>
        <v>133685008</v>
      </c>
      <c r="D25" s="666"/>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651</v>
      </c>
      <c r="C30" s="654"/>
      <c r="D30" s="654"/>
      <c r="E30" s="654"/>
      <c r="F30" s="654"/>
      <c r="G30" s="654"/>
      <c r="H30" s="654"/>
      <c r="I30" s="654"/>
      <c r="J30" s="654"/>
      <c r="K30" s="654"/>
      <c r="L30" s="443"/>
    </row>
    <row r="31" spans="1:12" ht="14.25">
      <c r="A31" s="443"/>
      <c r="B31" s="665" t="s">
        <v>665</v>
      </c>
      <c r="C31" s="665"/>
      <c r="D31" s="665"/>
      <c r="E31" s="665"/>
      <c r="F31" s="665"/>
      <c r="G31" s="665"/>
      <c r="H31" s="665"/>
      <c r="I31" s="665"/>
      <c r="J31" s="665"/>
      <c r="K31" s="665"/>
      <c r="L31" s="443"/>
    </row>
    <row r="32" spans="1:12" ht="14.25">
      <c r="A32" s="443"/>
      <c r="L32" s="443"/>
    </row>
    <row r="33" spans="1:12" ht="14.25">
      <c r="A33" s="443"/>
      <c r="B33" s="665" t="s">
        <v>666</v>
      </c>
      <c r="C33" s="665"/>
      <c r="D33" s="665"/>
      <c r="E33" s="665"/>
      <c r="F33" s="665"/>
      <c r="G33" s="665"/>
      <c r="H33" s="665"/>
      <c r="I33" s="665"/>
      <c r="J33" s="665"/>
      <c r="K33" s="665"/>
      <c r="L33" s="443"/>
    </row>
    <row r="34" spans="1:12" ht="14.25">
      <c r="A34" s="443"/>
      <c r="L34" s="443"/>
    </row>
    <row r="35" spans="1:12" ht="89.25" customHeight="1">
      <c r="A35" s="443"/>
      <c r="B35" s="650" t="s">
        <v>667</v>
      </c>
      <c r="C35" s="660"/>
      <c r="D35" s="660"/>
      <c r="E35" s="660"/>
      <c r="F35" s="660"/>
      <c r="G35" s="660"/>
      <c r="H35" s="660"/>
      <c r="I35" s="660"/>
      <c r="J35" s="660"/>
      <c r="K35" s="660"/>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67">
        <v>3120000</v>
      </c>
      <c r="D41" s="667"/>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52">
        <v>133685008</v>
      </c>
      <c r="C48" s="652"/>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61" t="s">
        <v>675</v>
      </c>
      <c r="H50" s="662"/>
      <c r="I50" s="456" t="s">
        <v>661</v>
      </c>
      <c r="J50" s="466">
        <f>B50/F50</f>
        <v>52.8690023342034</v>
      </c>
      <c r="K50" s="458"/>
      <c r="L50" s="443"/>
    </row>
    <row r="51" spans="1:15" ht="15" thickBot="1">
      <c r="A51" s="443"/>
      <c r="B51" s="459"/>
      <c r="C51" s="460"/>
      <c r="D51" s="460"/>
      <c r="E51" s="460"/>
      <c r="F51" s="460"/>
      <c r="G51" s="460"/>
      <c r="H51" s="460"/>
      <c r="I51" s="663" t="s">
        <v>676</v>
      </c>
      <c r="J51" s="663"/>
      <c r="K51" s="664"/>
      <c r="L51" s="443"/>
      <c r="O51" s="467"/>
    </row>
    <row r="52" spans="1:12" ht="40.5" customHeight="1">
      <c r="A52" s="443"/>
      <c r="B52" s="654" t="s">
        <v>651</v>
      </c>
      <c r="C52" s="654"/>
      <c r="D52" s="654"/>
      <c r="E52" s="654"/>
      <c r="F52" s="654"/>
      <c r="G52" s="654"/>
      <c r="H52" s="654"/>
      <c r="I52" s="654"/>
      <c r="J52" s="654"/>
      <c r="K52" s="654"/>
      <c r="L52" s="443"/>
    </row>
    <row r="53" spans="1:12" ht="14.25">
      <c r="A53" s="443"/>
      <c r="B53" s="665" t="s">
        <v>677</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678</v>
      </c>
      <c r="C55" s="649"/>
      <c r="D55" s="649"/>
      <c r="E55" s="649"/>
      <c r="F55" s="649"/>
      <c r="G55" s="649"/>
      <c r="H55" s="649"/>
      <c r="I55" s="649"/>
      <c r="J55" s="649"/>
      <c r="K55" s="649"/>
      <c r="L55" s="443"/>
    </row>
    <row r="56" spans="1:12" ht="15" customHeight="1">
      <c r="A56" s="443"/>
      <c r="L56" s="443"/>
    </row>
    <row r="57" spans="1:24" ht="74.25" customHeight="1">
      <c r="A57" s="443"/>
      <c r="B57" s="650" t="s">
        <v>679</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52">
        <v>133685008</v>
      </c>
      <c r="D74" s="652"/>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52">
        <v>5000</v>
      </c>
      <c r="D77" s="652"/>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52">
        <v>100000</v>
      </c>
      <c r="D80" s="652"/>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3">
        <f>H80</f>
        <v>11500</v>
      </c>
      <c r="D83" s="653"/>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651</v>
      </c>
      <c r="C85" s="654"/>
      <c r="D85" s="654"/>
      <c r="E85" s="654"/>
      <c r="F85" s="654"/>
      <c r="G85" s="654"/>
      <c r="H85" s="654"/>
      <c r="I85" s="654"/>
      <c r="J85" s="654"/>
      <c r="K85" s="654"/>
      <c r="L85" s="443"/>
    </row>
    <row r="86" spans="1:12" ht="14.25">
      <c r="A86" s="443"/>
      <c r="B86" s="649" t="s">
        <v>699</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700</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701</v>
      </c>
      <c r="C90" s="650"/>
      <c r="D90" s="650"/>
      <c r="E90" s="650"/>
      <c r="F90" s="650"/>
      <c r="G90" s="650"/>
      <c r="H90" s="650"/>
      <c r="I90" s="650"/>
      <c r="J90" s="650"/>
      <c r="K90" s="650"/>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52">
        <v>133685008</v>
      </c>
      <c r="D94" s="652"/>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52">
        <v>50000</v>
      </c>
      <c r="D97" s="652"/>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52">
        <v>2500000</v>
      </c>
      <c r="D100" s="652"/>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3">
        <f>H100</f>
        <v>750000</v>
      </c>
      <c r="D103" s="653"/>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651</v>
      </c>
      <c r="C105" s="655"/>
      <c r="D105" s="655"/>
      <c r="E105" s="655"/>
      <c r="F105" s="655"/>
      <c r="G105" s="655"/>
      <c r="H105" s="655"/>
      <c r="I105" s="655"/>
      <c r="J105" s="655"/>
      <c r="K105" s="655"/>
      <c r="L105" s="443"/>
    </row>
    <row r="106" spans="1:12" ht="15" customHeight="1">
      <c r="A106" s="443"/>
      <c r="B106" s="656" t="s">
        <v>703</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52">
        <v>133685008</v>
      </c>
      <c r="D114" s="652"/>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52">
        <v>50000</v>
      </c>
      <c r="D117" s="652"/>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52">
        <v>2500000</v>
      </c>
      <c r="D120" s="652"/>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3">
        <f>H120</f>
        <v>625000</v>
      </c>
      <c r="D123" s="653"/>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651</v>
      </c>
      <c r="C125" s="654"/>
      <c r="D125" s="654"/>
      <c r="E125" s="654"/>
      <c r="F125" s="654"/>
      <c r="G125" s="654"/>
      <c r="H125" s="654"/>
      <c r="I125" s="654"/>
      <c r="J125" s="654"/>
      <c r="K125" s="654"/>
      <c r="L125" s="498"/>
    </row>
    <row r="126" spans="1:12" ht="14.25">
      <c r="A126" s="443"/>
      <c r="B126" s="649" t="s">
        <v>706</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707</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708</v>
      </c>
      <c r="C130" s="650"/>
      <c r="D130" s="650"/>
      <c r="E130" s="650"/>
      <c r="F130" s="650"/>
      <c r="G130" s="650"/>
      <c r="H130" s="650"/>
      <c r="I130" s="650"/>
      <c r="J130" s="650"/>
      <c r="K130" s="650"/>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51" t="s">
        <v>709</v>
      </c>
      <c r="D133" s="651"/>
      <c r="E133" s="455"/>
      <c r="F133" s="456" t="s">
        <v>710</v>
      </c>
      <c r="G133" s="455"/>
      <c r="H133" s="651" t="s">
        <v>695</v>
      </c>
      <c r="I133" s="651"/>
      <c r="J133" s="455"/>
      <c r="K133" s="458"/>
      <c r="L133" s="443"/>
    </row>
    <row r="134" spans="1:12" ht="14.25">
      <c r="A134" s="443"/>
      <c r="B134" s="464" t="s">
        <v>688</v>
      </c>
      <c r="C134" s="652">
        <v>100000</v>
      </c>
      <c r="D134" s="652"/>
      <c r="E134" s="456" t="s">
        <v>302</v>
      </c>
      <c r="F134" s="456">
        <v>0.115</v>
      </c>
      <c r="G134" s="456" t="s">
        <v>661</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695</v>
      </c>
      <c r="D136" s="640"/>
      <c r="E136" s="475"/>
      <c r="F136" s="476" t="s">
        <v>711</v>
      </c>
      <c r="G136" s="476"/>
      <c r="H136" s="475"/>
      <c r="I136" s="475"/>
      <c r="J136" s="475" t="s">
        <v>712</v>
      </c>
      <c r="K136" s="477"/>
      <c r="L136" s="443"/>
    </row>
    <row r="137" spans="1:12" ht="14.25">
      <c r="A137" s="443"/>
      <c r="B137" s="464" t="s">
        <v>691</v>
      </c>
      <c r="C137" s="641">
        <f>H134</f>
        <v>11500</v>
      </c>
      <c r="D137" s="64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715</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41" t="s">
        <v>716</v>
      </c>
      <c r="D147" s="641"/>
      <c r="E147" s="456"/>
      <c r="F147" s="516" t="s">
        <v>717</v>
      </c>
      <c r="G147" s="456"/>
      <c r="H147" s="456"/>
      <c r="I147" s="456"/>
      <c r="J147" s="645" t="s">
        <v>718</v>
      </c>
      <c r="K147" s="646"/>
      <c r="L147" s="443"/>
    </row>
    <row r="148" spans="1:12" ht="14.25">
      <c r="A148" s="443"/>
      <c r="B148" s="464"/>
      <c r="C148" s="647">
        <v>52.869</v>
      </c>
      <c r="D148" s="647"/>
      <c r="E148" s="456" t="s">
        <v>302</v>
      </c>
      <c r="F148" s="521">
        <v>133685008</v>
      </c>
      <c r="G148" s="522" t="s">
        <v>662</v>
      </c>
      <c r="H148" s="456">
        <v>1000</v>
      </c>
      <c r="I148" s="456" t="s">
        <v>661</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VALLEY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5277251</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15732</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15114</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36040</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298</v>
      </c>
      <c r="B16" s="573"/>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13.105</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13.105</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5280866</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1202</v>
      </c>
    </row>
    <row r="32" spans="1:5" ht="15.75">
      <c r="A32" s="322" t="s">
        <v>289</v>
      </c>
      <c r="B32" s="291"/>
      <c r="C32" s="291"/>
      <c r="D32" s="31"/>
      <c r="E32" s="34">
        <v>41</v>
      </c>
    </row>
    <row r="33" spans="1:5" ht="15.75">
      <c r="A33" s="322" t="s">
        <v>165</v>
      </c>
      <c r="B33" s="291"/>
      <c r="C33" s="291"/>
      <c r="D33" s="31"/>
      <c r="E33" s="34">
        <v>142</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1800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F14" sqref="F14"/>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819</v>
      </c>
      <c r="C5" s="387"/>
      <c r="D5" s="384" t="s">
        <v>797</v>
      </c>
      <c r="E5" s="383"/>
      <c r="F5" s="383"/>
    </row>
    <row r="6" spans="1:6" ht="15.75">
      <c r="A6" s="384"/>
      <c r="B6" s="388"/>
      <c r="C6" s="389"/>
      <c r="D6" s="384" t="s">
        <v>796</v>
      </c>
      <c r="E6" s="383"/>
      <c r="F6" s="383"/>
    </row>
    <row r="7" spans="1:6" ht="15.75">
      <c r="A7" s="384" t="s">
        <v>387</v>
      </c>
      <c r="B7" s="386" t="s">
        <v>820</v>
      </c>
      <c r="C7" s="390"/>
      <c r="D7" s="384"/>
      <c r="E7" s="383"/>
      <c r="F7" s="383"/>
    </row>
    <row r="8" spans="1:6" ht="15.75">
      <c r="A8" s="384"/>
      <c r="B8" s="384"/>
      <c r="C8" s="384"/>
      <c r="D8" s="384"/>
      <c r="E8" s="383"/>
      <c r="F8" s="383"/>
    </row>
    <row r="9" spans="1:6" ht="15.75">
      <c r="A9" s="384" t="s">
        <v>388</v>
      </c>
      <c r="B9" s="391" t="s">
        <v>821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821</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VALLEY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290</v>
      </c>
      <c r="F12" s="584" t="str">
        <f>CONCATENATE("Amount of ",H1-1," Ad Valorem Tax")</f>
        <v>Amount of 2013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t="str">
        <f>IF(gen!$E$50&lt;&gt;0,gen!$E$50,"  ")</f>
        <v>  </v>
      </c>
      <c r="F20" s="172">
        <f>IF(gen!$E$57&lt;&gt;0,gen!$E$57,0)</f>
        <v>0</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154743</v>
      </c>
      <c r="F22" s="172">
        <f>IF(road!$E$50&lt;&gt;0,road!$E$50,"  ")</f>
        <v>69156.77000000002</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154743</v>
      </c>
      <c r="F33" s="292">
        <f>SUM(F20:F28)</f>
        <v>69156.77000000002</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VALLEY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69204</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69204</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15732</v>
      </c>
      <c r="F14" s="270"/>
      <c r="G14" s="55"/>
      <c r="H14" s="55"/>
      <c r="I14" s="53"/>
      <c r="J14" s="55"/>
    </row>
    <row r="15" spans="1:10" ht="15.75">
      <c r="A15" s="269"/>
      <c r="B15" s="14" t="s">
        <v>91</v>
      </c>
      <c r="C15" s="14" t="str">
        <f>CONCATENATE("Personal Property ",J1-2,"")</f>
        <v>Personal Property 2012</v>
      </c>
      <c r="D15" s="269" t="s">
        <v>86</v>
      </c>
      <c r="E15" s="273">
        <f>inputOth!E11</f>
        <v>15114</v>
      </c>
      <c r="F15" s="270"/>
      <c r="G15" s="53"/>
      <c r="H15" s="53"/>
      <c r="I15" s="55"/>
      <c r="J15" s="55"/>
    </row>
    <row r="16" spans="1:10" ht="15.75">
      <c r="A16" s="269"/>
      <c r="B16" s="14" t="s">
        <v>92</v>
      </c>
      <c r="C16" s="14" t="s">
        <v>112</v>
      </c>
      <c r="D16" s="14"/>
      <c r="E16" s="55"/>
      <c r="F16" s="55" t="s">
        <v>15</v>
      </c>
      <c r="G16" s="271">
        <f>IF(E14&gt;E15,E14-E15,0)</f>
        <v>618</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618</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5277251</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5276633</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0.00011712014081707027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8</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69212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69212</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VALLEY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69204</v>
      </c>
      <c r="E13" s="253">
        <f>IF(inputOth!D19&gt;0,inputOth!D19,"  ")</f>
        <v>13.105</v>
      </c>
      <c r="F13" s="254"/>
      <c r="G13" s="96">
        <f>IF(inputPrYr!E18=0,0,ROUND(D13*$G$30,0))</f>
        <v>1202</v>
      </c>
      <c r="H13" s="255"/>
      <c r="I13" s="96">
        <f>IF(inputPrYr!$E$18=0,0,ROUND($D$13*$I$32,0))</f>
        <v>41</v>
      </c>
      <c r="J13" s="96">
        <f>IF(inputPrYr!E18=0,0,ROUND($D13*$J$34,0))</f>
        <v>142</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69204</v>
      </c>
      <c r="E20" s="259">
        <f>SUM(E11:E19)</f>
        <v>13.105</v>
      </c>
      <c r="F20" s="260"/>
      <c r="G20" s="258">
        <f>SUM(G11:G19)</f>
        <v>1202</v>
      </c>
      <c r="H20" s="258"/>
      <c r="I20" s="258">
        <f>SUM(I11:I19)</f>
        <v>41</v>
      </c>
      <c r="J20" s="258">
        <f>SUM(J11:J19)</f>
        <v>142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1202</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142</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0.017368938211664065</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0.0005924513033928675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0.0020519045141899313</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VALLEY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18024</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18024</v>
      </c>
      <c r="D27" s="245">
        <f>SUM(D10:D26)</f>
        <v>0</v>
      </c>
      <c r="E27" s="245">
        <f>SUM(E10:E26)</f>
        <v>0</v>
      </c>
      <c r="F27" s="140"/>
    </row>
    <row r="28" spans="1:6" ht="15.75">
      <c r="A28" s="140"/>
      <c r="B28" s="244" t="s">
        <v>633</v>
      </c>
      <c r="C28" s="140"/>
      <c r="D28" s="241"/>
      <c r="E28" s="241"/>
      <c r="F28" s="140"/>
    </row>
    <row r="29" spans="1:6" ht="15.75">
      <c r="A29" s="140"/>
      <c r="B29" s="192" t="s">
        <v>184</v>
      </c>
      <c r="C29" s="246">
        <f>C27</f>
        <v>18024</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2013-07-18T21:28:14Z</cp:lastPrinted>
  <dcterms:created xsi:type="dcterms:W3CDTF">1998-08-26T16:30:41Z</dcterms:created>
  <dcterms:modified xsi:type="dcterms:W3CDTF">2013-07-18T21:35:45Z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