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<sst xmlns="http://schemas.openxmlformats.org/spreadsheetml/2006/main" count="1580" uniqueCount="955">
  <si>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</si>
  <si>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</si>
  <si>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</si>
  <si>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</si>
  <si>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</si>
  <si>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</si>
  <si>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</si>
  <si>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</si>
  <si>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</si>
  <si>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</si>
  <si>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</si>
  <si>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</si>
  <si>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</si>
  <si>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</si>
  <si>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</si>
  <si>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</si>
  <si>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</si>
  <si>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</si>
  <si>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</si>
  <si>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</si>
  <si>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</si>
  <si>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</si>
  <si>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</si>
  <si>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</si>
  <si>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</si>
  <si>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</si>
  <si>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</si>
  <si>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</si>
  <si>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</si>
  <si>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</si>
  <si>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</si>
  <si>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</si>
  <si>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</si>
  <si>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</si>
  <si>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</si>
  <si>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</si>
  <si>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</si>
  <si>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</si>
  <si>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</si>
  <si>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</si>
  <si>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</si>
  <si>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</si>
  <si>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</si>
  <si>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</si>
  <si>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</si>
  <si>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</si>
  <si>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</si>
  <si>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</si>
  <si>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</si>
  <si>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</si>
  <si>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</si>
  <si>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</si>
  <si>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</si>
  <si>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</si>
  <si>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</si>
  <si>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</si>
  <si>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</si>
  <si>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</si>
  <si>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</si>
  <si>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</si>
  <si>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</si>
  <si>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</si>
  <si>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</si>
  <si>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</si>
  <si>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</si>
  <si>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</si>
  <si>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</si>
  <si>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</si>
  <si>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</si>
  <si>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</si>
  <si>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</si>
  <si>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</si>
  <si>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</si>
  <si>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</si>
  <si>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</si>
  <si>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</si>
  <si>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</si>
  <si>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</si>
  <si>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</si>
  <si>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</si>
  <si>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</si>
  <si>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</si>
  <si>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</si>
  <si>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</si>
  <si>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</si>
  <si>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</si>
  <si>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</si>
  <si>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</si>
  <si>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</si>
  <si>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</si>
  <si>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</si>
  <si>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</si>
  <si>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</si>
  <si>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</si>
  <si>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</si>
  <si>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</si>
  <si>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</si>
  <si>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</si>
  <si>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</si>
  <si>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</si>
  <si>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</si>
  <si>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</si>
  <si>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</si>
  <si>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</si>
  <si>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</si>
  <si>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</si>
  <si>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</si>
  <si>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</si>
  <si>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</si>
  <si>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</si>
  <si>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</si>
  <si>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</si>
  <si>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</si>
  <si>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</si>
  <si>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</si>
  <si>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</si>
  <si>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</si>
  <si>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</si>
  <si>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</si>
  <si>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</si>
  <si>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</si>
  <si>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</si>
  <si>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</si>
  <si>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</si>
  <si>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</si>
  <si>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</si>
  <si>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</si>
  <si>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</si>
  <si>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</si>
  <si>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</si>
  <si>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</si>
  <si>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</si>
  <si>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</si>
  <si>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</si>
  <si>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</si>
  <si>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</si>
  <si>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</si>
  <si>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</si>
  <si>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</si>
  <si>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</si>
  <si>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</si>
  <si>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</si>
  <si>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</si>
  <si>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</si>
  <si>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</si>
  <si>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</si>
  <si>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</si>
  <si>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</si>
  <si>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</si>
  <si>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</si>
  <si>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</si>
  <si>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</si>
  <si>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</si>
  <si>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</si>
  <si>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</si>
  <si>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</si>
  <si>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</si>
  <si>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</si>
  <si>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</si>
  <si>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</si>
  <si>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</si>
  <si>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</si>
  <si>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</si>
  <si>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</si>
  <si>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</si>
  <si>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</si>
  <si>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</si>
  <si>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</si>
  <si>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</si>
  <si>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</si>
  <si>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</si>
  <si>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</si>
  <si>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</si>
  <si>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</si>
  <si>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</si>
  <si>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</si>
  <si>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</si>
  <si>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</si>
  <si>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</si>
  <si>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</si>
  <si>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</si>
  <si>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</si>
  <si>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</si>
  <si>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</si>
  <si>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</si>
  <si>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</si>
  <si>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</si>
  <si>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</si>
  <si>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</si>
  <si>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</si>
  <si>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</si>
  <si>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</si>
  <si>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</si>
  <si>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</si>
  <si>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</si>
  <si>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</si>
  <si>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</si>
  <si>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</si>
  <si>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</si>
  <si>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</si>
  <si>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</si>
  <si>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</si>
  <si>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</si>
  <si>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</si>
  <si>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</si>
  <si>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</si>
  <si>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</si>
  <si>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</si>
  <si>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</si>
  <si>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</si>
  <si>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</si>
  <si>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</si>
  <si>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</si>
  <si>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</si>
  <si>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</si>
  <si>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</si>
  <si>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</si>
  <si>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</si>
  <si>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</si>
  <si>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</si>
  <si>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</si>
  <si>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</si>
  <si>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</si>
  <si>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</si>
  <si>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</si>
  <si>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</si>
  <si>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</si>
  <si>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</si>
  <si>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</si>
  <si>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</si>
  <si>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</si>
  <si>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</si>
  <si>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</si>
  <si>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</si>
  <si>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</si>
  <si>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</si>
  <si>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</si>
  <si>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</si>
  <si>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</si>
  <si>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</si>
  <si>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</si>
  <si>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</si>
  <si>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</si>
  <si>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</si>
  <si>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</si>
  <si>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</si>
  <si>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</si>
  <si>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</si>
  <si>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</si>
  <si>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</si>
  <si>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</si>
  <si>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</si>
  <si>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</si>
  <si>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</si>
  <si>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</si>
  <si>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</si>
  <si>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</si>
  <si>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</si>
  <si>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</si>
  <si>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</si>
  <si>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</si>
  <si>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</si>
  <si>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</si>
  <si>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</si>
  <si>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</si>
  <si>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</si>
  <si>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</si>
  <si>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</si>
  <si>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</si>
  <si>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</si>
  <si>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</si>
  <si>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</si>
  <si>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</si>
  <si>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</si>
  <si>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</si>
  <si>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</si>
  <si>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</si>
  <si>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</si>
  <si>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</si>
  <si>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</si>
  <si>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</si>
  <si>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</si>
  <si>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</si>
  <si>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</si>
  <si>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</si>
  <si>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</si>
  <si>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</si>
  <si>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</si>
  <si>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</si>
  <si>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</si>
  <si>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</si>
  <si>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</si>
  <si>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</si>
  <si>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</si>
  <si>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</si>
  <si>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</si>
  <si>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</si>
  <si>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</si>
  <si>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</si>
  <si>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</si>
  <si>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</si>
  <si>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</si>
  <si>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</si>
  <si>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</si>
  <si>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</si>
  <si>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</si>
  <si>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</si>
  <si>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</si>
  <si>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</si>
  <si>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</si>
  <si>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</si>
  <si>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</si>
  <si>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</si>
  <si>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</si>
  <si>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</si>
  <si>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</si>
  <si>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</si>
  <si>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</si>
  <si>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</si>
  <si>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</si>
  <si>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</si>
  <si>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</si>
  <si>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</si>
  <si>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</si>
  <si>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</si>
  <si>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</si>
  <si>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</si>
  <si>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</si>
  <si>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</si>
  <si>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</si>
  <si>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</si>
  <si>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</si>
  <si>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</si>
  <si>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</si>
  <si>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</si>
  <si>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</si>
  <si>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</si>
  <si>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</si>
  <si>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</si>
  <si>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</si>
  <si>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</si>
  <si>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</si>
  <si>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</si>
  <si>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</si>
  <si>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</si>
  <si>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</si>
  <si>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</si>
  <si>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</si>
  <si>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</si>
  <si>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</si>
  <si>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</si>
  <si>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</si>
  <si>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</si>
  <si>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</si>
  <si>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</si>
  <si>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</si>
  <si>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</si>
  <si>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</si>
  <si>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</si>
  <si>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</si>
  <si>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</si>
  <si>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</si>
  <si>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</si>
  <si>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</si>
  <si>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</si>
  <si>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</si>
  <si>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</si>
  <si>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</si>
  <si>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</si>
  <si>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</si>
  <si>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</si>
  <si>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</si>
  <si>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</si>
  <si>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</si>
  <si>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</si>
  <si>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</si>
  <si>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</si>
  <si>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</si>
  <si>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</si>
  <si>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</si>
  <si>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</si>
  <si>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</si>
  <si>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</si>
  <si>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</si>
  <si>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</si>
  <si>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</si>
  <si>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</si>
  <si>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</si>
  <si>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</si>
  <si>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</si>
  <si>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</si>
  <si>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</si>
  <si>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</si>
  <si>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</si>
  <si>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</si>
  <si>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</si>
  <si>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</si>
  <si>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</si>
  <si>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</si>
  <si>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</si>
  <si>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</si>
  <si>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</si>
  <si>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</si>
  <si>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</si>
  <si>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</si>
  <si>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</si>
  <si>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</si>
  <si>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</si>
  <si>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</si>
  <si>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</si>
  <si>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</si>
  <si>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</si>
  <si>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</si>
  <si>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</si>
  <si>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</si>
  <si>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</si>
  <si>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</si>
  <si>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</si>
  <si>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</si>
  <si>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</si>
  <si>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</si>
  <si>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</si>
  <si>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</si>
  <si>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</si>
  <si>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</si>
  <si>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</si>
  <si>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</si>
  <si>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</si>
  <si>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</si>
  <si>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</si>
  <si>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</si>
  <si>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</si>
  <si>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</si>
  <si>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</si>
  <si>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</si>
  <si>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</si>
  <si>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</si>
  <si>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</si>
  <si>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</si>
  <si>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</si>
  <si>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</si>
  <si>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</si>
  <si>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</si>
  <si>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</si>
  <si>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</si>
  <si>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</si>
  <si>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</si>
  <si>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</si>
  <si>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</si>
  <si>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</si>
  <si>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</si>
  <si>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</si>
  <si>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</si>
  <si>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</si>
  <si>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</si>
  <si>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</si>
  <si>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</si>
  <si>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</si>
  <si>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</si>
  <si>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</si>
  <si>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</si>
  <si>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</si>
  <si>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</si>
  <si>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</si>
  <si>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</si>
  <si>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</si>
  <si>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</si>
  <si>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</si>
  <si>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</si>
  <si>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</si>
  <si>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</si>
  <si>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</si>
  <si>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</si>
  <si>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</si>
  <si>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</si>
  <si>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</si>
  <si>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</si>
  <si>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</si>
  <si>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</si>
  <si>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</si>
  <si>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</si>
  <si>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</si>
  <si>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</si>
  <si>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</si>
  <si>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</si>
  <si>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</si>
  <si>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</si>
  <si>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</si>
  <si>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</si>
  <si>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</si>
  <si>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</si>
  <si>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</si>
  <si>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</si>
  <si>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</si>
  <si>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</si>
  <si>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</si>
  <si>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</si>
  <si>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</si>
  <si>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</si>
  <si>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</si>
  <si>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</si>
  <si>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</si>
  <si>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</si>
  <si>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</si>
  <si>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</si>
  <si>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</si>
  <si>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</si>
  <si>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</si>
  <si>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</si>
  <si>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</si>
  <si>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</si>
  <si>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</si>
  <si>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</si>
  <si>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</si>
  <si>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</si>
  <si>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</si>
  <si>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</si>
  <si>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</si>
  <si>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</si>
  <si>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</si>
  <si>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</si>
  <si>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</si>
  <si>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</si>
  <si>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</si>
  <si>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</si>
  <si>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</si>
  <si>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</si>
  <si>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</si>
  <si>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</si>
  <si>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</si>
  <si>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</si>
  <si>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</si>
  <si>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</si>
  <si>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</si>
  <si>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</si>
  <si>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</si>
  <si>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</si>
  <si>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</si>
  <si>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</si>
  <si>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</si>
  <si>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</si>
  <si>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</si>
  <si>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</si>
  <si>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</si>
  <si>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</si>
  <si>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</si>
  <si>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</si>
  <si>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</si>
  <si>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</si>
  <si>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</si>
  <si>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</si>
  <si>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</si>
  <si>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</si>
  <si>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</si>
  <si>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</si>
  <si>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</si>
  <si>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</si>
  <si>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</si>
  <si>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</si>
  <si>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</si>
  <si>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</si>
  <si>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</si>
  <si>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</si>
  <si>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</si>
  <si>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</si>
  <si>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</si>
  <si>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</si>
  <si>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</si>
  <si>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</si>
  <si>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</si>
  <si>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</si>
  <si>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</si>
  <si>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</si>
  <si>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</si>
  <si>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</si>
  <si>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</si>
  <si>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</si>
  <si>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</si>
  <si>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</si>
  <si>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</si>
  <si>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</si>
  <si>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</si>
  <si>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</si>
  <si>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</si>
  <si>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</si>
  <si>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</si>
  <si>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</si>
  <si>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</si>
  <si>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</si>
  <si>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</si>
  <si>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</si>
  <si>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</si>
  <si>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</si>
  <si>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</si>
  <si>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</si>
  <si>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</si>
  <si>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</si>
  <si>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</si>
  <si>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</si>
  <si>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</si>
  <si>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</si>
  <si>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</si>
  <si>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</si>
  <si>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</si>
  <si>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</si>
  <si>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</si>
  <si>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</si>
  <si>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</si>
  <si>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</si>
  <si>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</si>
  <si>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</si>
  <si>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</si>
  <si>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</si>
  <si>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</si>
  <si>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</si>
  <si>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</si>
  <si>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</si>
  <si>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</si>
  <si>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</si>
  <si>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</si>
  <si>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</si>
  <si>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</si>
  <si>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</si>
  <si>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</si>
  <si>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</si>
  <si>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</si>
  <si>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</si>
  <si>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</si>
  <si>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</si>
  <si>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</si>
  <si>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</si>
  <si>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</si>
  <si>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</si>
  <si>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</si>
  <si>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</si>
  <si>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</si>
  <si>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</si>
  <si>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</si>
  <si>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</si>
  <si>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</si>
  <si>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</si>
  <si>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</si>
  <si>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</si>
  <si>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</si>
  <si>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</si>
  <si>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</si>
  <si>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</si>
  <si>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</si>
  <si>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</si>
  <si>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</si>
  <si>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</si>
  <si>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</si>
  <si>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</si>
  <si>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</si>
  <si>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</si>
  <si>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</si>
  <si>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</si>
  <si>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</si>
  <si>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</si>
  <si>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</si>
  <si>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</si>
  <si>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</si>
  <si>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</si>
  <si>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</si>
  <si>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</si>
  <si>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</si>
  <si>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</si>
  <si>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</si>
  <si>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</si>
  <si>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</si>
  <si>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</si>
  <si>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</si>
  <si>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</si>
  <si>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</si>
  <si>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</si>
  <si>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</si>
  <si>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</si>
  <si>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</si>
  <si>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</si>
  <si>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</si>
  <si>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</si>
  <si>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</si>
  <si>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</si>
  <si>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</si>
  <si>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</si>
  <si>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</si>
  <si>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</si>
  <si>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</si>
  <si>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</si>
  <si>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</si>
  <si>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</si>
  <si>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</si>
  <si>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</si>
  <si>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</si>
  <si>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</si>
  <si>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</si>
  <si>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</si>
  <si>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</si>
  <si>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</si>
  <si>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</si>
  <si>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</si>
  <si>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</si>
  <si>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</si>
  <si>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</si>
  <si>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</si>
  <si>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</si>
  <si>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</si>
  <si>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</si>
  <si>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</si>
  <si>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</si>
  <si>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</si>
  <si>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</si>
  <si>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</si>
  <si>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</si>
  <si>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</si>
  <si>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</si>
  <si>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</si>
  <si>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</si>
  <si>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</si>
  <si>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</si>
  <si>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</si>
  <si>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</si>
  <si>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</si>
  <si>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</si>
  <si>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</si>
  <si>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</si>
  <si>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</si>
  <si>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</si>
  <si>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</si>
  <si>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</si>
  <si>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</si>
  <si>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</si>
  <si>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</si>
  <si>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</si>
  <si>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</si>
  <si>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</si>
  <si>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</si>
  <si>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</si>
  <si>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</si>
  <si>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</si>
  <si>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</si>
  <si>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</si>
  <si>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</si>
  <si>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</si>
  <si>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</si>
  <si>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</si>
  <si>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</si>
  <si>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</si>
  <si>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</si>
  <si>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</si>
  <si>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</si>
  <si>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</si>
  <si>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</si>
  <si>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</si>
  <si>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</si>
  <si>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</si>
  <si>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</si>
  <si>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</si>
  <si>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</si>
  <si>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</si>
  <si>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</si>
  <si>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</si>
  <si>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</si>
  <si>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</si>
  <si>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</si>
  <si>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</si>
  <si>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</si>
  <si>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</si>
  <si>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</si>
  <si>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</si>
  <si>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</si>
  <si>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</si>
  <si>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</si>
  <si>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</si>
  <si>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</si>
  <si>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</si>
  <si>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</si>
  <si>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</si>
  <si>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</si>
  <si>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</si>
  <si>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</si>
  <si>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</si>
  <si>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</si>
  <si>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</si>
  <si>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</si>
  <si>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</si>
  <si>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</si>
  <si>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</si>
  <si>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</si>
  <si>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</si>
  <si>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</si>
  <si>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</si>
  <si>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</si>
  <si>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</si>
  <si>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</si>
  <si>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</si>
  <si>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</si>
  <si>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</si>
  <si>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</si>
  <si>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</si>
  <si>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</si>
  <si>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</si>
  <si>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</si>
  <si>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</si>
  <si>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</si>
  <si>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</si>
  <si>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</si>
  <si>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</si>
  <si>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</si>
  <si>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</si>
  <si>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</si>
  <si>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</si>
  <si>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</si>
  <si>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</si>
  <si>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</si>
  <si>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</si>
  <si>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</si>
  <si>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</si>
  <si>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</si>
  <si>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</si>
  <si>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</si>
  <si>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</si>
  <si>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</si>
  <si>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</si>
  <si>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</si>
  <si>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</si>
  <si>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</si>
  <si>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</si>
  <si>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</si>
  <si>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</si>
  <si>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</si>
  <si>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</si>
  <si>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</si>
  <si>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</si>
  <si>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</si>
  <si>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</si>
  <si>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</si>
  <si>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</si>
  <si>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</si>
  <si>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</si>
  <si>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</si>
  <si>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</si>
  <si>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</si>
  <si>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</si>
  <si>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</si>
  <si>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</si>
  <si>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</si>
  <si>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</si>
  <si>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</si>
  <si>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</si>
  <si>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</si>
  <si>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</si>
  <si>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</si>
  <si>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</si>
  <si>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</si>
  <si>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</si>
  <si>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</si>
  <si>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</si>
  <si>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</si>
  <si>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</si>
  <si>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</si>
  <si>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</si>
  <si>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</si>
  <si>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</si>
  <si>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</si>
  <si>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</si>
  <si>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</si>
  <si>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</si>
  <si>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</si>
  <si>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</si>
  <si>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</si>
  <si>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</si>
  <si>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</si>
  <si>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</si>
  <si>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</si>
  <si>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</si>
  <si>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</si>
  <si>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</si>
  <si>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</si>
  <si>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</si>
  <si>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</si>
  <si>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</si>
  <si>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</si>
  <si>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</si>
  <si>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</si>
  <si>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</si>
  <si>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</si>
  <si>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</si>
  <si>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</si>
  <si>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</si>
  <si>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</si>
  <si>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</si>
  <si>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</si>
  <si>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</si>
  <si>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</si>
  <si>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</si>
  <si>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</si>
  <si>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</si>
  <si>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</si>
  <si>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</si>
  <si>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</si>
  <si>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</si>
  <si>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</si>
  <si>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</si>
  <si>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</si>
  <si>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</si>
  <si>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</si>
  <si>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</si>
  <si>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</si>
  <si>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</si>
  <si>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</si>
  <si>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</si>
  <si>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</si>
  <si>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</si>
  <si>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</si>
  <si>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</si>
  <si>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</si>
  <si>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</si>
  <si>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</si>
  <si>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</si>
  <si>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</si>
  <si>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</si>
  <si>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</si>
  <si>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</si>
  <si>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</si>
  <si>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</si>
  <si>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</si>
  <si>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</si>
  <si>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</si>
  <si>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</si>
  <si>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</si>
  <si>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</si>
  <si>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</si>
  <si>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</si>
  <si>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</si>
  <si>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</si>
  <si>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</si>
  <si>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</si>
  <si>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</si>
  <si>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</si>
  <si>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</si>
  <si>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</si>
  <si>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</si>
  <si>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</si>
  <si>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</si>
  <si>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</si>
  <si>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</si>
  <si>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</si>
  <si>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Calvin Township</t>
  </si>
  <si>
    <t>Fire</t>
  </si>
  <si>
    <t>Curtis Saint</t>
  </si>
  <si>
    <t>Saint Farm, 1537 H Road, Jewell</t>
  </si>
  <si>
    <t>12:00 NOON</t>
  </si>
  <si>
    <t>Fire Protection - City of Jewell</t>
  </si>
  <si>
    <t>August 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</si>
</sst>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Calvin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Calvin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839188</v>
      </c>
      <c r="F27" s="556"/>
      <c r="G27" s="561">
        <f>summ!G37</f>
        <v>932950</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Calvin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890</v>
      </c>
      <c r="D6" s="387">
        <f>C51</f>
        <v>942.29</v>
      </c>
      <c r="E6" s="32">
        <f>D51</f>
        <v>695.29</v>
      </c>
    </row>
    <row r="7" spans="2:5" ht="15">
      <c r="B7" s="27" t="s">
        <v>120</v>
      </c>
      <c r="C7" s="387"/>
      <c r="D7" s="387"/>
      <c r="E7" s="33"/>
    </row>
    <row r="8" spans="2:5" ht="15">
      <c r="B8" s="27" t="s">
        <v>16</v>
      </c>
      <c r="C8" s="29">
        <f>155.91+7.28+50.76+10.83</f>
        <v>224.78</v>
      </c>
      <c r="D8" s="387">
        <f>IF(inputPrYr!H15&gt;0,inputPrYr!G16,inputPrYr!E16)</f>
        <v>225</v>
      </c>
      <c r="E8" s="33" t="s">
        <v>289</v>
      </c>
    </row>
    <row r="9" spans="2:5" ht="15">
      <c r="B9" s="27" t="s">
        <v>17</v>
      </c>
      <c r="C9" s="29"/>
      <c r="D9" s="29"/>
      <c r="E9" s="34"/>
    </row>
    <row r="10" spans="2:5" ht="15">
      <c r="B10" s="27" t="s">
        <v>18</v>
      </c>
      <c r="C10" s="29">
        <f>5.98+3.39+4.05+14.31+0.13</f>
        <v>27.860000000000003</v>
      </c>
      <c r="D10" s="29">
        <v>22</v>
      </c>
      <c r="E10" s="32">
        <f>mvalloc!G11</f>
        <v>21</v>
      </c>
    </row>
    <row r="11" spans="2:5" ht="15">
      <c r="B11" s="27" t="s">
        <v>19</v>
      </c>
      <c r="C11" s="29">
        <v>0</v>
      </c>
      <c r="D11" s="29">
        <v>0</v>
      </c>
      <c r="E11" s="32">
        <f>mvalloc!I11</f>
        <v>0</v>
      </c>
    </row>
    <row r="12" spans="2:5" ht="15">
      <c r="B12" s="35" t="s">
        <v>69</v>
      </c>
      <c r="C12" s="29">
        <f>3.92+2.23</f>
        <v>6.15</v>
      </c>
      <c r="D12" s="29">
        <v>6</v>
      </c>
      <c r="E12" s="32">
        <f>mvalloc!J11</f>
        <v>8</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258.79</v>
      </c>
      <c r="D26" s="389">
        <f>SUM(D8:D24)</f>
        <v>253</v>
      </c>
      <c r="E26" s="42">
        <f>SUM(E8:E24)</f>
        <v>29</v>
      </c>
    </row>
    <row r="27" spans="2:5" ht="15">
      <c r="B27" s="43" t="s">
        <v>24</v>
      </c>
      <c r="C27" s="389">
        <f>C26+C6</f>
        <v>1148.79</v>
      </c>
      <c r="D27" s="389">
        <f>D26+D6</f>
        <v>1195.29</v>
      </c>
      <c r="E27" s="42">
        <f>E26+E6</f>
        <v>724.29</v>
      </c>
    </row>
    <row r="28" spans="2:5" ht="15">
      <c r="B28" s="27" t="s">
        <v>25</v>
      </c>
      <c r="C28" s="387"/>
      <c r="D28" s="387"/>
      <c r="E28" s="32"/>
    </row>
    <row r="29" spans="2:5" ht="15">
      <c r="B29" s="37" t="s">
        <v>947</v>
      </c>
      <c r="C29" s="29">
        <f>56.5</f>
        <v>56.5</v>
      </c>
      <c r="D29" s="29">
        <v>350</v>
      </c>
      <c r="E29" s="34">
        <v>799</v>
      </c>
    </row>
    <row r="30" spans="2:5" ht="15">
      <c r="B30" s="38" t="s">
        <v>101</v>
      </c>
      <c r="C30" s="29">
        <v>150</v>
      </c>
      <c r="D30" s="29">
        <v>150</v>
      </c>
      <c r="E30" s="34">
        <v>150</v>
      </c>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946</v>
      </c>
      <c r="C38" s="29"/>
      <c r="D38" s="29"/>
      <c r="E38" s="34"/>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206.5</v>
      </c>
      <c r="D50" s="381">
        <f>SUM(D29:D48)</f>
        <v>500</v>
      </c>
      <c r="E50" s="47">
        <f>SUM(E29:E43,E45,E47:E48)</f>
        <v>949</v>
      </c>
      <c r="G50" s="484">
        <f>D51</f>
        <v>695.29</v>
      </c>
      <c r="H50" s="485" t="str">
        <f>CONCATENATE("",E1-1," Ending Cash Balance (est.)")</f>
        <v>2013 Ending Cash Balance (est.)</v>
      </c>
      <c r="I50" s="486"/>
      <c r="J50" s="257"/>
    </row>
    <row r="51" spans="2:10" ht="15">
      <c r="B51" s="27" t="s">
        <v>119</v>
      </c>
      <c r="C51" s="382">
        <f>C27-C50</f>
        <v>942.29</v>
      </c>
      <c r="D51" s="382">
        <f>SUM(D27-D50)</f>
        <v>695.29</v>
      </c>
      <c r="E51" s="33" t="s">
        <v>289</v>
      </c>
      <c r="G51" s="484">
        <f>E26</f>
        <v>29</v>
      </c>
      <c r="H51" s="487" t="str">
        <f>CONCATENATE("",E1," Non-AV Receipts (est.)")</f>
        <v>2014 Non-AV Receipts (est.)</v>
      </c>
      <c r="I51" s="486"/>
      <c r="J51" s="257"/>
    </row>
    <row r="52" spans="2:11" ht="15">
      <c r="B52" s="48" t="str">
        <f>CONCATENATE("",E1-2,"/",E1-1," Budget Authority Amount:")</f>
        <v>2012/2013 Budget Authority Amount:</v>
      </c>
      <c r="C52" s="132">
        <f>inputOth!B46</f>
        <v>1162</v>
      </c>
      <c r="D52" s="161">
        <f>inputPrYr!D16</f>
        <v>896</v>
      </c>
      <c r="E52" s="33" t="s">
        <v>289</v>
      </c>
      <c r="F52" s="50"/>
      <c r="G52" s="488">
        <f>IF(D56&gt;0,E55,E57)</f>
        <v>224.71000000000004</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949</v>
      </c>
      <c r="H53" s="487" t="str">
        <f>CONCATENATE("Total ",E1," Resources Available")</f>
        <v>Total 2014 Resources Available</v>
      </c>
      <c r="I53" s="486"/>
      <c r="J53" s="257"/>
    </row>
    <row r="54" spans="2:10" ht="15">
      <c r="B54" s="395" t="str">
        <f>CONCATENATE(C72,"     ",D72)</f>
        <v>     </v>
      </c>
      <c r="C54" s="803" t="s">
        <v>623</v>
      </c>
      <c r="D54" s="804"/>
      <c r="E54" s="32">
        <f>E50+E53</f>
        <v>949</v>
      </c>
      <c r="G54" s="489"/>
      <c r="H54" s="487"/>
      <c r="I54" s="487"/>
      <c r="J54" s="257"/>
    </row>
    <row r="55" spans="2:10" ht="15">
      <c r="B55" s="395" t="str">
        <f>CONCATENATE(C73,"     ",D73)</f>
        <v>     </v>
      </c>
      <c r="C55" s="60"/>
      <c r="D55" s="52" t="s">
        <v>28</v>
      </c>
      <c r="E55" s="46">
        <f>IF(E54-E27&gt;0,E54-E27,0)</f>
        <v>224.71000000000004</v>
      </c>
      <c r="G55" s="488">
        <f>ROUND(C50*0.05+C50,0)</f>
        <v>217</v>
      </c>
      <c r="H55" s="487" t="str">
        <f>CONCATENATE("Less ",E1-2," Expenditures + 5%")</f>
        <v>Less 2012 Expenditures + 5%</v>
      </c>
      <c r="I55" s="486"/>
      <c r="J55" s="257"/>
    </row>
    <row r="56" spans="2:10" ht="15">
      <c r="B56" s="52"/>
      <c r="C56" s="399" t="s">
        <v>624</v>
      </c>
      <c r="D56" s="689">
        <f>inputOth!$E$40</f>
        <v>0</v>
      </c>
      <c r="E56" s="32">
        <f>ROUND(IF(D56&gt;0,(E55*D56),0),0)</f>
        <v>0</v>
      </c>
      <c r="G56" s="490">
        <f>G53-G55</f>
        <v>732</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224.71000000000004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0.241</v>
      </c>
      <c r="H60" s="485" t="str">
        <f>CONCATENATE("",E1," Fund Mill Rate")</f>
        <v>2014 Fund Mill Rate</v>
      </c>
      <c r="I60" s="691"/>
      <c r="J60" s="703"/>
      <c r="K60" s="16"/>
    </row>
    <row r="61" spans="2:10" ht="15.75">
      <c r="B61" s="52" t="s">
        <v>9</v>
      </c>
      <c r="C61" s="401">
        <f>IF(inputPrYr!D18&gt;0,7,6)</f>
        <v>6</v>
      </c>
      <c r="D61" s="14"/>
      <c r="E61" s="55"/>
      <c r="G61" s="705">
        <f>summ!F18</f>
        <v>0.268</v>
      </c>
      <c r="H61" s="485" t="str">
        <f>CONCATENATE("",E1-1," Fund Mill Rate")</f>
        <v>2013 Fund Mill Rate</v>
      </c>
      <c r="I61" s="691"/>
      <c r="J61" s="703"/>
    </row>
    <row r="62" spans="7:10" ht="15.75">
      <c r="G62" s="706">
        <f>summ!I32</f>
        <v>0.82</v>
      </c>
      <c r="H62" s="485" t="str">
        <f>CONCATENATE("Total ",E1," Mill Rate")</f>
        <v>Total 2014 Mill Rate</v>
      </c>
      <c r="I62" s="691"/>
      <c r="J62" s="703"/>
    </row>
    <row r="63" spans="2:10" ht="15.75">
      <c r="B63" s="12"/>
      <c r="G63" s="705">
        <f>summ!F32</f>
        <v>0.912</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Calvin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0.82</v>
      </c>
      <c r="H45" s="632" t="str">
        <f>CONCATENATE("Total ",E1," Mill Rate")</f>
        <v>Total 2014 Mill Rate</v>
      </c>
      <c r="I45" s="656"/>
      <c r="J45" s="657"/>
    </row>
    <row r="46" spans="2:10" ht="15.75">
      <c r="B46" s="594" t="s">
        <v>144</v>
      </c>
      <c r="C46" s="599">
        <v>0</v>
      </c>
      <c r="D46" s="596">
        <f>C74</f>
        <v>0</v>
      </c>
      <c r="E46" s="597">
        <f>D74</f>
        <v>0</v>
      </c>
      <c r="F46" s="635"/>
      <c r="G46" s="659">
        <f>summ!F32</f>
        <v>0.912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0.82</v>
      </c>
      <c r="H85" s="632" t="str">
        <f>CONCATENATE("Total ",E1," Mill Rate")</f>
        <v>Total 2014 Mill Rate</v>
      </c>
      <c r="I85" s="656"/>
      <c r="J85" s="657"/>
    </row>
    <row r="86" spans="7:10" ht="15.75">
      <c r="G86" s="659">
        <f>summ!F32</f>
        <v>0.912</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0.82</v>
      </c>
      <c r="H55" s="485" t="str">
        <f>CONCATENATE("Total ",E1," Mill Rate")</f>
        <v>Total 2014 Mill Rate</v>
      </c>
      <c r="I55" s="691"/>
      <c r="J55" s="703"/>
    </row>
    <row r="56" spans="2:10" ht="15.75">
      <c r="B56" s="72" t="s">
        <v>33</v>
      </c>
      <c r="C56" s="132"/>
      <c r="D56" s="14"/>
      <c r="E56" s="14"/>
      <c r="G56" s="705">
        <f>summ!F32</f>
        <v>0.912</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4">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t="str">
        <f>inputPrYr!B20</f>
        <v>Fire</v>
      </c>
      <c r="C5" s="386" t="str">
        <f>gen!C5</f>
        <v>Actual for 2012</v>
      </c>
      <c r="D5" s="386" t="str">
        <f>gen!D5</f>
        <v>Estimate for 2013</v>
      </c>
      <c r="E5" s="26" t="str">
        <f>gen!E5</f>
        <v>Year for 2014</v>
      </c>
    </row>
    <row r="6" spans="2:5" ht="15">
      <c r="B6" s="27" t="s">
        <v>118</v>
      </c>
      <c r="C6" s="29">
        <v>427</v>
      </c>
      <c r="D6" s="387">
        <f>C34</f>
        <v>504.76</v>
      </c>
      <c r="E6" s="32">
        <f>D34</f>
        <v>573.76</v>
      </c>
    </row>
    <row r="7" spans="2:5" ht="15">
      <c r="B7" s="27" t="s">
        <v>120</v>
      </c>
      <c r="C7" s="387"/>
      <c r="D7" s="387"/>
      <c r="E7" s="33"/>
    </row>
    <row r="8" spans="2:5" ht="15">
      <c r="B8" s="27" t="s">
        <v>16</v>
      </c>
      <c r="C8" s="29">
        <f>373.95+17.47+121.74+25.97</f>
        <v>539.13</v>
      </c>
      <c r="D8" s="387">
        <f>IF(inputPrYr!H15&gt;0,inputPrYr!G20,inputPrYr!E20)</f>
        <v>540</v>
      </c>
      <c r="E8" s="33" t="s">
        <v>289</v>
      </c>
    </row>
    <row r="9" spans="2:5" ht="15">
      <c r="B9" s="27" t="s">
        <v>17</v>
      </c>
      <c r="C9" s="29"/>
      <c r="D9" s="29"/>
      <c r="E9" s="34"/>
    </row>
    <row r="10" spans="2:5" ht="15">
      <c r="B10" s="27" t="s">
        <v>18</v>
      </c>
      <c r="C10" s="29">
        <f>14.31+7.54+9+31.8+0.28</f>
        <v>62.93000000000001</v>
      </c>
      <c r="D10" s="29">
        <v>53</v>
      </c>
      <c r="E10" s="32">
        <f>mvalloc!G15</f>
        <v>51</v>
      </c>
    </row>
    <row r="11" spans="2:5" ht="15">
      <c r="B11" s="27" t="s">
        <v>19</v>
      </c>
      <c r="C11" s="29">
        <v>1</v>
      </c>
      <c r="D11" s="29">
        <v>1</v>
      </c>
      <c r="E11" s="32">
        <f>mvalloc!I15</f>
        <v>1</v>
      </c>
    </row>
    <row r="12" spans="2:5" ht="15">
      <c r="B12" s="35" t="s">
        <v>69</v>
      </c>
      <c r="C12" s="29">
        <f>9.38+5.32</f>
        <v>14.700000000000001</v>
      </c>
      <c r="D12" s="29">
        <v>15</v>
      </c>
      <c r="E12" s="32">
        <f>mvalloc!J15</f>
        <v>19</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617.76</v>
      </c>
      <c r="D20" s="389">
        <f>SUM(D8:D18)</f>
        <v>609</v>
      </c>
      <c r="E20" s="42">
        <f>SUM(E8:E18)</f>
        <v>71</v>
      </c>
    </row>
    <row r="21" spans="2:5" ht="15">
      <c r="B21" s="43" t="s">
        <v>24</v>
      </c>
      <c r="C21" s="389">
        <f>C20+C6</f>
        <v>1044.76</v>
      </c>
      <c r="D21" s="389">
        <f>D20+D6</f>
        <v>1113.76</v>
      </c>
      <c r="E21" s="42">
        <f>E20+E6</f>
        <v>644.76</v>
      </c>
    </row>
    <row r="22" spans="2:5" ht="15">
      <c r="B22" s="27" t="s">
        <v>25</v>
      </c>
      <c r="C22" s="387"/>
      <c r="D22" s="387"/>
      <c r="E22" s="32"/>
    </row>
    <row r="23" spans="2:5" ht="15">
      <c r="B23" s="38"/>
      <c r="C23" s="29"/>
      <c r="D23" s="29"/>
      <c r="E23" s="34"/>
    </row>
    <row r="24" spans="2:11" ht="15.75">
      <c r="B24" s="38" t="s">
        <v>953</v>
      </c>
      <c r="C24" s="29">
        <v>540</v>
      </c>
      <c r="D24" s="29">
        <v>540</v>
      </c>
      <c r="E24" s="34">
        <v>1185</v>
      </c>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540</v>
      </c>
      <c r="D33" s="389">
        <f>SUM(D23:D31)</f>
        <v>540</v>
      </c>
      <c r="E33" s="42">
        <f>SUM(E23:E31)</f>
        <v>1185</v>
      </c>
      <c r="G33" s="631">
        <f>D34</f>
        <v>573.76</v>
      </c>
      <c r="H33" s="632" t="str">
        <f>CONCATENATE("",E1-1," Ending Cash Balance (est.)")</f>
        <v>2013 Ending Cash Balance (est.)</v>
      </c>
      <c r="I33" s="633"/>
      <c r="J33" s="628"/>
      <c r="K33" s="582"/>
    </row>
    <row r="34" spans="2:11" ht="15">
      <c r="B34" s="27" t="s">
        <v>119</v>
      </c>
      <c r="C34" s="382">
        <f>C21-C33</f>
        <v>504.76</v>
      </c>
      <c r="D34" s="382">
        <f>D21-D33</f>
        <v>573.76</v>
      </c>
      <c r="E34" s="33" t="s">
        <v>289</v>
      </c>
      <c r="G34" s="631">
        <f>E20</f>
        <v>71</v>
      </c>
      <c r="H34" s="615" t="str">
        <f>CONCATENATE("",E1," Non-AV Receipts (est.)")</f>
        <v>2014 Non-AV Receipts (est.)</v>
      </c>
      <c r="I34" s="633"/>
      <c r="J34" s="628"/>
      <c r="K34" s="582"/>
    </row>
    <row r="35" spans="2:11" ht="15">
      <c r="B35" s="48" t="str">
        <f>CONCATENATE("",E1-2,"/",E1-1," Budget Authority Amount:")</f>
        <v>2012/2013 Budget Authority Amount:</v>
      </c>
      <c r="C35" s="132">
        <f>inputOth!B50</f>
        <v>1010</v>
      </c>
      <c r="D35" s="161">
        <f>inputPrYr!D20</f>
        <v>1036</v>
      </c>
      <c r="E35" s="33" t="s">
        <v>289</v>
      </c>
      <c r="F35" s="50"/>
      <c r="G35" s="640">
        <f>IF(E39&gt;0,E38,E40)</f>
        <v>540.24</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1185</v>
      </c>
      <c r="H36" s="615" t="str">
        <f>CONCATENATE("Total ",E1," Resources Available")</f>
        <v>Total 2014 Resources Available</v>
      </c>
      <c r="I36" s="633"/>
      <c r="J36" s="628"/>
      <c r="K36" s="582"/>
    </row>
    <row r="37" spans="2:11" ht="15">
      <c r="B37" s="395" t="str">
        <f>CONCATENATE(C92,"     ",D92)</f>
        <v>     </v>
      </c>
      <c r="C37" s="803" t="s">
        <v>623</v>
      </c>
      <c r="D37" s="804"/>
      <c r="E37" s="32">
        <f>E33+E36</f>
        <v>1185</v>
      </c>
      <c r="G37" s="644"/>
      <c r="H37" s="615"/>
      <c r="I37" s="615"/>
      <c r="J37" s="628"/>
      <c r="K37" s="582"/>
    </row>
    <row r="38" spans="2:11" ht="15">
      <c r="B38" s="395" t="str">
        <f>CONCATENATE(C93,"     ",D93)</f>
        <v>     </v>
      </c>
      <c r="C38" s="60"/>
      <c r="D38" s="52" t="s">
        <v>28</v>
      </c>
      <c r="E38" s="46">
        <f>IF(E37-E21&gt;0,E37-E21,0)</f>
        <v>540.24</v>
      </c>
      <c r="G38" s="640">
        <f>C33*0.05+C33</f>
        <v>567</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618</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540.24</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0.579</v>
      </c>
      <c r="H43" s="632" t="str">
        <f>CONCATENATE("",E1," Fund Mill Rate")</f>
        <v>2014 Fund Mill Rate</v>
      </c>
      <c r="I43" s="656"/>
      <c r="J43" s="657"/>
      <c r="K43" s="582"/>
    </row>
    <row r="44" spans="2:11" ht="15.75">
      <c r="B44" s="14"/>
      <c r="C44" s="385" t="s">
        <v>11</v>
      </c>
      <c r="D44" s="388" t="s">
        <v>12</v>
      </c>
      <c r="E44" s="23" t="s">
        <v>13</v>
      </c>
      <c r="G44" s="659">
        <f>summ!F22</f>
        <v>0.644</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0.82</v>
      </c>
      <c r="H45" s="632" t="str">
        <f>CONCATENATE("Total ",E1," Mill Rate")</f>
        <v>Total 2014 Mill Rate</v>
      </c>
      <c r="I45" s="656"/>
      <c r="J45" s="657"/>
      <c r="K45" s="582"/>
    </row>
    <row r="46" spans="2:11" ht="15.75">
      <c r="B46" s="27" t="s">
        <v>118</v>
      </c>
      <c r="C46" s="29"/>
      <c r="D46" s="387">
        <f>C74</f>
        <v>0</v>
      </c>
      <c r="E46" s="32">
        <f>D74</f>
        <v>0</v>
      </c>
      <c r="G46" s="659">
        <f>summ!F32</f>
        <v>0.912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0.82</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0.82</v>
      </c>
      <c r="H45" s="632" t="str">
        <f>CONCATENATE("Total ",E1," Mill Rate")</f>
        <v>Total 2014 Mill Rate</v>
      </c>
      <c r="I45" s="656"/>
      <c r="J45" s="657"/>
      <c r="K45" s="582"/>
    </row>
    <row r="46" spans="2:11" ht="15.75">
      <c r="B46" s="27" t="s">
        <v>118</v>
      </c>
      <c r="C46" s="29"/>
      <c r="D46" s="387">
        <f>C74</f>
        <v>0</v>
      </c>
      <c r="E46" s="32">
        <f>D74</f>
        <v>0</v>
      </c>
      <c r="G46" s="659">
        <f>summ!F32</f>
        <v>0.912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0.82</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0.82</v>
      </c>
      <c r="H45" s="632" t="str">
        <f>CONCATENATE("Total ",E1," Mill Rate")</f>
        <v>Total 2014 Mill Rate</v>
      </c>
      <c r="I45" s="656"/>
      <c r="J45" s="657"/>
      <c r="K45" s="582"/>
    </row>
    <row r="46" spans="2:11" ht="15.75">
      <c r="B46" s="27" t="s">
        <v>118</v>
      </c>
      <c r="C46" s="29"/>
      <c r="D46" s="387">
        <f>C74</f>
        <v>0</v>
      </c>
      <c r="E46" s="32">
        <f>D74</f>
        <v>0</v>
      </c>
      <c r="G46" s="659">
        <f>summ!F32</f>
        <v>0.912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0.82</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Calvin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Calvin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896</v>
      </c>
      <c r="E16" s="187">
        <v>225</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t="s">
        <v>949</v>
      </c>
      <c r="C20" s="380"/>
      <c r="D20" s="187">
        <v>1036</v>
      </c>
      <c r="E20" s="187">
        <v>540</v>
      </c>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765</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1932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0.921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t="str">
        <f t="shared" si="0"/>
        <v>Fire</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0.921</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765</v>
      </c>
    </row>
    <row r="55" spans="1:5" ht="15">
      <c r="A55" s="327" t="str">
        <f>CONCATENATE("Assessed Valuation (",D5-2," budget column)")</f>
        <v>Assessed Valuation (2012 budget column)</v>
      </c>
      <c r="B55" s="328"/>
      <c r="C55" s="267"/>
      <c r="D55" s="28"/>
      <c r="E55" s="187">
        <v>830235</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7">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75"/>
      <c r="D2" s="775"/>
      <c r="E2" s="775"/>
      <c r="F2" s="775"/>
      <c r="G2" s="775"/>
      <c r="H2" s="775"/>
      <c r="I2" s="775"/>
    </row>
    <row r="3" spans="2:9" ht="15">
      <c r="B3" s="14"/>
      <c r="C3" s="14"/>
      <c r="D3" s="14"/>
      <c r="E3" s="14"/>
      <c r="F3" s="14"/>
      <c r="G3" s="22" t="s">
        <v>37</v>
      </c>
      <c r="H3" s="22" t="s">
        <v>38</v>
      </c>
      <c r="I3" s="14"/>
    </row>
    <row r="4" spans="2:9" ht="15">
      <c r="B4" s="764" t="s">
        <v>39</v>
      </c>
      <c r="C4" s="764"/>
      <c r="D4" s="764"/>
      <c r="E4" s="764"/>
      <c r="F4" s="764"/>
      <c r="G4" s="764"/>
      <c r="H4" s="764"/>
      <c r="I4" s="764"/>
    </row>
    <row r="5" spans="2:9" ht="15">
      <c r="B5" s="773" t="str">
        <f>inputPrYr!D2</f>
        <v>Calvin Township</v>
      </c>
      <c r="C5" s="773"/>
      <c r="D5" s="773"/>
      <c r="E5" s="773"/>
      <c r="F5" s="773"/>
      <c r="G5" s="773"/>
      <c r="H5" s="773"/>
      <c r="I5" s="773"/>
    </row>
    <row r="6" spans="2:9" ht="15">
      <c r="B6" s="773" t="str">
        <f>inputPrYr!D3</f>
        <v>JEWELL COUNTY</v>
      </c>
      <c r="C6" s="773"/>
      <c r="D6" s="773"/>
      <c r="E6" s="773"/>
      <c r="F6" s="773"/>
      <c r="G6" s="773"/>
      <c r="H6" s="773"/>
      <c r="I6" s="773"/>
    </row>
    <row r="7" spans="2:9" ht="15">
      <c r="B7" s="764" t="str">
        <f>CONCATENATE("will meet on ",inputBudSum!B8," at ",inputBudSum!B10," at ",inputBudSum!B12," for the purpose of hearing and")</f>
        <v>will meet on August 7, 2013 at 12:00 NOON at Saint Farm, 1537 H Road, Jewell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206.5</v>
      </c>
      <c r="D18" s="524">
        <f>IF(inputPrYr!D42&gt;0,inputPrYr!D42,"  ")</f>
        <v>0.921</v>
      </c>
      <c r="E18" s="32">
        <f>IF(gen!$D$50&lt;&gt;0,gen!$D$50,"  ")</f>
        <v>500</v>
      </c>
      <c r="F18" s="235">
        <f>IF(inputOth!D17&gt;0,inputOth!D17,"  ")</f>
        <v>0.268</v>
      </c>
      <c r="G18" s="32">
        <f>IF(gen!$E$50&lt;&gt;0,gen!$E$50,"  ")</f>
        <v>949</v>
      </c>
      <c r="H18" s="32">
        <f>IF(gen!$E$57&lt;&gt;0,gen!$E$57," ")</f>
        <v>224.71000000000004</v>
      </c>
      <c r="I18" s="526">
        <f>IF(gen!E57&gt;0,ROUND(H18/$G$37*1000,3)," ")</f>
        <v>0.241</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Fire</v>
      </c>
      <c r="C22" s="32">
        <f>IF(levypage9!$C$33&lt;&gt;0,levypage9!$C$33,"  ")</f>
        <v>540</v>
      </c>
      <c r="D22" s="524" t="str">
        <f>IF(inputPrYr!D46&gt;0,inputPrYr!D46,"  ")</f>
        <v>  </v>
      </c>
      <c r="E22" s="32">
        <f>IF(levypage9!$D$33&lt;&gt;0,levypage9!$D$33,"  ")</f>
        <v>540</v>
      </c>
      <c r="F22" s="235">
        <f>IF(inputOth!D21&gt;0,inputOth!D21,"  ")</f>
        <v>0.644</v>
      </c>
      <c r="G22" s="32">
        <f>IF(levypage9!$E$33&lt;&gt;0,levypage9!$E$33,"  ")</f>
        <v>1185</v>
      </c>
      <c r="H22" s="32">
        <f>IF(levypage9!$E$40&lt;&gt;0,levypage9!$E$40,"  ")</f>
        <v>540.24</v>
      </c>
      <c r="I22" s="526">
        <f>IF(levypage9!E40&gt;0,ROUND(H22/$G$37*1000,3)," ")</f>
        <v>0.579</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933</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0.912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86.04999999999995</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746.5</v>
      </c>
      <c r="D32" s="478">
        <f t="shared" si="0"/>
        <v>0.921</v>
      </c>
      <c r="E32" s="527">
        <f t="shared" si="0"/>
        <v>1040</v>
      </c>
      <c r="F32" s="478">
        <f t="shared" si="0"/>
        <v>0.912</v>
      </c>
      <c r="G32" s="527">
        <f t="shared" si="0"/>
        <v>2134</v>
      </c>
      <c r="H32" s="527">
        <f t="shared" si="0"/>
        <v>764.95</v>
      </c>
      <c r="I32" s="530">
        <f t="shared" si="0"/>
        <v>0.82</v>
      </c>
      <c r="K32" s="831" t="str">
        <f>CONCATENATE("Impact On Keeping The Same Mill Rate As For ",I1-1,"")</f>
        <v>Impact On Keeping The Same Mill Rate As For 2013</v>
      </c>
      <c r="L32" s="832"/>
      <c r="M32" s="832"/>
      <c r="N32" s="833"/>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746.5</v>
      </c>
      <c r="D34" s="14"/>
      <c r="E34" s="528">
        <f>E32-E33</f>
        <v>1040</v>
      </c>
      <c r="F34" s="14"/>
      <c r="G34" s="528">
        <f>G32-G33</f>
        <v>2134</v>
      </c>
      <c r="H34" s="14"/>
      <c r="I34" s="14"/>
      <c r="K34" s="507" t="str">
        <f>CONCATENATE("",I1," Ad Valorem Tax Revenue:")</f>
        <v>2014 Ad Valorem Tax Revenue:</v>
      </c>
      <c r="L34" s="501"/>
      <c r="M34" s="501"/>
      <c r="N34" s="502">
        <f>H32</f>
        <v>764.95</v>
      </c>
    </row>
    <row r="35" spans="2:14" ht="15.75" thickTop="1">
      <c r="B35" s="274" t="s">
        <v>46</v>
      </c>
      <c r="C35" s="529">
        <f>inputPrYr!E54</f>
        <v>765</v>
      </c>
      <c r="D35" s="61"/>
      <c r="E35" s="529">
        <f>inputPrYr!E26</f>
        <v>765</v>
      </c>
      <c r="F35" s="14"/>
      <c r="G35" s="520" t="s">
        <v>289</v>
      </c>
      <c r="H35" s="14"/>
      <c r="I35" s="14"/>
      <c r="K35" s="507" t="str">
        <f>CONCATENATE("",I1-1," Ad Valorem Tax Revenue:")</f>
        <v>2013 Ad Valorem Tax Revenue:</v>
      </c>
      <c r="L35" s="501"/>
      <c r="M35" s="501"/>
      <c r="N35" s="515">
        <f>ROUND(G37*N27/1000,0)</f>
        <v>851</v>
      </c>
    </row>
    <row r="36" spans="2:14" ht="15">
      <c r="B36" s="274" t="s">
        <v>47</v>
      </c>
      <c r="C36" s="55"/>
      <c r="D36" s="61"/>
      <c r="E36" s="55"/>
      <c r="F36" s="61"/>
      <c r="G36" s="14"/>
      <c r="H36" s="14"/>
      <c r="I36" s="14"/>
      <c r="K36" s="512" t="s">
        <v>717</v>
      </c>
      <c r="L36" s="513"/>
      <c r="M36" s="513"/>
      <c r="N36" s="505">
        <f>N34-N35</f>
        <v>-86.04999999999995</v>
      </c>
    </row>
    <row r="37" spans="2:14" ht="15">
      <c r="B37" s="274" t="s">
        <v>48</v>
      </c>
      <c r="C37" s="32">
        <f>inputPrYr!E55</f>
        <v>830235</v>
      </c>
      <c r="D37" s="14"/>
      <c r="E37" s="32">
        <f>inputOth!E29</f>
        <v>839188</v>
      </c>
      <c r="F37" s="14"/>
      <c r="G37" s="32">
        <f>inputOth!E7</f>
        <v>932950</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0.82</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Curtis Saint</v>
      </c>
      <c r="C46" s="830"/>
      <c r="D46" s="14"/>
      <c r="E46" s="14"/>
      <c r="F46" s="14"/>
      <c r="G46" s="14"/>
      <c r="H46" s="14"/>
      <c r="I46" s="14"/>
    </row>
    <row r="47" spans="2:9" ht="15.75">
      <c r="B47" s="828" t="str">
        <f>inputBudSum!B6</f>
        <v>Township Officer</v>
      </c>
      <c r="C47" s="829"/>
      <c r="D47" s="14"/>
      <c r="E47" s="14"/>
      <c r="F47" s="14"/>
      <c r="G47" s="14"/>
      <c r="H47" s="14"/>
      <c r="I47" s="14"/>
    </row>
    <row r="48" spans="2:9" ht="15">
      <c r="B48" s="14"/>
      <c r="C48" s="14"/>
      <c r="D48" s="14"/>
      <c r="E48" s="14"/>
      <c r="F48" s="14"/>
      <c r="G48" s="14"/>
      <c r="H48" s="14"/>
      <c r="I48" s="14"/>
    </row>
    <row r="49" spans="2:9" ht="15">
      <c r="B49" s="14"/>
      <c r="C49" s="52" t="s">
        <v>9</v>
      </c>
      <c r="D49" s="81">
        <v>8</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Calvin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932950</v>
      </c>
      <c r="E19" s="14"/>
      <c r="F19" s="129"/>
    </row>
    <row r="20" spans="1:6" ht="15.75">
      <c r="A20" s="14"/>
      <c r="B20" s="14"/>
      <c r="C20" s="14"/>
      <c r="D20" s="14"/>
      <c r="E20" s="14"/>
      <c r="F20" s="129"/>
    </row>
    <row r="21" spans="1:6" ht="15.75">
      <c r="A21" s="14"/>
      <c r="B21" s="842" t="s">
        <v>365</v>
      </c>
      <c r="C21" s="842"/>
      <c r="D21" s="137">
        <f>IF(D19&gt;0,(D19*0.001),"")</f>
        <v>932.95</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Calvin Township </v>
      </c>
      <c r="I6">
        <f>CONCATENATE(I7)</f>
      </c>
    </row>
    <row r="7" spans="1:7" ht="15.75">
      <c r="A7" s="848" t="str">
        <f>CONCATENATE("   with respect to financing the ",inputPrYr!D5," annual budget for ",(inputPrYr!D2)," , ",(inputPrYr!D3)," , Kansas.")</f>
        <v>   with respect to financing the 2014 annual budget for Calvin Township , JEWELL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Calvin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Calvin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Calvin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Calvin Township of JEWELL COUNTY, Kansas that is our desire to notify the public of increased property taxes to finance the 2014 Calvin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Calvin Township Board, JEWELL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Calvin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Calvin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932950</v>
      </c>
    </row>
    <row r="8" spans="1:5" ht="15">
      <c r="A8" s="22" t="str">
        <f>CONCATENATE("New Improvements for ",E1-1,"")</f>
        <v>New Improvements for 2013</v>
      </c>
      <c r="B8" s="19"/>
      <c r="C8" s="19"/>
      <c r="D8" s="19"/>
      <c r="E8" s="283">
        <v>2953</v>
      </c>
    </row>
    <row r="9" spans="1:5" ht="15">
      <c r="A9" s="22" t="str">
        <f>CONCATENATE("Personal Property excluding oil, gas, and mobile homes - ",E1-1,"")</f>
        <v>Personal Property excluding oil, gas, and mobile homes - 2013</v>
      </c>
      <c r="B9" s="19"/>
      <c r="C9" s="19"/>
      <c r="D9" s="19"/>
      <c r="E9" s="283">
        <v>18281</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18456</v>
      </c>
    </row>
    <row r="12" spans="1:5" ht="15">
      <c r="A12" s="22" t="str">
        <f>CONCATENATE("Gross earnings (intangible) tax estimate for ",E1,"")</f>
        <v>Gross earnings (intangible) tax estimate for 2014</v>
      </c>
      <c r="B12" s="19"/>
      <c r="C12" s="19"/>
      <c r="D12" s="19"/>
      <c r="E12" s="283">
        <v>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0.268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t="str">
        <f>inputPrYr!B20</f>
        <v>Fire</v>
      </c>
      <c r="B21" s="267"/>
      <c r="C21" s="19"/>
      <c r="D21" s="289">
        <v>0.644</v>
      </c>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0.912</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839188</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72</v>
      </c>
    </row>
    <row r="33" spans="1:5" ht="15">
      <c r="A33" s="296" t="s">
        <v>276</v>
      </c>
      <c r="B33" s="267"/>
      <c r="C33" s="267"/>
      <c r="D33" s="31"/>
      <c r="E33" s="34">
        <v>1</v>
      </c>
    </row>
    <row r="34" spans="1:5" ht="15">
      <c r="A34" s="296" t="s">
        <v>160</v>
      </c>
      <c r="B34" s="267"/>
      <c r="C34" s="267"/>
      <c r="D34" s="31"/>
      <c r="E34" s="34">
        <v>27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1162</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Fire</v>
      </c>
      <c r="B50" s="36">
        <v>1010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5" sqref="C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950</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954</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28,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41483</v>
      </c>
    </row>
    <row r="22" spans="1:7" ht="15.75">
      <c r="A22" s="354" t="s">
        <v>373</v>
      </c>
      <c r="B22" s="354" t="s">
        <v>378</v>
      </c>
      <c r="C22" s="354"/>
      <c r="D22" s="354"/>
      <c r="E22" s="354"/>
      <c r="G22" s="714">
        <f>IF(B8="","",MONTH(G21))</f>
        <v>7</v>
      </c>
    </row>
    <row r="23" spans="1:7" ht="15.75">
      <c r="A23" s="354"/>
      <c r="B23" s="354"/>
      <c r="C23" s="354"/>
      <c r="D23" s="354"/>
      <c r="E23" s="354"/>
      <c r="G23" s="715">
        <f>IF(B8="","",DAY(G21))</f>
        <v>28</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6" t="s">
        <v>70</v>
      </c>
      <c r="C1" s="776"/>
      <c r="D1" s="776"/>
      <c r="E1" s="776"/>
      <c r="F1" s="776"/>
      <c r="G1" s="776"/>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Calvin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
      <c r="B12" s="22"/>
      <c r="D12" s="66"/>
      <c r="E12" s="255" t="s">
        <v>277</v>
      </c>
      <c r="F12" s="777" t="str">
        <f>CONCATENATE("Amount of ",H1-1," Ad Valorem Tax")</f>
        <v>Amount of 2013 Ad Valorem Tax</v>
      </c>
      <c r="G12" s="23" t="s">
        <v>278</v>
      </c>
    </row>
    <row r="13" spans="4:7" s="14" customFormat="1" ht="15">
      <c r="D13" s="23" t="s">
        <v>279</v>
      </c>
      <c r="E13" s="522" t="s">
        <v>208</v>
      </c>
      <c r="F13" s="778"/>
      <c r="G13" s="156" t="s">
        <v>280</v>
      </c>
    </row>
    <row r="14" spans="2:7" s="14" customFormat="1" ht="15">
      <c r="B14" s="71" t="s">
        <v>281</v>
      </c>
      <c r="C14" s="20"/>
      <c r="D14" s="26" t="s">
        <v>282</v>
      </c>
      <c r="E14" s="523" t="s">
        <v>719</v>
      </c>
      <c r="F14" s="77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949</v>
      </c>
      <c r="F21" s="722">
        <f>IF(gen!$E$57&lt;&gt;0,gen!$E$57,0)</f>
        <v>224.71000000000004</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Fire</v>
      </c>
      <c r="C25" s="260" t="str">
        <f>IF(inputPrYr!C20&gt;0,inputPrYr!C20,"  ")</f>
        <v>  </v>
      </c>
      <c r="D25" s="261">
        <f>IF(levypage9!C81&gt;0,levypage9!C81,"  ")</f>
        <v>7</v>
      </c>
      <c r="E25" s="722">
        <f>IF(levypage9!$E$33&lt;&gt;0,levypage9!$E$33,"  ")</f>
        <v>1185</v>
      </c>
      <c r="F25" s="722">
        <f>IF(levypage9!$E$40&lt;&gt;0,levypage9!$E$40,"  ")</f>
        <v>540.24</v>
      </c>
      <c r="G25" s="723" t="str">
        <f>IF(AND(levypage9!E40=0,$C$40&gt;=0)," ",IF(AND(F25&gt;0,$C$40=0)," ",IF(AND(F25&gt;0,$C$40&gt;0),ROUND(F25/$C$40*1000,3))))</f>
        <v> </v>
      </c>
    </row>
    <row r="26" spans="2:7" s="14" customFormat="1" ht="15">
      <c r="B26" s="85" t="str">
        <f>IF(inputPrYr!$B21&gt;"  ",inputPrYr!$B21,"  ")</f>
        <v>  </v>
      </c>
      <c r="C26" s="260" t="str">
        <f>IF(inputPrYr!C21&gt;0,inputPrYr!C21,"  ")</f>
        <v>  </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2134</v>
      </c>
      <c r="F35" s="724">
        <f>SUM(F21:F30)</f>
        <v>764.95</v>
      </c>
      <c r="G35" s="725">
        <f>IF(SUM(G21:G30)&gt;0,SUM(G21:G30),"")</f>
      </c>
    </row>
    <row r="36" spans="2:4" s="14" customFormat="1" ht="15.75" thickTop="1">
      <c r="B36" s="27" t="s">
        <v>168</v>
      </c>
      <c r="C36" s="259"/>
      <c r="D36" s="264">
        <f>summ!D49</f>
        <v>8</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74" t="s">
        <v>292</v>
      </c>
      <c r="F54" s="775"/>
      <c r="G54" s="77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Calvin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76"/>
      <c r="C3" s="776"/>
      <c r="D3" s="776"/>
      <c r="E3" s="776"/>
      <c r="F3" s="776"/>
      <c r="G3" s="776"/>
      <c r="H3" s="776"/>
      <c r="I3" s="776"/>
      <c r="J3" s="776"/>
    </row>
    <row r="4" spans="1:10" ht="15">
      <c r="A4" s="14"/>
      <c r="B4" s="14"/>
      <c r="C4" s="14"/>
      <c r="D4" s="14"/>
      <c r="E4" s="776"/>
      <c r="F4" s="776"/>
      <c r="G4" s="77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765</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765</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2953</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18281</v>
      </c>
      <c r="F14" s="246"/>
      <c r="G14" s="55"/>
      <c r="H14" s="55"/>
      <c r="I14" s="53"/>
      <c r="J14" s="55"/>
    </row>
    <row r="15" spans="1:10" ht="15">
      <c r="A15" s="245"/>
      <c r="B15" s="14" t="s">
        <v>87</v>
      </c>
      <c r="C15" s="14" t="str">
        <f>CONCATENATE("Personal Property ",J1-2,"")</f>
        <v>Personal Property 2012</v>
      </c>
      <c r="D15" s="245" t="s">
        <v>82</v>
      </c>
      <c r="E15" s="249">
        <f>inputOth!E11</f>
        <v>18456</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2953</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932950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929997</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0.0031752790600399787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767</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767</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Calvin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225</v>
      </c>
      <c r="E11" s="131">
        <f>IF(inputOth!D17&gt;0,inputOth!D17,"  ")</f>
        <v>0.268</v>
      </c>
      <c r="F11" s="717"/>
      <c r="G11" s="161">
        <f>IF(inputPrYr!E16=0,0,G23-SUM(G12:G20))</f>
        <v>21</v>
      </c>
      <c r="H11" s="718"/>
      <c r="I11" s="161">
        <f>IF(inputPrYr!E16=0,0,I25-SUM(I12:I20))</f>
        <v>0</v>
      </c>
      <c r="J11" s="161">
        <f>IF(inputPrYr!E16=0,0,J27-SUM(J12:J20))</f>
        <v>8</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Fire</v>
      </c>
      <c r="C15" s="234"/>
      <c r="D15" s="161">
        <f>IF(inputPrYr!E20&gt;=0,inputPrYr!E20,"  ")</f>
        <v>540</v>
      </c>
      <c r="E15" s="131">
        <f>IF(inputOth!D21&gt;0,inputOth!D21,"  ")</f>
        <v>0.644</v>
      </c>
      <c r="F15" s="717"/>
      <c r="G15" s="161">
        <f>IF(inputPrYr!E20=0,0,ROUND(D15*$G$30,0))</f>
        <v>51</v>
      </c>
      <c r="H15" s="718"/>
      <c r="I15" s="161">
        <f>IF(inputPrYr!$E$20=0,0,ROUND($D$15*$I$32,0))</f>
        <v>1</v>
      </c>
      <c r="J15" s="161">
        <f>IF(inputPrYr!E20=0,0,ROUND($D15*$J$34,0))</f>
        <v>19</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765</v>
      </c>
      <c r="E21" s="720">
        <f>SUM(E11:E20)</f>
        <v>0.912</v>
      </c>
      <c r="F21" s="721"/>
      <c r="G21" s="719">
        <f>SUM(G11:G20)</f>
        <v>72</v>
      </c>
      <c r="H21" s="719"/>
      <c r="I21" s="719">
        <f>SUM(I11:I20)</f>
        <v>1</v>
      </c>
      <c r="J21" s="719">
        <f>SUM(J11:J20)</f>
        <v>27</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72</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0.09411764705882353</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0.00130718954248366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0.03529411764705882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Calvin Township</v>
      </c>
      <c r="B2" s="88"/>
      <c r="C2" s="14"/>
      <c r="D2" s="14"/>
      <c r="E2" s="52"/>
      <c r="F2" s="14"/>
    </row>
    <row r="3" spans="1:6" ht="15">
      <c r="A3" s="13"/>
      <c r="B3" s="88"/>
      <c r="C3" s="14"/>
      <c r="D3" s="14"/>
      <c r="E3" s="52"/>
      <c r="F3" s="14"/>
    </row>
    <row r="4" spans="1:6" ht="1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2013-06-21T19:07:58Z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