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2">gen!$B$1:$E$61</definedName>
    <definedName name="_xlnm.Print_Area" localSheetId="1">inputPrYr!$A$1:$E$88</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summ!$A$2:$H$27</definedName>
  </definedNames>
  <calcPr calcId="125725"/>
</workbook>
</file>

<file path=xl/calcChain.xml><?xml version="1.0" encoding="utf-8"?>
<calcChain xmlns="http://schemas.openxmlformats.org/spreadsheetml/2006/main">
  <c r="D39" i="36"/>
  <c r="D79"/>
  <c r="C35"/>
  <c r="C75"/>
  <c r="D75"/>
  <c r="D35"/>
  <c r="C19" i="3"/>
  <c r="A19"/>
  <c r="G84" i="36"/>
  <c r="G16" i="35"/>
  <c r="E19"/>
  <c r="E18"/>
  <c r="E17"/>
  <c r="E16"/>
  <c r="B19"/>
  <c r="B18"/>
  <c r="B17"/>
  <c r="B16"/>
  <c r="B15"/>
  <c r="C23" i="3"/>
  <c r="B23"/>
  <c r="A23"/>
  <c r="C22"/>
  <c r="D8" i="23"/>
  <c r="E8"/>
  <c r="E70" i="36"/>
  <c r="E73" s="1"/>
  <c r="B8" i="23"/>
  <c r="G86" i="11"/>
  <c r="G85"/>
  <c r="G86" i="10"/>
  <c r="G85"/>
  <c r="G86" i="9"/>
  <c r="G85"/>
  <c r="G86" i="8"/>
  <c r="G85"/>
  <c r="E13" i="7"/>
  <c r="E14" i="6"/>
  <c r="B45" i="36"/>
  <c r="B5"/>
  <c r="B1"/>
  <c r="E1"/>
  <c r="H79" s="1"/>
  <c r="D73"/>
  <c r="D95"/>
  <c r="C73"/>
  <c r="D72"/>
  <c r="C60"/>
  <c r="C61"/>
  <c r="C74" s="1"/>
  <c r="D33"/>
  <c r="D93" s="1"/>
  <c r="C33"/>
  <c r="C93" s="1"/>
  <c r="B37" s="1"/>
  <c r="D32"/>
  <c r="C20"/>
  <c r="C21"/>
  <c r="G14" i="35"/>
  <c r="E14"/>
  <c r="B89" s="1"/>
  <c r="B8"/>
  <c r="B7"/>
  <c r="B5"/>
  <c r="B78"/>
  <c r="G31" i="2"/>
  <c r="D48" i="11"/>
  <c r="D60" s="1"/>
  <c r="G30" i="2"/>
  <c r="D8" i="11"/>
  <c r="D20" s="1"/>
  <c r="G29" i="2"/>
  <c r="D48" i="10"/>
  <c r="D60" s="1"/>
  <c r="G28" i="2"/>
  <c r="D8" i="10"/>
  <c r="D20" s="1"/>
  <c r="G27" i="2"/>
  <c r="D48" i="9"/>
  <c r="D60" s="1"/>
  <c r="G26" i="2"/>
  <c r="D8" i="9"/>
  <c r="D20" s="1"/>
  <c r="G25" i="2"/>
  <c r="D48" i="8"/>
  <c r="D60" s="1"/>
  <c r="G24" i="2"/>
  <c r="D8" i="8"/>
  <c r="D20" s="1"/>
  <c r="G23" i="2"/>
  <c r="D8" i="7"/>
  <c r="D23" s="1"/>
  <c r="G22" i="2"/>
  <c r="D48" i="36"/>
  <c r="G21" i="2"/>
  <c r="D8" i="36"/>
  <c r="D20" s="1"/>
  <c r="G20" i="2"/>
  <c r="D8" i="6"/>
  <c r="A76" i="20"/>
  <c r="G21" i="32"/>
  <c r="G23" s="1"/>
  <c r="D13" i="4"/>
  <c r="B13"/>
  <c r="A85" i="20"/>
  <c r="A39"/>
  <c r="B51" i="2"/>
  <c r="A48" i="20"/>
  <c r="A94"/>
  <c r="C29" i="3"/>
  <c r="C30"/>
  <c r="C26"/>
  <c r="C25"/>
  <c r="C24"/>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60" i="2"/>
  <c r="D22" i="4"/>
  <c r="B22"/>
  <c r="B45" i="11"/>
  <c r="B17" i="23"/>
  <c r="J148" i="33"/>
  <c r="H134"/>
  <c r="C137" s="1"/>
  <c r="J137" s="1"/>
  <c r="H120"/>
  <c r="C123" s="1"/>
  <c r="H114"/>
  <c r="F117"/>
  <c r="H117" s="1"/>
  <c r="F123" s="1"/>
  <c r="H100"/>
  <c r="C103"/>
  <c r="J103" s="1"/>
  <c r="F97"/>
  <c r="H97" s="1"/>
  <c r="F103" s="1"/>
  <c r="H94"/>
  <c r="C83"/>
  <c r="H80"/>
  <c r="H74"/>
  <c r="F77" s="1"/>
  <c r="H77" s="1"/>
  <c r="F83" s="1"/>
  <c r="J83" s="1"/>
  <c r="H48"/>
  <c r="F50" s="1"/>
  <c r="J50" s="1"/>
  <c r="H41"/>
  <c r="B28"/>
  <c r="H28" s="1"/>
  <c r="H25"/>
  <c r="C25"/>
  <c r="A29" i="3"/>
  <c r="A8" i="30"/>
  <c r="A46" i="29"/>
  <c r="A41"/>
  <c r="A6"/>
  <c r="A38" i="28"/>
  <c r="A33"/>
  <c r="A19"/>
  <c r="A6"/>
  <c r="A34" i="27"/>
  <c r="A33"/>
  <c r="A6"/>
  <c r="A77" i="26"/>
  <c r="A74"/>
  <c r="A33"/>
  <c r="A28"/>
  <c r="A25"/>
  <c r="A16"/>
  <c r="A6"/>
  <c r="A9" i="12"/>
  <c r="A7"/>
  <c r="I5" i="2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G25" i="4"/>
  <c r="I27"/>
  <c r="J29"/>
  <c r="E32" i="2"/>
  <c r="D22" i="12" s="1"/>
  <c r="C60" i="11"/>
  <c r="C61" s="1"/>
  <c r="C74" s="1"/>
  <c r="C73"/>
  <c r="G78"/>
  <c r="D73"/>
  <c r="D87"/>
  <c r="C20"/>
  <c r="C21"/>
  <c r="C34" s="1"/>
  <c r="C33"/>
  <c r="G38" s="1"/>
  <c r="D33"/>
  <c r="D85" s="1"/>
  <c r="C60" i="10"/>
  <c r="C61" s="1"/>
  <c r="C74" s="1"/>
  <c r="C73"/>
  <c r="G78" s="1"/>
  <c r="D73"/>
  <c r="D87" s="1"/>
  <c r="C20"/>
  <c r="C21" s="1"/>
  <c r="C34" s="1"/>
  <c r="C33"/>
  <c r="G38" s="1"/>
  <c r="D33"/>
  <c r="D85" s="1"/>
  <c r="C60" i="9"/>
  <c r="C61" s="1"/>
  <c r="C74" s="1"/>
  <c r="C73"/>
  <c r="G78" s="1"/>
  <c r="D73"/>
  <c r="D87" s="1"/>
  <c r="C20"/>
  <c r="C21" s="1"/>
  <c r="C34" s="1"/>
  <c r="C33"/>
  <c r="G38" s="1"/>
  <c r="D33"/>
  <c r="D85" s="1"/>
  <c r="C60" i="8"/>
  <c r="C61" s="1"/>
  <c r="C74" s="1"/>
  <c r="C73"/>
  <c r="G78" s="1"/>
  <c r="D73"/>
  <c r="D87" s="1"/>
  <c r="B77" s="1"/>
  <c r="C20"/>
  <c r="C21" s="1"/>
  <c r="C34" s="1"/>
  <c r="C33"/>
  <c r="G38"/>
  <c r="C85"/>
  <c r="D33"/>
  <c r="D85" s="1"/>
  <c r="B37" s="1"/>
  <c r="D6" i="23"/>
  <c r="E6"/>
  <c r="E43" i="7"/>
  <c r="E47" s="1"/>
  <c r="C23"/>
  <c r="C24" s="1"/>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B61" s="1"/>
  <c r="E59"/>
  <c r="E1" i="18"/>
  <c r="B61" s="1"/>
  <c r="E1" i="20"/>
  <c r="C81" s="1"/>
  <c r="E16"/>
  <c r="G11" i="14" s="1"/>
  <c r="E21" i="20"/>
  <c r="E14" i="14" s="1"/>
  <c r="E31" i="20"/>
  <c r="E15" i="14" s="1"/>
  <c r="E26" i="20"/>
  <c r="G18" i="14" s="1"/>
  <c r="E11" i="20"/>
  <c r="D21" i="23" s="1"/>
  <c r="D23" s="1"/>
  <c r="C34" i="3"/>
  <c r="C33"/>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B39" i="3"/>
  <c r="D7" i="23"/>
  <c r="E7"/>
  <c r="E30" i="36" s="1"/>
  <c r="E33" s="1"/>
  <c r="E28" i="17"/>
  <c r="E28" i="18"/>
  <c r="D27" i="3" s="1"/>
  <c r="E59" i="18"/>
  <c r="D28" i="3" s="1"/>
  <c r="D59" i="18"/>
  <c r="D58" s="1"/>
  <c r="C59"/>
  <c r="D28"/>
  <c r="D31"/>
  <c r="C28"/>
  <c r="C31"/>
  <c r="D59" i="17"/>
  <c r="D62"/>
  <c r="C59"/>
  <c r="C62"/>
  <c r="D28"/>
  <c r="D27"/>
  <c r="C28"/>
  <c r="C31"/>
  <c r="E15" i="18"/>
  <c r="E14"/>
  <c r="D15"/>
  <c r="D14"/>
  <c r="C15"/>
  <c r="C14"/>
  <c r="E46"/>
  <c r="E45"/>
  <c r="D46"/>
  <c r="D45"/>
  <c r="C46"/>
  <c r="C45"/>
  <c r="E46" i="17"/>
  <c r="E45"/>
  <c r="D46"/>
  <c r="D45"/>
  <c r="C46"/>
  <c r="C45"/>
  <c r="C19" i="11"/>
  <c r="C19" i="10"/>
  <c r="C59" i="9"/>
  <c r="C19" i="8"/>
  <c r="D72" i="11"/>
  <c r="C72"/>
  <c r="C32"/>
  <c r="C72" i="10"/>
  <c r="D72" i="9"/>
  <c r="D32"/>
  <c r="D72" i="8"/>
  <c r="C32"/>
  <c r="E15" i="17"/>
  <c r="D15"/>
  <c r="C15"/>
  <c r="C25" i="6"/>
  <c r="B16" i="23"/>
  <c r="B15"/>
  <c r="B14"/>
  <c r="B13"/>
  <c r="B12"/>
  <c r="B11"/>
  <c r="B10"/>
  <c r="B9"/>
  <c r="B7"/>
  <c r="B6"/>
  <c r="D25"/>
  <c r="D27" s="1"/>
  <c r="F1"/>
  <c r="E5"/>
  <c r="A1"/>
  <c r="C18"/>
  <c r="K1" i="4"/>
  <c r="B10"/>
  <c r="B22" i="3"/>
  <c r="J1" i="14"/>
  <c r="B18" s="1"/>
  <c r="F24" i="12"/>
  <c r="C47" i="17"/>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B23" i="12"/>
  <c r="E55" i="20"/>
  <c r="D23" i="12" s="1"/>
  <c r="E27" i="35" s="1"/>
  <c r="A51" i="20"/>
  <c r="A6"/>
  <c r="A54"/>
  <c r="A53"/>
  <c r="A37" i="3"/>
  <c r="A36"/>
  <c r="D49" i="20"/>
  <c r="G84" i="11"/>
  <c r="G44"/>
  <c r="G84" i="10"/>
  <c r="G44"/>
  <c r="G84" i="9"/>
  <c r="G44"/>
  <c r="G84" i="8"/>
  <c r="G44"/>
  <c r="G54" i="7"/>
  <c r="G44" i="36"/>
  <c r="E18" i="12"/>
  <c r="A47" i="20"/>
  <c r="A46"/>
  <c r="A45"/>
  <c r="A44"/>
  <c r="A43"/>
  <c r="A42"/>
  <c r="A41"/>
  <c r="A40"/>
  <c r="A38"/>
  <c r="A37"/>
  <c r="H27" i="4"/>
  <c r="F15" i="13"/>
  <c r="D27" i="21"/>
  <c r="D29" s="1"/>
  <c r="D20" i="12" s="1"/>
  <c r="F1" i="21"/>
  <c r="D9" s="1"/>
  <c r="A2"/>
  <c r="G1" i="3"/>
  <c r="B40" s="1"/>
  <c r="A61" i="2"/>
  <c r="A2" i="20"/>
  <c r="A1"/>
  <c r="A48" i="2"/>
  <c r="A17"/>
  <c r="A7" i="16"/>
  <c r="A11"/>
  <c r="A26"/>
  <c r="A30"/>
  <c r="F11" i="13"/>
  <c r="L15"/>
  <c r="K15"/>
  <c r="J15"/>
  <c r="I15"/>
  <c r="L11"/>
  <c r="L16" s="1"/>
  <c r="K11"/>
  <c r="K16" s="1"/>
  <c r="J11"/>
  <c r="J16" s="1"/>
  <c r="I11"/>
  <c r="I16" s="1"/>
  <c r="H1" i="12"/>
  <c r="J28" s="1"/>
  <c r="B12" i="4"/>
  <c r="L1" i="13"/>
  <c r="G23" s="1"/>
  <c r="B50" i="2"/>
  <c r="A3" i="3"/>
  <c r="B5" i="14"/>
  <c r="D33" i="16"/>
  <c r="A21"/>
  <c r="A6"/>
  <c r="C28" i="3"/>
  <c r="C27"/>
  <c r="A28"/>
  <c r="A27"/>
  <c r="B1" i="18"/>
  <c r="B1" i="17"/>
  <c r="B36" i="18"/>
  <c r="B5"/>
  <c r="B36" i="17"/>
  <c r="B5"/>
  <c r="A12" i="16"/>
  <c r="I6"/>
  <c r="B26" i="3"/>
  <c r="B25"/>
  <c r="B24"/>
  <c r="A26"/>
  <c r="A25"/>
  <c r="A24"/>
  <c r="C32"/>
  <c r="B21"/>
  <c r="A21"/>
  <c r="A5"/>
  <c r="C1" i="14"/>
  <c r="I36" i="13"/>
  <c r="H36"/>
  <c r="G36"/>
  <c r="B2"/>
  <c r="B1"/>
  <c r="B5" i="6"/>
  <c r="B1"/>
  <c r="D61" i="2"/>
  <c r="B59"/>
  <c r="B58"/>
  <c r="B57"/>
  <c r="B56"/>
  <c r="B55"/>
  <c r="B54"/>
  <c r="B53"/>
  <c r="B52"/>
  <c r="B49"/>
  <c r="B21" i="4"/>
  <c r="B20"/>
  <c r="B19"/>
  <c r="B18"/>
  <c r="B17"/>
  <c r="B16"/>
  <c r="B15"/>
  <c r="B14"/>
  <c r="B11"/>
  <c r="B1"/>
  <c r="B1" i="7"/>
  <c r="B5"/>
  <c r="C18" i="12"/>
  <c r="B22"/>
  <c r="A18"/>
  <c r="A6"/>
  <c r="A5"/>
  <c r="B1" i="8"/>
  <c r="B45"/>
  <c r="B5"/>
  <c r="B45" i="9"/>
  <c r="B5"/>
  <c r="B1"/>
  <c r="B45" i="10"/>
  <c r="B5"/>
  <c r="B1"/>
  <c r="B5" i="11"/>
  <c r="B1"/>
  <c r="C16" i="17"/>
  <c r="C29" s="1"/>
  <c r="C14"/>
  <c r="D14"/>
  <c r="E14"/>
  <c r="C11" i="21"/>
  <c r="F11" s="1"/>
  <c r="C49" i="6"/>
  <c r="B18" i="12"/>
  <c r="E42" i="7"/>
  <c r="D24" i="3"/>
  <c r="A80" i="20"/>
  <c r="C27" i="21"/>
  <c r="C29" s="1"/>
  <c r="B20" i="12" s="1"/>
  <c r="A15" i="3"/>
  <c r="A9"/>
  <c r="C9" i="21"/>
  <c r="A17" i="20"/>
  <c r="B30" i="17"/>
  <c r="C40" i="9"/>
  <c r="B35" i="10"/>
  <c r="B75"/>
  <c r="I23" i="13"/>
  <c r="F16"/>
  <c r="C27" i="17"/>
  <c r="D27" i="18"/>
  <c r="E27"/>
  <c r="B30"/>
  <c r="B75" i="11"/>
  <c r="D5" i="23"/>
  <c r="E9" i="4"/>
  <c r="B3" i="23"/>
  <c r="E9" i="21"/>
  <c r="A31" i="20"/>
  <c r="B52" i="6"/>
  <c r="C40" i="8"/>
  <c r="C40" i="10"/>
  <c r="C60" i="17"/>
  <c r="C63"/>
  <c r="C58"/>
  <c r="D58"/>
  <c r="E58"/>
  <c r="J29" i="25"/>
  <c r="J30" s="1"/>
  <c r="H29"/>
  <c r="H30" s="1"/>
  <c r="D29"/>
  <c r="D30" s="1"/>
  <c r="K28"/>
  <c r="A8" i="3"/>
  <c r="C57" i="6"/>
  <c r="B75" i="8"/>
  <c r="B14" i="12"/>
  <c r="G9" i="4"/>
  <c r="B35" i="8"/>
  <c r="B29" i="25"/>
  <c r="B30" s="1"/>
  <c r="K17"/>
  <c r="D62" i="18"/>
  <c r="C58"/>
  <c r="C27"/>
  <c r="D31" i="17"/>
  <c r="E27"/>
  <c r="A21" i="23"/>
  <c r="C5"/>
  <c r="B5"/>
  <c r="K18" i="25"/>
  <c r="F29"/>
  <c r="F30" s="1"/>
  <c r="C63" i="7"/>
  <c r="C65" s="1"/>
  <c r="C50"/>
  <c r="F46"/>
  <c r="E22" i="14"/>
  <c r="D23" i="4"/>
  <c r="J35" s="1"/>
  <c r="J22"/>
  <c r="E52" i="11" s="1"/>
  <c r="J19" i="12"/>
  <c r="C16" i="18"/>
  <c r="C29"/>
  <c r="C32" s="1"/>
  <c r="C47"/>
  <c r="C60" s="1"/>
  <c r="E58"/>
  <c r="J22" i="12"/>
  <c r="J21"/>
  <c r="J20" i="4"/>
  <c r="E52" i="10" s="1"/>
  <c r="J21" i="4"/>
  <c r="E12" i="11" s="1"/>
  <c r="K29" i="25"/>
  <c r="C87" i="11"/>
  <c r="B77" s="1"/>
  <c r="C85"/>
  <c r="C87" i="10"/>
  <c r="D32"/>
  <c r="C85"/>
  <c r="C87" i="9"/>
  <c r="C85"/>
  <c r="C72" i="8"/>
  <c r="C87"/>
  <c r="C74" i="6"/>
  <c r="J18" i="4"/>
  <c r="E52" i="9" s="1"/>
  <c r="J19" i="4"/>
  <c r="E12" i="10" s="1"/>
  <c r="J5" i="14"/>
  <c r="J7" s="1"/>
  <c r="D11" i="3"/>
  <c r="D18" i="23"/>
  <c r="F13" i="21"/>
  <c r="E27"/>
  <c r="E29" s="1"/>
  <c r="F20" i="12" s="1"/>
  <c r="C19" i="36"/>
  <c r="C32"/>
  <c r="B35"/>
  <c r="H36"/>
  <c r="H39"/>
  <c r="H44"/>
  <c r="E45"/>
  <c r="H46"/>
  <c r="G68"/>
  <c r="H73"/>
  <c r="G78"/>
  <c r="H83"/>
  <c r="H85"/>
  <c r="C5"/>
  <c r="G24"/>
  <c r="G31"/>
  <c r="H34"/>
  <c r="G38"/>
  <c r="C40"/>
  <c r="C59"/>
  <c r="C72"/>
  <c r="B75"/>
  <c r="H76"/>
  <c r="B47" i="35"/>
  <c r="B91"/>
  <c r="B46"/>
  <c r="D10" i="4"/>
  <c r="E23"/>
  <c r="A21" i="20"/>
  <c r="A27"/>
  <c r="A35"/>
  <c r="A32"/>
  <c r="A7"/>
  <c r="A57"/>
  <c r="A22"/>
  <c r="A26"/>
  <c r="A33"/>
  <c r="B81"/>
  <c r="E19" i="12"/>
  <c r="E29" i="35" s="1"/>
  <c r="M24" i="12"/>
  <c r="H33" i="4"/>
  <c r="C19" i="12"/>
  <c r="B50" i="3"/>
  <c r="A55" i="20"/>
  <c r="C53" i="7"/>
  <c r="I13" i="4"/>
  <c r="G17"/>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41" i="7"/>
  <c r="H46"/>
  <c r="H54"/>
  <c r="G28" i="8"/>
  <c r="H33"/>
  <c r="H35"/>
  <c r="H38"/>
  <c r="H43"/>
  <c r="H45"/>
  <c r="G64"/>
  <c r="G71"/>
  <c r="H74"/>
  <c r="H76"/>
  <c r="H79"/>
  <c r="H84"/>
  <c r="H85"/>
  <c r="H86"/>
  <c r="H90"/>
  <c r="H33" i="9"/>
  <c r="H38"/>
  <c r="H45"/>
  <c r="G71"/>
  <c r="H76"/>
  <c r="H84"/>
  <c r="H86"/>
  <c r="G28" i="10"/>
  <c r="H33"/>
  <c r="H35"/>
  <c r="H38"/>
  <c r="H43"/>
  <c r="H45"/>
  <c r="G64"/>
  <c r="G71"/>
  <c r="H74"/>
  <c r="H76"/>
  <c r="H79"/>
  <c r="H84"/>
  <c r="H85"/>
  <c r="H86"/>
  <c r="H90"/>
  <c r="H33" i="11"/>
  <c r="H38"/>
  <c r="H45"/>
  <c r="G71"/>
  <c r="H76"/>
  <c r="H84"/>
  <c r="H86"/>
  <c r="D5" i="6"/>
  <c r="D5" i="18" s="1"/>
  <c r="D36" s="1"/>
  <c r="A31" i="23"/>
  <c r="C80" i="8"/>
  <c r="C80" i="10"/>
  <c r="G41" i="6"/>
  <c r="G48"/>
  <c r="H51"/>
  <c r="H53"/>
  <c r="H56"/>
  <c r="H61"/>
  <c r="H63"/>
  <c r="H43" i="7"/>
  <c r="H48"/>
  <c r="G24" i="8"/>
  <c r="G31"/>
  <c r="H34"/>
  <c r="H36"/>
  <c r="H39"/>
  <c r="H44"/>
  <c r="H46"/>
  <c r="G68"/>
  <c r="H73"/>
  <c r="H75"/>
  <c r="H78"/>
  <c r="H83"/>
  <c r="G24" i="9"/>
  <c r="H34"/>
  <c r="H39"/>
  <c r="H46"/>
  <c r="H73"/>
  <c r="H78"/>
  <c r="G24" i="10"/>
  <c r="G31"/>
  <c r="H34"/>
  <c r="H36"/>
  <c r="H39"/>
  <c r="H44"/>
  <c r="H46"/>
  <c r="G68"/>
  <c r="H73"/>
  <c r="H75"/>
  <c r="H78"/>
  <c r="H83"/>
  <c r="G24" i="11"/>
  <c r="H34"/>
  <c r="H39"/>
  <c r="H46"/>
  <c r="H73"/>
  <c r="H78"/>
  <c r="C5" i="6"/>
  <c r="C5" i="7" s="1"/>
  <c r="D26" i="6"/>
  <c r="D25" s="1"/>
  <c r="D44"/>
  <c r="E15" i="35"/>
  <c r="E22" s="1"/>
  <c r="D60" i="36"/>
  <c r="D59" s="1"/>
  <c r="J15" i="4"/>
  <c r="E12" i="8" s="1"/>
  <c r="J12" i="4"/>
  <c r="J13"/>
  <c r="E52" i="36" s="1"/>
  <c r="J17" i="4"/>
  <c r="E12" i="9" s="1"/>
  <c r="J14" i="4"/>
  <c r="E12" i="7" s="1"/>
  <c r="J16" i="4"/>
  <c r="E52" i="8" s="1"/>
  <c r="G13" i="4"/>
  <c r="E50" i="36" s="1"/>
  <c r="G17" i="35" s="1"/>
  <c r="G12" i="4"/>
  <c r="G15"/>
  <c r="E10" i="8" s="1"/>
  <c r="E20" s="1"/>
  <c r="G63" i="6"/>
  <c r="G46" i="36"/>
  <c r="G86"/>
  <c r="G56" i="7"/>
  <c r="G46" i="8"/>
  <c r="G90"/>
  <c r="G46" i="9"/>
  <c r="G90"/>
  <c r="G46" i="10"/>
  <c r="G90"/>
  <c r="G46" i="11"/>
  <c r="G90"/>
  <c r="G61" i="6"/>
  <c r="I11" i="4"/>
  <c r="I23" s="1"/>
  <c r="E51" i="36"/>
  <c r="C62" i="18"/>
  <c r="C34" i="36"/>
  <c r="C95"/>
  <c r="B77" s="1"/>
  <c r="D37" i="17"/>
  <c r="D47"/>
  <c r="D60" s="1"/>
  <c r="K30" i="25"/>
  <c r="E47" i="6"/>
  <c r="E50" s="1"/>
  <c r="E18" i="23"/>
  <c r="C5" i="8"/>
  <c r="C45" s="1"/>
  <c r="C5" i="17"/>
  <c r="C36" s="1"/>
  <c r="D5" i="7"/>
  <c r="D5" i="17"/>
  <c r="D36" s="1"/>
  <c r="D5" i="9"/>
  <c r="D45" s="1"/>
  <c r="E10" i="36"/>
  <c r="G11" i="4"/>
  <c r="E10" i="6" s="1"/>
  <c r="E12" i="36"/>
  <c r="J11" i="4"/>
  <c r="E12" i="6" s="1"/>
  <c r="G18" i="35"/>
  <c r="E11" i="6"/>
  <c r="D6" i="36"/>
  <c r="C94"/>
  <c r="B19" i="12"/>
  <c r="E39" i="8"/>
  <c r="E79"/>
  <c r="E39" i="9"/>
  <c r="E79"/>
  <c r="E39" i="10"/>
  <c r="E79"/>
  <c r="E39" i="11"/>
  <c r="E79"/>
  <c r="J37" i="7"/>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E37" i="17" l="1"/>
  <c r="E47" s="1"/>
  <c r="E60" s="1"/>
  <c r="E61" s="1"/>
  <c r="D63"/>
  <c r="C63" i="18"/>
  <c r="D37"/>
  <c r="D47" s="1"/>
  <c r="D60" s="1"/>
  <c r="C32" i="17"/>
  <c r="D6"/>
  <c r="D16" s="1"/>
  <c r="D29" s="1"/>
  <c r="E6" s="1"/>
  <c r="E16" s="1"/>
  <c r="E29" s="1"/>
  <c r="E30" s="1"/>
  <c r="D46" i="8"/>
  <c r="C88"/>
  <c r="C88" i="9"/>
  <c r="D46"/>
  <c r="C88" i="10"/>
  <c r="D46"/>
  <c r="C96" i="36"/>
  <c r="D46"/>
  <c r="J123" i="33"/>
  <c r="C39" i="7"/>
  <c r="C43" s="1"/>
  <c r="C44" s="1"/>
  <c r="D57"/>
  <c r="C86" i="8"/>
  <c r="D6"/>
  <c r="D6" i="9"/>
  <c r="C86"/>
  <c r="C86" i="10"/>
  <c r="D6"/>
  <c r="C86" i="11"/>
  <c r="D6"/>
  <c r="C88"/>
  <c r="D46"/>
  <c r="B37" i="9"/>
  <c r="B77" i="10"/>
  <c r="G23" i="4"/>
  <c r="B77" i="9"/>
  <c r="B37" i="10"/>
  <c r="B37" i="11"/>
  <c r="D6" i="18"/>
  <c r="D16" s="1"/>
  <c r="D29" s="1"/>
  <c r="E6" s="1"/>
  <c r="E16" s="1"/>
  <c r="E29" s="1"/>
  <c r="E30" s="1"/>
  <c r="C15" i="14"/>
  <c r="F23" i="12"/>
  <c r="G27" i="35" s="1"/>
  <c r="C22" i="7"/>
  <c r="D32" i="8"/>
  <c r="C32" i="9"/>
  <c r="C72"/>
  <c r="C32" i="10"/>
  <c r="D72"/>
  <c r="D32" i="11"/>
  <c r="C59" i="8"/>
  <c r="C19" i="9"/>
  <c r="C59" i="10"/>
  <c r="C59" i="11"/>
  <c r="E26" i="6"/>
  <c r="G51" s="1"/>
  <c r="J23" i="4"/>
  <c r="D5" i="11"/>
  <c r="D45" s="1"/>
  <c r="D5" i="10"/>
  <c r="D45" s="1"/>
  <c r="D5" i="8"/>
  <c r="D45" s="1"/>
  <c r="C5" i="10"/>
  <c r="C45" s="1"/>
  <c r="C5" i="18"/>
  <c r="C36" s="1"/>
  <c r="H83" i="11"/>
  <c r="H75"/>
  <c r="G68"/>
  <c r="H44"/>
  <c r="H36"/>
  <c r="G31"/>
  <c r="H83" i="9"/>
  <c r="H75"/>
  <c r="G68"/>
  <c r="H44"/>
  <c r="H36"/>
  <c r="G31"/>
  <c r="H53" i="7"/>
  <c r="H45"/>
  <c r="G38"/>
  <c r="C80" i="11"/>
  <c r="C80" i="9"/>
  <c r="H89" i="11"/>
  <c r="H85"/>
  <c r="H79"/>
  <c r="H74"/>
  <c r="G64"/>
  <c r="H43"/>
  <c r="H35"/>
  <c r="G28"/>
  <c r="H90" i="9"/>
  <c r="H85"/>
  <c r="H79"/>
  <c r="H74"/>
  <c r="G64"/>
  <c r="H43"/>
  <c r="H35"/>
  <c r="G28"/>
  <c r="H56" i="7"/>
  <c r="H49"/>
  <c r="H44"/>
  <c r="G34"/>
  <c r="B84" i="35"/>
  <c r="H78" i="36"/>
  <c r="H75"/>
  <c r="D45"/>
  <c r="H33"/>
  <c r="G28"/>
  <c r="E5"/>
  <c r="H86"/>
  <c r="H84"/>
  <c r="C80"/>
  <c r="H74"/>
  <c r="G71"/>
  <c r="G64"/>
  <c r="H45"/>
  <c r="C45"/>
  <c r="H43"/>
  <c r="H38"/>
  <c r="H35"/>
  <c r="D5"/>
  <c r="J23" i="12"/>
  <c r="J25"/>
  <c r="J24"/>
  <c r="B45" i="7"/>
  <c r="H23" i="13"/>
  <c r="B35" i="9"/>
  <c r="C40" i="11"/>
  <c r="A11" i="12"/>
  <c r="B75" i="9"/>
  <c r="D14" i="12"/>
  <c r="B35" i="11"/>
  <c r="B9" i="14"/>
  <c r="B32"/>
  <c r="D19" i="8"/>
  <c r="D21"/>
  <c r="D34" s="1"/>
  <c r="B54" i="6"/>
  <c r="B21" i="12"/>
  <c r="C5" i="11"/>
  <c r="C45" s="1"/>
  <c r="C5" i="9"/>
  <c r="C45" s="1"/>
  <c r="G31" i="4"/>
  <c r="I33"/>
  <c r="K6" i="13"/>
  <c r="F7"/>
  <c r="F14" i="12"/>
  <c r="B11" i="14"/>
  <c r="G15" i="12"/>
  <c r="A12"/>
  <c r="I6" i="13"/>
  <c r="B13" i="14"/>
  <c r="A3"/>
  <c r="B6"/>
  <c r="C14"/>
  <c r="B22"/>
  <c r="A36"/>
  <c r="E12" i="3"/>
  <c r="G22" i="32"/>
  <c r="G20" s="1"/>
  <c r="G24"/>
  <c r="D18" i="12"/>
  <c r="D49" i="6"/>
  <c r="C46"/>
  <c r="C51"/>
  <c r="G16" i="14"/>
  <c r="G20" s="1"/>
  <c r="E72" i="36"/>
  <c r="F76"/>
  <c r="E77"/>
  <c r="D23" i="3"/>
  <c r="E37" i="10"/>
  <c r="F36"/>
  <c r="E32"/>
  <c r="D19" i="9"/>
  <c r="D21"/>
  <c r="D34" s="1"/>
  <c r="D19" i="36"/>
  <c r="D21"/>
  <c r="D34" s="1"/>
  <c r="E28" i="35"/>
  <c r="G19"/>
  <c r="E60" i="36"/>
  <c r="D22" i="7"/>
  <c r="D59" i="9"/>
  <c r="D61"/>
  <c r="D74" s="1"/>
  <c r="E5" i="18"/>
  <c r="E36" s="1"/>
  <c r="E5" i="11"/>
  <c r="E45" s="1"/>
  <c r="E5" i="10"/>
  <c r="E45" s="1"/>
  <c r="E5" i="7"/>
  <c r="E5" i="9"/>
  <c r="E45" s="1"/>
  <c r="E5" i="8"/>
  <c r="E45" s="1"/>
  <c r="E5" i="17"/>
  <c r="E36" s="1"/>
  <c r="D59" i="8"/>
  <c r="D61"/>
  <c r="D74" s="1"/>
  <c r="E20" i="36"/>
  <c r="E19" s="1"/>
  <c r="D61"/>
  <c r="D74" s="1"/>
  <c r="D86" i="9"/>
  <c r="B38" s="1"/>
  <c r="B32" i="21"/>
  <c r="D96" i="36"/>
  <c r="B78" s="1"/>
  <c r="G73"/>
  <c r="E46"/>
  <c r="D86" i="8"/>
  <c r="B38" s="1"/>
  <c r="G33"/>
  <c r="E6"/>
  <c r="G34"/>
  <c r="E21"/>
  <c r="G73"/>
  <c r="E46"/>
  <c r="D88"/>
  <c r="B78" s="1"/>
  <c r="F36"/>
  <c r="D25" i="3"/>
  <c r="E32" i="8"/>
  <c r="E37"/>
  <c r="E38" s="1"/>
  <c r="E40" s="1"/>
  <c r="E72"/>
  <c r="F76"/>
  <c r="E77"/>
  <c r="D26" i="3"/>
  <c r="E32" i="9"/>
  <c r="E37"/>
  <c r="F36"/>
  <c r="E77"/>
  <c r="F76"/>
  <c r="E72"/>
  <c r="E72" i="10"/>
  <c r="E77"/>
  <c r="F76"/>
  <c r="F76" i="11"/>
  <c r="E77"/>
  <c r="E72"/>
  <c r="E60" i="8"/>
  <c r="E60" i="10"/>
  <c r="E60" i="11"/>
  <c r="E20" i="9"/>
  <c r="E6" i="36"/>
  <c r="E21" s="1"/>
  <c r="G33"/>
  <c r="D94"/>
  <c r="B38" s="1"/>
  <c r="E49" i="6"/>
  <c r="F18" i="12"/>
  <c r="E54" i="6"/>
  <c r="F53"/>
  <c r="D21" i="3"/>
  <c r="G34" i="36"/>
  <c r="E37"/>
  <c r="E32"/>
  <c r="F36"/>
  <c r="D22" i="3"/>
  <c r="E37" i="11"/>
  <c r="F36"/>
  <c r="E32"/>
  <c r="D21" i="10"/>
  <c r="D34" s="1"/>
  <c r="D19"/>
  <c r="D61"/>
  <c r="D74" s="1"/>
  <c r="D59"/>
  <c r="D21" i="11"/>
  <c r="D34" s="1"/>
  <c r="D19"/>
  <c r="D61"/>
  <c r="D74" s="1"/>
  <c r="D59"/>
  <c r="E23" i="7"/>
  <c r="E60" i="9"/>
  <c r="E20" i="10"/>
  <c r="E20" i="11"/>
  <c r="G19" i="32"/>
  <c r="C73" i="7" l="1"/>
  <c r="D6"/>
  <c r="D24" s="1"/>
  <c r="M25" i="12"/>
  <c r="G48" i="7"/>
  <c r="C72"/>
  <c r="C42"/>
  <c r="D63" i="18"/>
  <c r="E37"/>
  <c r="E47" s="1"/>
  <c r="E60" s="1"/>
  <c r="E61" s="1"/>
  <c r="E38" i="36"/>
  <c r="E40" s="1"/>
  <c r="J32" i="14" s="1"/>
  <c r="D9" i="32"/>
  <c r="C75" i="6"/>
  <c r="D6"/>
  <c r="D27" s="1"/>
  <c r="E61" i="36"/>
  <c r="E78" s="1"/>
  <c r="E79" s="1"/>
  <c r="E80" s="1"/>
  <c r="G24" i="14"/>
  <c r="G26" s="1"/>
  <c r="J28" s="1"/>
  <c r="J30" s="1"/>
  <c r="G33" i="9"/>
  <c r="E6"/>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E22" i="3"/>
  <c r="F22"/>
  <c r="G43" i="36"/>
  <c r="G74" i="11"/>
  <c r="E61"/>
  <c r="E78" s="1"/>
  <c r="E80" s="1"/>
  <c r="E59" s="1"/>
  <c r="G74" i="8"/>
  <c r="E61"/>
  <c r="E25" i="3"/>
  <c r="G35" i="8"/>
  <c r="K35" s="1"/>
  <c r="G43"/>
  <c r="F25" i="3"/>
  <c r="F19" i="12"/>
  <c r="F21" s="1"/>
  <c r="E19" i="8"/>
  <c r="G74" i="9"/>
  <c r="E61"/>
  <c r="E78" s="1"/>
  <c r="E80" s="1"/>
  <c r="G34"/>
  <c r="E21"/>
  <c r="E38" s="1"/>
  <c r="E40" s="1"/>
  <c r="G74" i="10"/>
  <c r="E61"/>
  <c r="E78" s="1"/>
  <c r="E80" s="1"/>
  <c r="E59" s="1"/>
  <c r="D31" i="3"/>
  <c r="E78" i="8"/>
  <c r="E80" s="1"/>
  <c r="G36" l="1"/>
  <c r="G39" s="1"/>
  <c r="G15" i="35"/>
  <c r="G22" s="1"/>
  <c r="G35" i="36"/>
  <c r="J34" i="14"/>
  <c r="D46" i="6"/>
  <c r="D51"/>
  <c r="D19" i="12"/>
  <c r="D21" s="1"/>
  <c r="D72" i="7"/>
  <c r="B47" s="1"/>
  <c r="D42"/>
  <c r="D44"/>
  <c r="G83" i="9"/>
  <c r="G75"/>
  <c r="K75" s="1"/>
  <c r="E59"/>
  <c r="E23" i="3"/>
  <c r="G83" i="36"/>
  <c r="F23" i="3"/>
  <c r="G43" i="11"/>
  <c r="G35"/>
  <c r="K35" s="1"/>
  <c r="E19"/>
  <c r="G35" i="10"/>
  <c r="K35" s="1"/>
  <c r="G43"/>
  <c r="E19"/>
  <c r="G35" i="9"/>
  <c r="K35" s="1"/>
  <c r="G43"/>
  <c r="F26" i="3"/>
  <c r="G83" i="8"/>
  <c r="E26" i="3"/>
  <c r="G75" i="8"/>
  <c r="G83" i="10"/>
  <c r="G75"/>
  <c r="K75" s="1"/>
  <c r="E23" i="35"/>
  <c r="D24"/>
  <c r="E19" i="9"/>
  <c r="G36" i="10"/>
  <c r="G39" s="1"/>
  <c r="G36" i="11"/>
  <c r="G39" s="1"/>
  <c r="G83"/>
  <c r="M22" i="12"/>
  <c r="G75" i="11"/>
  <c r="K75" s="1"/>
  <c r="G76" i="9"/>
  <c r="G79" s="1"/>
  <c r="G75" i="36"/>
  <c r="E59" i="8"/>
  <c r="G76" i="10"/>
  <c r="G79" s="1"/>
  <c r="K35" i="36" l="1"/>
  <c r="G36"/>
  <c r="G39" s="1"/>
  <c r="G76" i="11"/>
  <c r="G79" s="1"/>
  <c r="G36" i="9"/>
  <c r="G39" s="1"/>
  <c r="E6" i="6"/>
  <c r="E27" s="1"/>
  <c r="G50"/>
  <c r="D75"/>
  <c r="B55" s="1"/>
  <c r="G43" i="7"/>
  <c r="E6"/>
  <c r="E24" s="1"/>
  <c r="E48" s="1"/>
  <c r="E50" s="1"/>
  <c r="D73"/>
  <c r="B48" s="1"/>
  <c r="K75" i="36"/>
  <c r="G76"/>
  <c r="G79" s="1"/>
  <c r="K75" i="8"/>
  <c r="G76"/>
  <c r="G79" s="1"/>
  <c r="E39" i="7"/>
  <c r="E55" i="6" l="1"/>
  <c r="E57" s="1"/>
  <c r="E46" s="1"/>
  <c r="E22" i="7"/>
  <c r="E24" i="3"/>
  <c r="F24"/>
  <c r="G45" i="7"/>
  <c r="K45" s="1"/>
  <c r="G53"/>
  <c r="M21" i="12"/>
  <c r="G46" i="7" l="1"/>
  <c r="G49" s="1"/>
  <c r="G52" i="6"/>
  <c r="E44"/>
  <c r="E21" i="3"/>
  <c r="G18" i="12"/>
  <c r="G19" s="1"/>
  <c r="E25" i="6"/>
  <c r="M23" i="12"/>
  <c r="E31" i="3" l="1"/>
  <c r="E33" s="1"/>
  <c r="H18" i="12"/>
  <c r="G60" i="6" s="1"/>
  <c r="K52"/>
  <c r="G53"/>
  <c r="G56" s="1"/>
  <c r="M27" i="12"/>
  <c r="M26"/>
  <c r="H19" l="1"/>
  <c r="G29" i="35" s="1"/>
  <c r="E30" s="1"/>
  <c r="D31" s="1"/>
  <c r="F33" s="1"/>
  <c r="M30" i="12"/>
  <c r="M29"/>
  <c r="G89" i="10" l="1"/>
  <c r="G89" i="8"/>
  <c r="G45" i="11"/>
  <c r="G55" i="7"/>
  <c r="G89" i="9"/>
  <c r="G89" i="11"/>
  <c r="G45" i="8"/>
  <c r="G62" i="6"/>
  <c r="G45" i="36"/>
  <c r="G45" i="10"/>
  <c r="G85" i="36"/>
  <c r="G45" i="9"/>
</calcChain>
</file>

<file path=xl/sharedStrings.xml><?xml version="1.0" encoding="utf-8"?>
<sst xmlns="http://schemas.openxmlformats.org/spreadsheetml/2006/main" count="1651" uniqueCount="934">
  <si>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</si>
  <si>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</si>
  <si>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</si>
  <si>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</si>
  <si>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</si>
  <si>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</si>
  <si>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</si>
  <si>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</si>
  <si>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</si>
  <si>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</si>
  <si>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</si>
  <si>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</si>
  <si>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</si>
  <si>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</si>
  <si>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</si>
  <si>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</si>
  <si>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</si>
  <si>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</si>
  <si>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</si>
  <si>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</si>
  <si>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</si>
  <si>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</si>
  <si>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</si>
  <si>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</si>
  <si>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</si>
  <si>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</si>
  <si>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</si>
  <si>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</si>
  <si>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</si>
  <si>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</si>
  <si>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</si>
  <si>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</si>
  <si>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</si>
  <si>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</si>
  <si>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</si>
  <si>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</si>
  <si>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</si>
  <si>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</si>
  <si>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</si>
  <si>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</si>
  <si>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</si>
  <si>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</si>
  <si>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</si>
  <si>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</si>
  <si>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</si>
  <si>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</si>
  <si>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</si>
  <si>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</si>
  <si>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</si>
  <si>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</si>
  <si>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</si>
  <si>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</si>
  <si>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</si>
  <si>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</si>
  <si>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</si>
  <si>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</si>
  <si>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</si>
  <si>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</si>
  <si>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</si>
  <si>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</si>
  <si>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</si>
  <si>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</si>
  <si>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</si>
  <si>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</si>
  <si>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</si>
  <si>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</si>
  <si>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</si>
  <si>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</si>
  <si>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</si>
  <si>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</si>
  <si>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</si>
  <si>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</si>
  <si>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</si>
  <si>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</si>
  <si>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</si>
  <si>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</si>
  <si>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</si>
  <si>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</si>
  <si>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</si>
  <si>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</si>
  <si>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</si>
  <si>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</si>
  <si>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</si>
  <si>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</si>
  <si>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</si>
  <si>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</si>
  <si>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</si>
  <si>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</si>
  <si>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</si>
  <si>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</si>
  <si>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</si>
  <si>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</si>
  <si>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</si>
  <si>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</si>
  <si>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</si>
  <si>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</si>
  <si>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</si>
  <si>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</si>
  <si>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</si>
  <si>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</si>
  <si>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</si>
  <si>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</si>
  <si>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</si>
  <si>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</si>
  <si>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</si>
  <si>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</si>
  <si>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</si>
  <si>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</si>
  <si>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</si>
  <si>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</si>
  <si>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</si>
  <si>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</si>
  <si>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</si>
  <si>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</si>
  <si>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</si>
  <si>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</si>
  <si>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</si>
  <si>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</si>
  <si>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</si>
  <si>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</si>
  <si>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</si>
  <si>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</si>
  <si>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</si>
  <si>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</si>
  <si>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</si>
  <si>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</si>
  <si>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</si>
  <si>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</si>
  <si>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</si>
  <si>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</si>
  <si>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</si>
  <si>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</si>
  <si>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</si>
  <si>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</si>
  <si>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</si>
  <si>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</si>
  <si>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</si>
  <si>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</si>
  <si>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</si>
  <si>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</si>
  <si>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</si>
  <si>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</si>
  <si>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</si>
  <si>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</si>
  <si>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</si>
  <si>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</si>
  <si>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</si>
  <si>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</si>
  <si>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</si>
  <si>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</si>
  <si>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</si>
  <si>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</si>
  <si>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</si>
  <si>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</si>
  <si>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</si>
  <si>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</si>
  <si>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</si>
  <si>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</si>
  <si>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</si>
  <si>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</si>
  <si>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</si>
  <si>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</si>
  <si>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</si>
  <si>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</si>
  <si>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</si>
  <si>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</si>
  <si>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</si>
  <si>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</si>
  <si>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</si>
  <si>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</si>
  <si>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</si>
  <si>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</si>
  <si>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</si>
  <si>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</si>
  <si>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</si>
  <si>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</si>
  <si>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</si>
  <si>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</si>
  <si>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</si>
  <si>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</si>
  <si>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</si>
  <si>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</si>
  <si>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</si>
  <si>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</si>
  <si>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</si>
  <si>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</si>
  <si>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</si>
  <si>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</si>
  <si>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</si>
  <si>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</si>
  <si>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</si>
  <si>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</si>
  <si>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</si>
  <si>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</si>
  <si>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</si>
  <si>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</si>
  <si>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</si>
  <si>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</si>
  <si>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</si>
  <si>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</si>
  <si>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</si>
  <si>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</si>
  <si>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</si>
  <si>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</si>
  <si>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</si>
  <si>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</si>
  <si>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</si>
  <si>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</si>
  <si>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</si>
  <si>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</si>
  <si>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</si>
  <si>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</si>
  <si>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</si>
  <si>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</si>
  <si>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</si>
  <si>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</si>
  <si>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</si>
  <si>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</si>
  <si>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</si>
  <si>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</si>
  <si>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</si>
  <si>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</si>
  <si>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</si>
  <si>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</si>
  <si>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</si>
  <si>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</si>
  <si>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</si>
  <si>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</si>
  <si>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</si>
  <si>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</si>
  <si>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</si>
  <si>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</si>
  <si>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</si>
  <si>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</si>
  <si>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</si>
  <si>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</si>
  <si>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</si>
  <si>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</si>
  <si>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</si>
  <si>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</si>
  <si>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</si>
  <si>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</si>
  <si>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</si>
  <si>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</si>
  <si>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</si>
  <si>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</si>
  <si>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</si>
  <si>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</si>
  <si>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</si>
  <si>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</si>
  <si>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</si>
  <si>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</si>
  <si>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</si>
  <si>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</si>
  <si>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</si>
  <si>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</si>
  <si>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</si>
  <si>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</si>
  <si>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</si>
  <si>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</si>
  <si>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</si>
  <si>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</si>
  <si>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</si>
  <si>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</si>
  <si>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</si>
  <si>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</si>
  <si>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</si>
  <si>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</si>
  <si>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</si>
  <si>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</si>
  <si>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</si>
  <si>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</si>
  <si>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</si>
  <si>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</si>
  <si>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</si>
  <si>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</si>
  <si>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</si>
  <si>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</si>
  <si>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</si>
  <si>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</si>
  <si>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</si>
  <si>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</si>
  <si>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</si>
  <si>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</si>
  <si>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</si>
  <si>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</si>
  <si>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</si>
  <si>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</si>
  <si>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</si>
  <si>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</si>
  <si>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</si>
  <si>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</si>
  <si>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</si>
  <si>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</si>
  <si>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</si>
  <si>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</si>
  <si>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</si>
  <si>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</si>
  <si>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</si>
  <si>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</si>
  <si>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</si>
  <si>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</si>
  <si>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</si>
  <si>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</si>
  <si>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</si>
  <si>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</si>
  <si>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</si>
  <si>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</si>
  <si>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</si>
  <si>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</si>
  <si>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</si>
  <si>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</si>
  <si>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</si>
  <si>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</si>
  <si>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</si>
  <si>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</si>
  <si>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</si>
  <si>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</si>
  <si>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</si>
  <si>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</si>
  <si>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</si>
  <si>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</si>
  <si>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</si>
  <si>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</si>
  <si>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</si>
  <si>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</si>
  <si>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</si>
  <si>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</si>
  <si>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</si>
  <si>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</si>
  <si>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</si>
  <si>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</si>
  <si>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</si>
  <si>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</si>
  <si>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</si>
  <si>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</si>
  <si>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</si>
  <si>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</si>
  <si>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</si>
  <si>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</si>
  <si>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</si>
  <si>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</si>
  <si>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</si>
  <si>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</si>
  <si>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</si>
  <si>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</si>
  <si>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</si>
  <si>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</si>
  <si>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</si>
  <si>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</si>
  <si>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</si>
  <si>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</si>
  <si>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</si>
  <si>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</si>
  <si>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</si>
  <si>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</si>
  <si>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</si>
  <si>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</si>
  <si>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</si>
  <si>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</si>
  <si>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</si>
  <si>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</si>
  <si>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</si>
  <si>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</si>
  <si>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</si>
  <si>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</si>
  <si>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</si>
  <si>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</si>
  <si>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</si>
  <si>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</si>
  <si>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</si>
  <si>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</si>
  <si>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</si>
  <si>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</si>
  <si>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</si>
  <si>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</si>
  <si>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</si>
  <si>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</si>
  <si>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</si>
  <si>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</si>
  <si>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</si>
  <si>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</si>
  <si>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</si>
  <si>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</si>
  <si>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</si>
  <si>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</si>
  <si>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</si>
  <si>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</si>
  <si>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</si>
  <si>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</si>
  <si>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</si>
  <si>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</si>
  <si>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</si>
  <si>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</si>
  <si>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</si>
  <si>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</si>
  <si>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</si>
  <si>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</si>
  <si>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</si>
  <si>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</si>
  <si>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</si>
  <si>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</si>
  <si>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</si>
  <si>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</si>
  <si>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</si>
  <si>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</si>
  <si>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</si>
  <si>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</si>
  <si>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</si>
  <si>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</si>
  <si>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</si>
  <si>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</si>
  <si>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</si>
  <si>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</si>
  <si>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</si>
  <si>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</si>
  <si>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</si>
  <si>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</si>
  <si>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</si>
  <si>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</si>
  <si>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</si>
  <si>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</si>
  <si>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</si>
  <si>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</si>
  <si>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</si>
  <si>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</si>
  <si>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</si>
  <si>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</si>
  <si>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</si>
  <si>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</si>
  <si>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</si>
  <si>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</si>
  <si>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</si>
  <si>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</si>
  <si>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</si>
  <si>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</si>
  <si>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</si>
  <si>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</si>
  <si>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</si>
  <si>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</si>
  <si>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</si>
  <si>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</si>
  <si>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</si>
  <si>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</si>
  <si>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</si>
  <si>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</si>
  <si>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</si>
  <si>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</si>
  <si>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</si>
  <si>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</si>
  <si>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</si>
  <si>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</si>
  <si>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</si>
  <si>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</si>
  <si>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</si>
  <si>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</si>
  <si>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</si>
  <si>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</si>
  <si>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</si>
  <si>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</si>
  <si>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</si>
  <si>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</si>
  <si>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</si>
  <si>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</si>
  <si>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</si>
  <si>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</si>
  <si>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</si>
  <si>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</si>
  <si>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</si>
  <si>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</si>
  <si>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</si>
  <si>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</si>
  <si>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</si>
  <si>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</si>
  <si>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</si>
  <si>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</si>
  <si>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</si>
  <si>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</si>
  <si>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</si>
  <si>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</si>
  <si>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</si>
  <si>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</si>
  <si>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</si>
  <si>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</si>
  <si>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</si>
  <si>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</si>
  <si>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</si>
  <si>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</si>
  <si>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</si>
  <si>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</si>
  <si>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</si>
  <si>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</si>
  <si>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</si>
  <si>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</si>
  <si>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</si>
  <si>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</si>
  <si>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</si>
  <si>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</si>
  <si>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</si>
  <si>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</si>
  <si>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</si>
  <si>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</si>
  <si>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</si>
  <si>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</si>
  <si>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</si>
  <si>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</si>
  <si>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</si>
  <si>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</si>
  <si>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</si>
  <si>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</si>
  <si>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</si>
  <si>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</si>
  <si>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</si>
  <si>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</si>
  <si>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</si>
  <si>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</si>
  <si>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</si>
  <si>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</si>
  <si>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</si>
  <si>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</si>
  <si>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</si>
  <si>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</si>
  <si>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</si>
  <si>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</si>
  <si>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</si>
  <si>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</si>
  <si>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</si>
  <si>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</si>
  <si>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</si>
  <si>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</si>
  <si>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</si>
  <si>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</si>
  <si>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</si>
  <si>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</si>
  <si>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</si>
  <si>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</si>
  <si>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</si>
  <si>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</si>
  <si>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</si>
  <si>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</si>
  <si>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</si>
  <si>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</si>
  <si>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</si>
  <si>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</si>
  <si>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</si>
  <si>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</si>
  <si>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</si>
  <si>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</si>
  <si>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</si>
  <si>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</si>
  <si>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</si>
  <si>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</si>
  <si>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</si>
  <si>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</si>
  <si>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</si>
  <si>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</si>
  <si>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</si>
  <si>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</si>
  <si>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</si>
  <si>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</si>
  <si>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</si>
  <si>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</si>
  <si>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</si>
  <si>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</si>
  <si>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</si>
  <si>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</si>
  <si>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</si>
  <si>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</si>
  <si>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</si>
  <si>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</si>
  <si>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</si>
  <si>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</si>
  <si>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</si>
  <si>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</si>
  <si>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</si>
  <si>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</si>
  <si>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</si>
  <si>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</si>
  <si>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</si>
  <si>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</si>
  <si>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</si>
  <si>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</si>
  <si>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</si>
  <si>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</si>
  <si>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</si>
  <si>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</si>
  <si>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</si>
  <si>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</si>
  <si>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</si>
  <si>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</si>
  <si>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</si>
  <si>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</si>
  <si>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</si>
  <si>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</si>
  <si>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</si>
  <si>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</si>
  <si>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</si>
  <si>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</si>
  <si>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</si>
  <si>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</si>
  <si>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</si>
  <si>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</si>
  <si>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</si>
  <si>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</si>
  <si>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</si>
  <si>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</si>
  <si>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</si>
  <si>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</si>
  <si>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</si>
  <si>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</si>
  <si>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</si>
  <si>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</si>
  <si>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</si>
  <si>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</si>
  <si>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</si>
  <si>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</si>
  <si>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</si>
  <si>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</si>
  <si>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</si>
  <si>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</si>
  <si>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</si>
  <si>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</si>
  <si>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</si>
  <si>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</si>
  <si>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</si>
  <si>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</si>
  <si>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</si>
  <si>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</si>
  <si>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</si>
  <si>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</si>
  <si>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</si>
  <si>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</si>
  <si>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</si>
  <si>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</si>
  <si>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</si>
  <si>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</si>
  <si>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</si>
  <si>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</si>
  <si>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</si>
  <si>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</si>
  <si>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</si>
  <si>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</si>
  <si>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</si>
  <si>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</si>
  <si>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</si>
  <si>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</si>
  <si>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</si>
  <si>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</si>
  <si>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</si>
  <si>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</si>
  <si>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</si>
  <si>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</si>
  <si>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</si>
  <si>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</si>
  <si>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</si>
  <si>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</si>
  <si>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</si>
  <si>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</si>
  <si>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</si>
  <si>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</si>
  <si>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</si>
  <si>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</si>
  <si>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</si>
  <si>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</si>
  <si>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</si>
  <si>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</si>
  <si>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</si>
  <si>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</si>
  <si>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</si>
  <si>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</si>
  <si>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</si>
  <si>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</si>
  <si>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</si>
  <si>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</si>
  <si>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</si>
  <si>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</si>
  <si>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</si>
  <si>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</si>
  <si>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</si>
  <si>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</si>
  <si>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</si>
  <si>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</si>
  <si>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</si>
  <si>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</si>
  <si>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</si>
  <si>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</si>
  <si>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</si>
  <si>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</si>
  <si>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</si>
  <si>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</si>
  <si>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</si>
  <si>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</si>
  <si>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</si>
  <si>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</si>
  <si>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</si>
  <si>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</si>
  <si>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</si>
  <si>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</si>
  <si>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</si>
  <si>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</si>
  <si>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</si>
  <si>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</si>
  <si>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</si>
  <si>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</si>
  <si>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</si>
  <si>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</si>
  <si>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</si>
  <si>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</si>
  <si>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</si>
  <si>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</si>
  <si>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</si>
  <si>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</si>
  <si>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</si>
  <si>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</si>
  <si>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</si>
  <si>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</si>
  <si>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</si>
  <si>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</si>
  <si>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</si>
  <si>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</si>
  <si>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</si>
  <si>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</si>
  <si>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</si>
  <si>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</si>
  <si>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</si>
  <si>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</si>
  <si>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</si>
  <si>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</si>
  <si>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</si>
  <si>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</si>
  <si>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</si>
  <si>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</si>
  <si>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</si>
  <si>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</si>
  <si>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</si>
  <si>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</si>
  <si>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</si>
  <si>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</si>
  <si>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</si>
  <si>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</si>
  <si>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</si>
  <si>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</si>
  <si>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</si>
  <si>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</si>
  <si>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</si>
  <si>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</si>
  <si>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</si>
  <si>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</si>
  <si>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</si>
  <si>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</si>
  <si>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</si>
  <si>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</si>
  <si>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</si>
  <si>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</si>
  <si>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</si>
  <si>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</si>
  <si>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</si>
  <si>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</si>
  <si>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</si>
  <si>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</si>
  <si>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</si>
  <si>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</si>
  <si>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</si>
  <si>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</si>
  <si>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</si>
  <si>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</si>
  <si>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</si>
  <si>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</si>
  <si>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</si>
  <si>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</si>
  <si>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</si>
  <si>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</si>
  <si>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</si>
  <si>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</si>
  <si>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</si>
  <si>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</si>
  <si>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</si>
  <si>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</si>
  <si>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</si>
  <si>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</si>
  <si>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</si>
  <si>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</si>
  <si>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</si>
  <si>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</si>
  <si>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</si>
  <si>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</si>
  <si>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</si>
  <si>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</si>
  <si>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</si>
  <si>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</si>
  <si>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</si>
  <si>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</si>
  <si>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</si>
  <si>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</si>
  <si>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</si>
  <si>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</si>
  <si>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</si>
  <si>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</si>
  <si>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</si>
  <si>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</si>
  <si>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</si>
  <si>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</si>
  <si>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</si>
  <si>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</si>
  <si>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</si>
  <si>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</si>
  <si>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</si>
  <si>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</si>
  <si>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</si>
  <si>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</si>
  <si>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</si>
  <si>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</si>
  <si>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</si>
  <si>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</si>
  <si>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</si>
  <si>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</si>
  <si>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</si>
  <si>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</si>
  <si>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</si>
  <si>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</si>
  <si>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</si>
  <si>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</si>
  <si>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</si>
  <si>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</si>
  <si>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</si>
  <si>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</si>
  <si>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</si>
  <si>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</si>
  <si>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</si>
  <si>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</si>
  <si>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</si>
  <si>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</si>
  <si>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</si>
  <si>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</si>
  <si>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</si>
  <si>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</si>
  <si>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</si>
  <si>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</si>
  <si>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</si>
  <si>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</si>
  <si>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</si>
  <si>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</si>
  <si>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</si>
  <si>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</si>
  <si>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</si>
  <si>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</si>
  <si>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</si>
  <si>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</si>
  <si>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</si>
  <si>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</si>
  <si>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</si>
  <si>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</si>
  <si>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</si>
  <si>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</si>
  <si>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</si>
  <si>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</si>
  <si>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</si>
  <si>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</si>
  <si>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</si>
  <si>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</si>
  <si>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</si>
  <si>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</si>
  <si>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</si>
  <si>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</si>
  <si>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</si>
  <si>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</si>
  <si>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</si>
  <si>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</si>
  <si>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</si>
  <si>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</si>
  <si>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</si>
  <si>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</si>
  <si>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</si>
  <si>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</si>
  <si>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</si>
  <si>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</si>
  <si>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</si>
  <si>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</si>
  <si>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</si>
  <si>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</si>
  <si>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</si>
  <si>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</si>
  <si>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</si>
  <si>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</si>
  <si>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</si>
  <si>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</si>
  <si>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</si>
  <si>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</si>
  <si>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</si>
  <si>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</si>
  <si>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</si>
  <si>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</si>
  <si>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</si>
  <si>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</si>
  <si>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</si>
  <si>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</si>
  <si>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</si>
  <si>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</si>
  <si>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</si>
  <si>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</si>
  <si>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</si>
  <si>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</si>
  <si>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</si>
  <si>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</si>
  <si>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</si>
  <si>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</si>
  <si>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</si>
  <si>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</si>
  <si>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</si>
  <si>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</si>
  <si>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</si>
  <si>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</si>
  <si>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</si>
  <si>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</si>
  <si>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</si>
  <si>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</si>
  <si>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</si>
  <si>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</si>
  <si>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</si>
  <si>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</si>
  <si>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</si>
  <si>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</si>
  <si>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</si>
  <si>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Williamsburg Township</t>
  </si>
  <si>
    <t>Williamsburg City</t>
  </si>
  <si>
    <t>6:30 p.m.</t>
  </si>
  <si>
    <t>Williamsburg Community Building</t>
  </si>
  <si>
    <t>Publication</t>
  </si>
  <si>
    <t>Williamsburg Library</t>
  </si>
  <si>
    <t xml:space="preserve">            /s/ Roger Shoemaker</t>
  </si>
  <si>
    <t>August 15, 2013</t>
  </si>
  <si>
    <t>Roger Shoemaker</t>
  </si>
  <si>
    <t>Clerk</t>
  </si>
  <si>
    <t xml:space="preserve">Capital Outlay </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</si>
</sst>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6">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523875</xdr:colOff>
      <xdr:row>49</xdr:row>
      <xdr:rowOff>66676</xdr:rowOff>
    </xdr:to>
    <xdr:pic>
      <xdr:nvPicPr>
        <xdr:cNvPr id="10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905875" cy="9867900"/>
        </a:xfrm>
        <a:prstGeom prst="rect">
          <a:avLst/>
        </a:prstGeom>
        <a:noFill/>
      </xdr:spPr>
    </xdr:pic>
    <xdr:clientData/>
  </xdr:twoCellAnchor>
  <xdr:twoCellAnchor editAs="oneCell">
    <xdr:from>
      <xdr:col>0</xdr:col>
      <xdr:colOff>1</xdr:colOff>
      <xdr:row>52</xdr:row>
      <xdr:rowOff>1</xdr:rowOff>
    </xdr:from>
    <xdr:to>
      <xdr:col>10</xdr:col>
      <xdr:colOff>361951</xdr:colOff>
      <xdr:row>99</xdr:row>
      <xdr:rowOff>104776</xdr:rowOff>
    </xdr:to>
    <xdr:pic>
      <xdr:nvPicPr>
        <xdr:cNvPr id="1028"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 y="10401301"/>
          <a:ext cx="8743950" cy="95059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11" customWidth="1"/>
    <col min="2" max="16384" width="8.796875" style="111"/>
  </cols>
  <sheetData>
    <row r="1" spans="1:1">
      <c r="A1" s="202" t="s">
        <v>317</v>
      </c>
    </row>
    <row r="3" spans="1:1" ht="34.5" customHeight="1">
      <c r="A3" s="203" t="s">
        <v>119</v>
      </c>
    </row>
    <row r="4" spans="1:1">
      <c r="A4" s="204"/>
    </row>
    <row r="5" spans="1:1" ht="52.5" customHeight="1">
      <c r="A5" s="205" t="s">
        <v>318</v>
      </c>
    </row>
    <row r="6" spans="1:1">
      <c r="A6" s="205"/>
    </row>
    <row r="7" spans="1:1" ht="51" customHeight="1">
      <c r="A7" s="205" t="s">
        <v>843</v>
      </c>
    </row>
    <row r="8" spans="1:1">
      <c r="A8" s="205"/>
    </row>
    <row r="9" spans="1:1">
      <c r="A9" s="205" t="s">
        <v>120</v>
      </c>
    </row>
    <row r="12" spans="1:1">
      <c r="A12" s="202" t="s">
        <v>172</v>
      </c>
    </row>
    <row r="14" spans="1:1">
      <c r="A14" s="204" t="s">
        <v>173</v>
      </c>
    </row>
    <row r="17" spans="1:1" ht="38.25" customHeight="1">
      <c r="A17" s="206" t="s">
        <v>293</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379</v>
      </c>
    </row>
    <row r="39" spans="1:1">
      <c r="A39" s="202" t="s">
        <v>126</v>
      </c>
    </row>
    <row r="41" spans="1:1" ht="70.5" customHeight="1">
      <c r="A41" s="205" t="s">
        <v>747</v>
      </c>
    </row>
    <row r="42" spans="1:1" ht="52.5" customHeight="1">
      <c r="A42" s="212" t="s">
        <v>127</v>
      </c>
    </row>
    <row r="43" spans="1:1" ht="33" customHeight="1">
      <c r="A43" s="205" t="s">
        <v>155</v>
      </c>
    </row>
    <row r="44" spans="1:1" ht="106.5" customHeight="1">
      <c r="A44" s="719" t="s">
        <v>844</v>
      </c>
    </row>
    <row r="45" spans="1:1" ht="10.5" customHeight="1">
      <c r="A45" s="205"/>
    </row>
    <row r="46" spans="1:1" ht="108" customHeight="1">
      <c r="A46" s="205" t="s">
        <v>748</v>
      </c>
    </row>
    <row r="47" spans="1:1" ht="59.25" customHeight="1">
      <c r="A47" s="205" t="s">
        <v>128</v>
      </c>
    </row>
    <row r="48" spans="1:1" ht="101.25" customHeight="1">
      <c r="A48" s="205" t="s">
        <v>212</v>
      </c>
    </row>
    <row r="49" spans="1:1" ht="74.25" customHeight="1">
      <c r="A49" s="205" t="s">
        <v>380</v>
      </c>
    </row>
    <row r="50" spans="1:1" ht="69.75" customHeight="1">
      <c r="A50" s="205" t="s">
        <v>387</v>
      </c>
    </row>
    <row r="51" spans="1:1" ht="58.5" customHeight="1">
      <c r="A51" s="720" t="s">
        <v>845</v>
      </c>
    </row>
    <row r="52" spans="1:1" ht="12" customHeight="1">
      <c r="A52" s="205"/>
    </row>
    <row r="53" spans="1:1" ht="81" customHeight="1">
      <c r="A53" s="205" t="s">
        <v>381</v>
      </c>
    </row>
    <row r="54" spans="1:1" ht="81" customHeight="1">
      <c r="A54" s="205" t="s">
        <v>600</v>
      </c>
    </row>
    <row r="55" spans="1:1" ht="81" customHeight="1">
      <c r="A55" s="205" t="s">
        <v>846</v>
      </c>
    </row>
    <row r="56" spans="1:1" ht="48" customHeight="1">
      <c r="A56" s="720" t="s">
        <v>847</v>
      </c>
    </row>
    <row r="57" spans="1:1" ht="84.75" customHeight="1">
      <c r="A57" s="721" t="s">
        <v>848</v>
      </c>
    </row>
    <row r="58" spans="1:1" ht="11.25" customHeight="1"/>
    <row r="59" spans="1:1" ht="72" customHeight="1">
      <c r="A59" s="205" t="s">
        <v>382</v>
      </c>
    </row>
    <row r="60" spans="1:1" ht="54" customHeight="1">
      <c r="A60" s="205" t="s">
        <v>383</v>
      </c>
    </row>
    <row r="61" spans="1:1" ht="54.75" customHeight="1">
      <c r="A61" s="205" t="s">
        <v>384</v>
      </c>
    </row>
    <row r="62" spans="1:1" ht="14.25" customHeight="1">
      <c r="A62" s="205"/>
    </row>
    <row r="63" spans="1:1" ht="68.25" customHeight="1">
      <c r="A63" s="721" t="s">
        <v>849</v>
      </c>
    </row>
    <row r="64" spans="1:1" ht="12.75" customHeight="1">
      <c r="A64" s="205"/>
    </row>
    <row r="65" spans="1:1" ht="41.25" customHeight="1">
      <c r="A65" s="205" t="s">
        <v>385</v>
      </c>
    </row>
    <row r="66" spans="1:1" ht="24" customHeight="1">
      <c r="A66" s="205" t="s">
        <v>606</v>
      </c>
    </row>
    <row r="67" spans="1:1" ht="72" customHeight="1">
      <c r="A67" s="205" t="s">
        <v>607</v>
      </c>
    </row>
    <row r="68" spans="1:1" ht="56.25" customHeight="1">
      <c r="A68" s="205" t="s">
        <v>604</v>
      </c>
    </row>
    <row r="69" spans="1:1">
      <c r="A69" s="205" t="s">
        <v>605</v>
      </c>
    </row>
    <row r="70" spans="1:1" ht="15.75" customHeight="1">
      <c r="A70" s="205"/>
    </row>
    <row r="71" spans="1:1" ht="68.25" customHeight="1">
      <c r="A71" s="205" t="s">
        <v>386</v>
      </c>
    </row>
    <row r="72" spans="1:1" s="205" customFormat="1" ht="14.25" customHeight="1">
      <c r="A72" s="111"/>
    </row>
    <row r="73" spans="1:1" ht="87.75" customHeight="1">
      <c r="A73" s="205" t="s">
        <v>388</v>
      </c>
    </row>
    <row r="74" spans="1:1" ht="12" customHeight="1">
      <c r="A74" s="205"/>
    </row>
    <row r="75" spans="1:1" ht="141" customHeight="1">
      <c r="A75" s="721" t="s">
        <v>850</v>
      </c>
    </row>
    <row r="76" spans="1:1" ht="12" customHeight="1"/>
    <row r="77" spans="1:1" ht="78.75" customHeight="1">
      <c r="A77" s="205" t="s">
        <v>852</v>
      </c>
    </row>
    <row r="78" spans="1:1" ht="78.75" customHeight="1">
      <c r="A78" s="721" t="s">
        <v>851</v>
      </c>
    </row>
    <row r="79" spans="1:1" ht="86.25" customHeight="1">
      <c r="A79" s="523" t="s">
        <v>853</v>
      </c>
    </row>
    <row r="80" spans="1:1" ht="78.75" customHeight="1">
      <c r="A80" s="523" t="s">
        <v>854</v>
      </c>
    </row>
    <row r="81" spans="1:1" ht="78.75" customHeight="1">
      <c r="A81" s="523" t="s">
        <v>855</v>
      </c>
    </row>
    <row r="82" spans="1:1" ht="73.5" customHeight="1">
      <c r="A82" s="205" t="s">
        <v>856</v>
      </c>
    </row>
    <row r="83" spans="1:1" ht="120.75" customHeight="1">
      <c r="A83" s="205" t="s">
        <v>857</v>
      </c>
    </row>
    <row r="84" spans="1:1" ht="72.75" customHeight="1">
      <c r="A84" s="205" t="s">
        <v>858</v>
      </c>
    </row>
    <row r="85" spans="1:1" ht="100.5" customHeight="1">
      <c r="A85" s="205" t="s">
        <v>859</v>
      </c>
    </row>
    <row r="86" spans="1:1" ht="110.25" customHeight="1">
      <c r="A86" s="205" t="s">
        <v>860</v>
      </c>
    </row>
    <row r="87" spans="1:1" ht="100.5" customHeight="1">
      <c r="A87" s="213" t="s">
        <v>861</v>
      </c>
    </row>
    <row r="88" spans="1:1" ht="61.5" customHeight="1">
      <c r="A88" s="349" t="s">
        <v>862</v>
      </c>
    </row>
    <row r="89" spans="1:1" ht="120.75" customHeight="1">
      <c r="A89" s="205" t="s">
        <v>914</v>
      </c>
    </row>
    <row r="90" spans="1:1" ht="86.25" customHeight="1">
      <c r="A90" s="213" t="s">
        <v>863</v>
      </c>
    </row>
    <row r="91" spans="1:1" ht="101.25" customHeight="1">
      <c r="A91" s="213" t="s">
        <v>913</v>
      </c>
    </row>
    <row r="92" spans="1:1" ht="133.5" customHeight="1">
      <c r="A92" s="205" t="s">
        <v>864</v>
      </c>
    </row>
    <row r="93" spans="1:1" ht="137.25" customHeight="1">
      <c r="A93" s="205" t="s">
        <v>865</v>
      </c>
    </row>
    <row r="94" spans="1:1" ht="101.25" customHeight="1">
      <c r="A94" s="205" t="s">
        <v>866</v>
      </c>
    </row>
    <row r="95" spans="1:1" ht="9.75" customHeight="1">
      <c r="A95" s="213"/>
    </row>
    <row r="96" spans="1:1" ht="119.25" customHeight="1">
      <c r="A96" s="205" t="s">
        <v>867</v>
      </c>
    </row>
    <row r="97" spans="1:1" ht="117" customHeight="1">
      <c r="A97" s="213" t="s">
        <v>868</v>
      </c>
    </row>
    <row r="98" spans="1:1" ht="58.5" customHeight="1">
      <c r="A98" s="213" t="s">
        <v>869</v>
      </c>
    </row>
    <row r="99" spans="1:1" ht="21" customHeight="1">
      <c r="A99" s="205" t="s">
        <v>870</v>
      </c>
    </row>
    <row r="100" spans="1:1" ht="3.75" customHeight="1"/>
    <row r="101" spans="1:1" ht="64.5" customHeight="1">
      <c r="A101" s="205" t="s">
        <v>871</v>
      </c>
    </row>
    <row r="102" spans="1:1" ht="22.5" customHeight="1">
      <c r="A102" s="205" t="s">
        <v>872</v>
      </c>
    </row>
    <row r="103" spans="1:1" ht="40.5" customHeight="1">
      <c r="A103" s="523" t="s">
        <v>873</v>
      </c>
    </row>
    <row r="104" spans="1:1" ht="115.5" customHeight="1">
      <c r="A104" s="523" t="s">
        <v>874</v>
      </c>
    </row>
    <row r="105" spans="1:1" ht="116.25" customHeight="1">
      <c r="A105" s="523" t="s">
        <v>875</v>
      </c>
    </row>
    <row r="106" spans="1:1" ht="90" customHeight="1">
      <c r="A106" s="205" t="s">
        <v>876</v>
      </c>
    </row>
    <row r="107" spans="1:1" ht="74.25" customHeight="1">
      <c r="A107" s="722" t="s">
        <v>877</v>
      </c>
    </row>
    <row r="108" spans="1:1" ht="61.5" customHeight="1">
      <c r="A108" s="205" t="s">
        <v>878</v>
      </c>
    </row>
    <row r="109" spans="1:1" ht="9" customHeight="1"/>
    <row r="110" spans="1:1" ht="78.75" customHeight="1">
      <c r="A110" s="205" t="s">
        <v>879</v>
      </c>
    </row>
    <row r="112" spans="1:1" ht="73.5" customHeight="1">
      <c r="A112" s="523" t="s">
        <v>880</v>
      </c>
    </row>
    <row r="113" spans="1:1" ht="108" customHeight="1">
      <c r="A113" s="523" t="s">
        <v>881</v>
      </c>
    </row>
    <row r="114" spans="1:1" ht="96" customHeight="1">
      <c r="A114" s="523" t="s">
        <v>882</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7" customWidth="1"/>
    <col min="2" max="16384" width="8.796875" style="107"/>
  </cols>
  <sheetData>
    <row r="1" spans="1:1" ht="18.75">
      <c r="A1" s="354" t="s">
        <v>314</v>
      </c>
    </row>
    <row r="2" spans="1:1">
      <c r="A2" s="111"/>
    </row>
    <row r="3" spans="1:1">
      <c r="A3" s="111"/>
    </row>
    <row r="4" spans="1:1" ht="52.5" customHeight="1">
      <c r="A4" s="207" t="s">
        <v>351</v>
      </c>
    </row>
    <row r="5" spans="1:1">
      <c r="A5" s="111"/>
    </row>
    <row r="6" spans="1:1">
      <c r="A6" s="111"/>
    </row>
    <row r="7" spans="1:1" ht="70.5" customHeight="1">
      <c r="A7" s="207" t="s">
        <v>352</v>
      </c>
    </row>
    <row r="8" spans="1:1">
      <c r="A8" s="350"/>
    </row>
    <row r="9" spans="1:1">
      <c r="A9" s="111"/>
    </row>
    <row r="10" spans="1:1" ht="56.25" customHeight="1">
      <c r="A10" s="207" t="s">
        <v>353</v>
      </c>
    </row>
    <row r="11" spans="1:1">
      <c r="A11" s="350"/>
    </row>
    <row r="12" spans="1:1">
      <c r="A12" s="350"/>
    </row>
    <row r="13" spans="1:1" ht="57.75" customHeight="1">
      <c r="A13" s="207" t="s">
        <v>354</v>
      </c>
    </row>
    <row r="14" spans="1:1">
      <c r="A14" s="350"/>
    </row>
    <row r="15" spans="1:1">
      <c r="A15" s="350"/>
    </row>
    <row r="16" spans="1:1" ht="87.75" customHeight="1">
      <c r="A16" s="207" t="s">
        <v>355</v>
      </c>
    </row>
    <row r="17" spans="1:1">
      <c r="A17" s="350"/>
    </row>
    <row r="18" spans="1:1">
      <c r="A18" s="111"/>
    </row>
    <row r="19" spans="1:1" ht="54.75" customHeight="1">
      <c r="A19" s="207" t="s">
        <v>356</v>
      </c>
    </row>
    <row r="20" spans="1:1">
      <c r="A20" s="111"/>
    </row>
    <row r="21" spans="1:1">
      <c r="A21" s="111"/>
    </row>
    <row r="22" spans="1:1" ht="69" customHeight="1">
      <c r="A22" s="207" t="s">
        <v>357</v>
      </c>
    </row>
    <row r="23" spans="1:1">
      <c r="A23" s="111"/>
    </row>
    <row r="24" spans="1:1">
      <c r="A24" s="351"/>
    </row>
    <row r="25" spans="1:1" ht="47.25" customHeight="1">
      <c r="A25" s="352" t="s">
        <v>358</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Williamsburg Township</v>
      </c>
      <c r="C1" s="265"/>
      <c r="D1" s="265"/>
      <c r="E1" s="265"/>
      <c r="F1" s="265"/>
      <c r="G1" s="265"/>
      <c r="H1" s="265"/>
      <c r="I1" s="265"/>
      <c r="J1" s="65"/>
      <c r="K1" s="65"/>
      <c r="L1" s="215">
        <f>inputPrYr!D9</f>
        <v>2014</v>
      </c>
    </row>
    <row r="2" spans="1:12">
      <c r="A2" s="289"/>
      <c r="B2" s="264" t="str">
        <f>inputPrYr!$D$4</f>
        <v>Franklin County</v>
      </c>
      <c r="C2" s="265"/>
      <c r="D2" s="265"/>
      <c r="E2" s="265"/>
      <c r="F2" s="265"/>
      <c r="G2" s="265"/>
      <c r="H2" s="265"/>
      <c r="I2" s="265"/>
      <c r="J2" s="65"/>
      <c r="K2" s="65"/>
      <c r="L2" s="200"/>
    </row>
    <row r="3" spans="1:12">
      <c r="A3" s="289"/>
      <c r="B3" s="784" t="s">
        <v>22</v>
      </c>
      <c r="C3" s="773"/>
      <c r="D3" s="773"/>
      <c r="E3" s="773"/>
      <c r="F3" s="773"/>
      <c r="G3" s="773"/>
      <c r="H3" s="773"/>
      <c r="I3" s="773"/>
      <c r="J3" s="773"/>
      <c r="K3" s="773"/>
      <c r="L3" s="773"/>
    </row>
    <row r="4" spans="1:12">
      <c r="A4" s="289"/>
      <c r="B4" s="265"/>
      <c r="C4" s="265"/>
      <c r="D4" s="265"/>
      <c r="E4" s="265"/>
      <c r="F4" s="265"/>
      <c r="G4" s="265"/>
      <c r="H4" s="265"/>
      <c r="I4" s="265"/>
      <c r="J4" s="265"/>
      <c r="K4" s="265"/>
      <c r="L4" s="265"/>
    </row>
    <row r="5" spans="1:12">
      <c r="A5" s="289"/>
      <c r="B5" s="219" t="s">
        <v>760</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2013</v>
      </c>
      <c r="J6" s="271"/>
      <c r="K6" s="270">
        <f>L1</f>
        <v>2014</v>
      </c>
      <c r="L6" s="271"/>
    </row>
    <row r="7" spans="1:12">
      <c r="A7" s="289"/>
      <c r="B7" s="221" t="s">
        <v>761</v>
      </c>
      <c r="C7" s="221" t="s">
        <v>6</v>
      </c>
      <c r="D7" s="221" t="s">
        <v>277</v>
      </c>
      <c r="E7" s="221" t="s">
        <v>7</v>
      </c>
      <c r="F7" s="272" t="str">
        <f>CONCATENATE("Jan 1,",L1-1,"")</f>
        <v>Jan 1,2013</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4" t="s">
        <v>21</v>
      </c>
      <c r="C18" s="773"/>
      <c r="D18" s="773"/>
      <c r="E18" s="773"/>
      <c r="F18" s="773"/>
      <c r="G18" s="773"/>
      <c r="H18" s="773"/>
      <c r="I18" s="773"/>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762</v>
      </c>
      <c r="C22" s="269" t="s">
        <v>12</v>
      </c>
      <c r="D22" s="269" t="s">
        <v>13</v>
      </c>
      <c r="E22" s="269" t="s">
        <v>251</v>
      </c>
      <c r="F22" s="269" t="s">
        <v>14</v>
      </c>
      <c r="G22" s="269" t="s">
        <v>54</v>
      </c>
      <c r="H22" s="269" t="s">
        <v>15</v>
      </c>
      <c r="I22" s="269" t="s">
        <v>15</v>
      </c>
      <c r="J22" s="289"/>
      <c r="K22" s="289"/>
      <c r="L22" s="289"/>
    </row>
    <row r="23" spans="1:25" s="290" customFormat="1">
      <c r="A23" s="289"/>
      <c r="B23" s="221" t="s">
        <v>763</v>
      </c>
      <c r="C23" s="221" t="s">
        <v>2</v>
      </c>
      <c r="D23" s="295" t="s">
        <v>16</v>
      </c>
      <c r="E23" s="221" t="s">
        <v>277</v>
      </c>
      <c r="F23" s="295" t="s">
        <v>71</v>
      </c>
      <c r="G23" s="272" t="str">
        <f>CONCATENATE("Jan 1,",L1-1,"")</f>
        <v>Jan 1,2013</v>
      </c>
      <c r="H23" s="221">
        <f>L1-1</f>
        <v>2013</v>
      </c>
      <c r="I23" s="221">
        <f>L1</f>
        <v>2014</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87" t="s">
        <v>784</v>
      </c>
      <c r="C2" s="787"/>
      <c r="D2" s="787"/>
      <c r="E2" s="787"/>
      <c r="F2" s="787"/>
      <c r="G2" s="787"/>
      <c r="H2" s="787"/>
      <c r="I2" s="787"/>
    </row>
    <row r="3" spans="2:9" ht="15.75">
      <c r="B3" s="787" t="s">
        <v>785</v>
      </c>
      <c r="C3" s="787"/>
      <c r="D3" s="787"/>
      <c r="E3" s="787"/>
      <c r="F3" s="787"/>
      <c r="G3" s="787"/>
      <c r="H3" s="787"/>
      <c r="I3" s="787"/>
    </row>
    <row r="4" spans="2:9" ht="15.75">
      <c r="B4" s="574"/>
      <c r="C4" s="574"/>
      <c r="D4" s="574"/>
      <c r="E4" s="574"/>
      <c r="F4" s="574"/>
      <c r="G4" s="574"/>
      <c r="H4" s="574"/>
      <c r="I4" s="574"/>
    </row>
    <row r="5" spans="2:9" ht="15.75">
      <c r="B5" s="788" t="str">
        <f>CONCATENATE("Budgeted Year: ",inputPrYr!D9,"")</f>
        <v>Budgeted Year: 2014</v>
      </c>
      <c r="C5" s="788"/>
      <c r="D5" s="788"/>
      <c r="E5" s="788"/>
      <c r="F5" s="788"/>
      <c r="G5" s="788"/>
      <c r="H5" s="788"/>
      <c r="I5" s="788"/>
    </row>
    <row r="6" spans="2:9" ht="15.75">
      <c r="B6" s="575"/>
      <c r="C6" s="574"/>
      <c r="D6" s="574"/>
      <c r="E6" s="574"/>
      <c r="F6" s="574"/>
      <c r="G6" s="574"/>
      <c r="H6" s="574"/>
      <c r="I6" s="574"/>
    </row>
    <row r="7" spans="2:9" ht="15.75">
      <c r="B7" s="575" t="str">
        <f>CONCATENATE("Library found in: ",inputPrYr!D3,"")</f>
        <v>Library found in: Williamsburg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89" t="s">
        <v>786</v>
      </c>
      <c r="C10" s="789"/>
      <c r="D10" s="789"/>
      <c r="E10" s="789"/>
      <c r="F10" s="789"/>
      <c r="G10" s="789"/>
      <c r="H10" s="789"/>
      <c r="I10" s="789"/>
    </row>
    <row r="11" spans="2:9" ht="15.75">
      <c r="B11" s="574"/>
      <c r="C11" s="574"/>
      <c r="D11" s="574"/>
      <c r="E11" s="574"/>
      <c r="F11" s="574"/>
      <c r="G11" s="574"/>
      <c r="H11" s="574"/>
      <c r="I11" s="574"/>
    </row>
    <row r="12" spans="2:9" ht="15.75">
      <c r="B12" s="576" t="s">
        <v>787</v>
      </c>
      <c r="C12" s="574"/>
      <c r="D12" s="574"/>
      <c r="E12" s="574"/>
      <c r="F12" s="574"/>
      <c r="G12" s="574"/>
      <c r="H12" s="574"/>
      <c r="I12" s="574"/>
    </row>
    <row r="13" spans="2:9" ht="15.75">
      <c r="B13" s="574"/>
      <c r="C13" s="574"/>
      <c r="D13" s="574"/>
      <c r="E13" s="577" t="s">
        <v>260</v>
      </c>
      <c r="F13" s="574"/>
      <c r="G13" s="577" t="s">
        <v>788</v>
      </c>
      <c r="H13" s="574"/>
      <c r="I13" s="574"/>
    </row>
    <row r="14" spans="2:9" ht="15.75">
      <c r="B14" s="574"/>
      <c r="C14" s="574"/>
      <c r="D14" s="574"/>
      <c r="E14" s="578">
        <f>inputPrYr!D9-1</f>
        <v>2013</v>
      </c>
      <c r="F14" s="574"/>
      <c r="G14" s="578">
        <f>inputPrYr!D9</f>
        <v>2014</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789</v>
      </c>
      <c r="C22" s="574"/>
      <c r="D22" s="574"/>
      <c r="E22" s="580">
        <f>SUM(E15:E21)</f>
        <v>0</v>
      </c>
      <c r="F22" s="574"/>
      <c r="G22" s="580">
        <f>SUM(G15:G21)</f>
        <v>0</v>
      </c>
      <c r="H22" s="574"/>
      <c r="I22" s="574"/>
    </row>
    <row r="23" spans="2:9" ht="15.75">
      <c r="B23" s="574" t="s">
        <v>790</v>
      </c>
      <c r="C23" s="574"/>
      <c r="D23" s="574"/>
      <c r="E23" s="581">
        <f>G22-E22</f>
        <v>0</v>
      </c>
      <c r="F23" s="574"/>
      <c r="G23" s="582"/>
      <c r="H23" s="574"/>
      <c r="I23" s="574"/>
    </row>
    <row r="24" spans="2:9" ht="15.75">
      <c r="B24" s="574" t="s">
        <v>791</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792</v>
      </c>
      <c r="C26" s="574"/>
      <c r="D26" s="574"/>
      <c r="E26" s="574"/>
      <c r="F26" s="574"/>
      <c r="G26" s="574"/>
      <c r="H26" s="574"/>
      <c r="I26" s="574"/>
    </row>
    <row r="27" spans="2:9" ht="15.75">
      <c r="B27" s="574" t="s">
        <v>793</v>
      </c>
      <c r="C27" s="574"/>
      <c r="D27" s="574"/>
      <c r="E27" s="579">
        <f>summ!D23</f>
        <v>5308337</v>
      </c>
      <c r="F27" s="574"/>
      <c r="G27" s="579">
        <f>summ!F23</f>
        <v>5107956</v>
      </c>
      <c r="H27" s="574"/>
      <c r="I27" s="574"/>
    </row>
    <row r="28" spans="2:9" ht="15.75">
      <c r="B28" s="574" t="s">
        <v>794</v>
      </c>
      <c r="C28" s="574"/>
      <c r="D28" s="574"/>
      <c r="E28" s="584" t="str">
        <f>IF(G27-E27&gt;0,"No","Yes")</f>
        <v>Yes</v>
      </c>
      <c r="F28" s="574"/>
      <c r="G28" s="574"/>
      <c r="H28" s="574"/>
      <c r="I28" s="574"/>
    </row>
    <row r="29" spans="2:9" ht="15.75">
      <c r="B29" s="574" t="s">
        <v>795</v>
      </c>
      <c r="C29" s="574"/>
      <c r="D29" s="574"/>
      <c r="E29" s="585">
        <f>summ!E19</f>
        <v>0</v>
      </c>
      <c r="F29" s="574"/>
      <c r="G29" s="585">
        <f>summ!H19</f>
        <v>0.747</v>
      </c>
      <c r="H29" s="574"/>
      <c r="I29" s="574"/>
    </row>
    <row r="30" spans="2:9" ht="15.75">
      <c r="B30" s="574" t="s">
        <v>796</v>
      </c>
      <c r="C30" s="574"/>
      <c r="D30" s="574"/>
      <c r="E30" s="586">
        <f>G29-E29</f>
        <v>0.747</v>
      </c>
      <c r="F30" s="574"/>
      <c r="G30" s="574"/>
      <c r="H30" s="574"/>
      <c r="I30" s="574"/>
    </row>
    <row r="31" spans="2:9" ht="15.75">
      <c r="B31" s="574" t="s">
        <v>791</v>
      </c>
      <c r="C31" s="574"/>
      <c r="D31" s="587" t="str">
        <f>IF(E30&gt;=0,"Qualify","Not Qualify")</f>
        <v>Qualify</v>
      </c>
      <c r="E31" s="574"/>
      <c r="F31" s="574"/>
      <c r="G31" s="574"/>
      <c r="H31" s="574"/>
      <c r="I31" s="574"/>
    </row>
    <row r="32" spans="2:9" ht="15.75">
      <c r="B32" s="574"/>
      <c r="C32" s="574"/>
      <c r="D32" s="574"/>
      <c r="E32" s="574"/>
      <c r="F32" s="574"/>
      <c r="G32" s="574"/>
      <c r="H32" s="574"/>
      <c r="I32" s="574"/>
    </row>
    <row r="33" spans="2:9" ht="15.75">
      <c r="B33" s="574" t="s">
        <v>797</v>
      </c>
      <c r="C33" s="574"/>
      <c r="D33" s="574"/>
      <c r="E33" s="574"/>
      <c r="F33" s="588" t="str">
        <f>IF(D24="Not Qualify",IF(D31="Not Qualify",IF(D31="Not Qualify","Not Qualify","Qualify"),"Qualify"),"Qualify")</f>
        <v>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89" t="s">
        <v>798</v>
      </c>
      <c r="C36" s="789"/>
      <c r="D36" s="789"/>
      <c r="E36" s="789"/>
      <c r="F36" s="789"/>
      <c r="G36" s="789"/>
      <c r="H36" s="789"/>
      <c r="I36" s="789"/>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799</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5" t="s">
        <v>800</v>
      </c>
      <c r="C43" s="786"/>
      <c r="D43" s="786"/>
      <c r="E43" s="786"/>
      <c r="F43" s="786"/>
      <c r="G43" s="786"/>
      <c r="H43" s="786"/>
      <c r="I43" s="786"/>
    </row>
    <row r="44" spans="2:9" ht="15.75">
      <c r="B44" s="574"/>
      <c r="C44" s="574"/>
      <c r="D44" s="574"/>
      <c r="E44" s="574"/>
      <c r="F44" s="574"/>
      <c r="G44" s="574"/>
      <c r="H44" s="574"/>
      <c r="I44" s="574"/>
    </row>
    <row r="45" spans="2:9" ht="15.75">
      <c r="B45" s="591" t="s">
        <v>801</v>
      </c>
      <c r="C45" s="574"/>
      <c r="D45" s="574"/>
      <c r="E45" s="574"/>
      <c r="F45" s="574"/>
      <c r="G45" s="574"/>
      <c r="H45" s="574"/>
      <c r="I45" s="574"/>
    </row>
    <row r="46" spans="2:9" ht="15.75">
      <c r="B46" s="591" t="str">
        <f>CONCATENATE("sources in your ",G14," library fund is not equal to or greater than the amount from the same")</f>
        <v>sources in your 2014 library fund is not equal to or greater than the amount from the same</v>
      </c>
      <c r="C46" s="574"/>
      <c r="D46" s="574"/>
      <c r="E46" s="574"/>
      <c r="F46" s="574"/>
      <c r="G46" s="574"/>
      <c r="H46" s="574"/>
      <c r="I46" s="574"/>
    </row>
    <row r="47" spans="2:9" ht="15.75">
      <c r="B47" s="591" t="str">
        <f>CONCATENATE("sources in ",E14,".")</f>
        <v>sources in 2013.</v>
      </c>
      <c r="C47" s="572"/>
      <c r="D47" s="572"/>
      <c r="E47" s="572"/>
      <c r="F47" s="572"/>
      <c r="G47" s="572"/>
      <c r="H47" s="572"/>
      <c r="I47" s="572"/>
    </row>
    <row r="48" spans="2:9" ht="15.75">
      <c r="B48" s="572"/>
      <c r="C48" s="572"/>
      <c r="D48" s="572"/>
      <c r="E48" s="572"/>
      <c r="F48" s="572"/>
      <c r="G48" s="572"/>
      <c r="H48" s="572"/>
      <c r="I48" s="572"/>
    </row>
    <row r="49" spans="2:9" ht="15.75">
      <c r="B49" s="591" t="s">
        <v>802</v>
      </c>
      <c r="C49" s="591"/>
      <c r="D49" s="592"/>
      <c r="E49" s="592"/>
      <c r="F49" s="592"/>
      <c r="G49" s="592"/>
      <c r="H49" s="592"/>
      <c r="I49" s="592"/>
    </row>
    <row r="50" spans="2:9" ht="15.75">
      <c r="B50" s="591" t="s">
        <v>803</v>
      </c>
      <c r="C50" s="591"/>
      <c r="D50" s="592"/>
      <c r="E50" s="592"/>
      <c r="F50" s="592"/>
      <c r="G50" s="592"/>
      <c r="H50" s="592"/>
      <c r="I50" s="592"/>
    </row>
    <row r="51" spans="2:9" ht="15.75">
      <c r="B51" s="591" t="s">
        <v>804</v>
      </c>
      <c r="C51" s="591"/>
      <c r="D51" s="592"/>
      <c r="E51" s="592"/>
      <c r="F51" s="592"/>
      <c r="G51" s="592"/>
      <c r="H51" s="592"/>
      <c r="I51" s="592"/>
    </row>
    <row r="52" spans="2:9">
      <c r="B52" s="592"/>
      <c r="C52" s="592"/>
      <c r="D52" s="592"/>
      <c r="E52" s="592"/>
      <c r="F52" s="592"/>
      <c r="G52" s="592"/>
      <c r="H52" s="592"/>
      <c r="I52" s="592"/>
    </row>
    <row r="53" spans="2:9" ht="15.75">
      <c r="B53" s="593" t="s">
        <v>805</v>
      </c>
      <c r="C53" s="592"/>
      <c r="D53" s="592"/>
      <c r="E53" s="592"/>
      <c r="F53" s="592"/>
      <c r="G53" s="592"/>
      <c r="H53" s="592"/>
      <c r="I53" s="592"/>
    </row>
    <row r="54" spans="2:9">
      <c r="B54" s="592"/>
      <c r="C54" s="592"/>
      <c r="D54" s="592"/>
      <c r="E54" s="592"/>
      <c r="F54" s="592"/>
      <c r="G54" s="592"/>
      <c r="H54" s="592"/>
      <c r="I54" s="592"/>
    </row>
    <row r="55" spans="2:9" ht="15.75">
      <c r="B55" s="591" t="s">
        <v>806</v>
      </c>
      <c r="C55" s="592"/>
      <c r="D55" s="592"/>
      <c r="E55" s="592"/>
      <c r="F55" s="592"/>
      <c r="G55" s="592"/>
      <c r="H55" s="592"/>
      <c r="I55" s="592"/>
    </row>
    <row r="56" spans="2:9" ht="15.75">
      <c r="B56" s="591" t="s">
        <v>807</v>
      </c>
      <c r="C56" s="592"/>
      <c r="D56" s="592"/>
      <c r="E56" s="592"/>
      <c r="F56" s="592"/>
      <c r="G56" s="592"/>
      <c r="H56" s="592"/>
      <c r="I56" s="592"/>
    </row>
    <row r="57" spans="2:9">
      <c r="B57" s="592"/>
      <c r="C57" s="592"/>
      <c r="D57" s="592"/>
      <c r="E57" s="592"/>
      <c r="F57" s="592"/>
      <c r="G57" s="592"/>
      <c r="H57" s="592"/>
      <c r="I57" s="592"/>
    </row>
    <row r="58" spans="2:9" ht="15.75">
      <c r="B58" s="593" t="s">
        <v>808</v>
      </c>
      <c r="C58" s="591"/>
      <c r="D58" s="591"/>
      <c r="E58" s="591"/>
      <c r="F58" s="591"/>
      <c r="G58" s="592"/>
      <c r="H58" s="592"/>
      <c r="I58" s="592"/>
    </row>
    <row r="59" spans="2:9" ht="15.75">
      <c r="B59" s="591"/>
      <c r="C59" s="591"/>
      <c r="D59" s="591"/>
      <c r="E59" s="591"/>
      <c r="F59" s="591"/>
      <c r="G59" s="592"/>
      <c r="H59" s="592"/>
      <c r="I59" s="592"/>
    </row>
    <row r="60" spans="2:9" ht="15.75">
      <c r="B60" s="591" t="s">
        <v>809</v>
      </c>
      <c r="C60" s="591"/>
      <c r="D60" s="591"/>
      <c r="E60" s="591"/>
      <c r="F60" s="591"/>
      <c r="G60" s="592"/>
      <c r="H60" s="592"/>
      <c r="I60" s="592"/>
    </row>
    <row r="61" spans="2:9" ht="15.75">
      <c r="B61" s="591" t="s">
        <v>810</v>
      </c>
      <c r="C61" s="591"/>
      <c r="D61" s="591"/>
      <c r="E61" s="591"/>
      <c r="F61" s="591"/>
      <c r="G61" s="592"/>
      <c r="H61" s="592"/>
      <c r="I61" s="592"/>
    </row>
    <row r="62" spans="2:9" ht="15.75">
      <c r="B62" s="591" t="s">
        <v>811</v>
      </c>
      <c r="C62" s="591"/>
      <c r="D62" s="591"/>
      <c r="E62" s="591"/>
      <c r="F62" s="591"/>
      <c r="G62" s="592"/>
      <c r="H62" s="592"/>
      <c r="I62" s="592"/>
    </row>
    <row r="63" spans="2:9" ht="15.75">
      <c r="B63" s="591" t="s">
        <v>812</v>
      </c>
      <c r="C63" s="591"/>
      <c r="D63" s="591"/>
      <c r="E63" s="591"/>
      <c r="F63" s="591"/>
      <c r="G63" s="592"/>
      <c r="H63" s="592"/>
      <c r="I63" s="592"/>
    </row>
    <row r="64" spans="2:9">
      <c r="B64" s="594"/>
      <c r="C64" s="594"/>
      <c r="D64" s="594"/>
      <c r="E64" s="594"/>
      <c r="F64" s="594"/>
      <c r="G64" s="592"/>
      <c r="H64" s="592"/>
      <c r="I64" s="592"/>
    </row>
    <row r="65" spans="2:9" ht="15.75">
      <c r="B65" s="591" t="s">
        <v>813</v>
      </c>
      <c r="C65" s="594"/>
      <c r="D65" s="594"/>
      <c r="E65" s="594"/>
      <c r="F65" s="594"/>
      <c r="G65" s="592"/>
      <c r="H65" s="592"/>
      <c r="I65" s="592"/>
    </row>
    <row r="66" spans="2:9" ht="15.75">
      <c r="B66" s="591" t="s">
        <v>814</v>
      </c>
      <c r="C66" s="594"/>
      <c r="D66" s="594"/>
      <c r="E66" s="594"/>
      <c r="F66" s="594"/>
      <c r="G66" s="592"/>
      <c r="H66" s="592"/>
      <c r="I66" s="592"/>
    </row>
    <row r="67" spans="2:9">
      <c r="B67" s="594"/>
      <c r="C67" s="594"/>
      <c r="D67" s="594"/>
      <c r="E67" s="594"/>
      <c r="F67" s="594"/>
      <c r="G67" s="592"/>
      <c r="H67" s="592"/>
      <c r="I67" s="592"/>
    </row>
    <row r="68" spans="2:9" ht="15.75">
      <c r="B68" s="591" t="s">
        <v>815</v>
      </c>
      <c r="C68" s="594"/>
      <c r="D68" s="594"/>
      <c r="E68" s="594"/>
      <c r="F68" s="594"/>
      <c r="G68" s="592"/>
      <c r="H68" s="592"/>
      <c r="I68" s="592"/>
    </row>
    <row r="69" spans="2:9" ht="15.75">
      <c r="B69" s="591" t="s">
        <v>816</v>
      </c>
      <c r="C69" s="594"/>
      <c r="D69" s="594"/>
      <c r="E69" s="594"/>
      <c r="F69" s="594"/>
      <c r="G69" s="592"/>
      <c r="H69" s="592"/>
      <c r="I69" s="592"/>
    </row>
    <row r="70" spans="2:9">
      <c r="B70" s="594"/>
      <c r="C70" s="594"/>
      <c r="D70" s="594"/>
      <c r="E70" s="594"/>
      <c r="F70" s="594"/>
      <c r="G70" s="592"/>
      <c r="H70" s="592"/>
      <c r="I70" s="592"/>
    </row>
    <row r="71" spans="2:9" ht="15.75">
      <c r="B71" s="593" t="s">
        <v>817</v>
      </c>
      <c r="C71" s="594"/>
      <c r="D71" s="594"/>
      <c r="E71" s="594"/>
      <c r="F71" s="594"/>
      <c r="G71" s="592"/>
      <c r="H71" s="592"/>
      <c r="I71" s="592"/>
    </row>
    <row r="72" spans="2:9">
      <c r="B72" s="594"/>
      <c r="C72" s="594"/>
      <c r="D72" s="594"/>
      <c r="E72" s="594"/>
      <c r="F72" s="594"/>
      <c r="G72" s="592"/>
      <c r="H72" s="592"/>
      <c r="I72" s="592"/>
    </row>
    <row r="73" spans="2:9" ht="15.75">
      <c r="B73" s="591" t="s">
        <v>818</v>
      </c>
      <c r="C73" s="594"/>
      <c r="D73" s="594"/>
      <c r="E73" s="594"/>
      <c r="F73" s="594"/>
      <c r="G73" s="592"/>
      <c r="H73" s="592"/>
      <c r="I73" s="592"/>
    </row>
    <row r="74" spans="2:9" ht="15.75">
      <c r="B74" s="591" t="s">
        <v>819</v>
      </c>
      <c r="C74" s="594"/>
      <c r="D74" s="594"/>
      <c r="E74" s="594"/>
      <c r="F74" s="594"/>
      <c r="G74" s="592"/>
      <c r="H74" s="592"/>
      <c r="I74" s="592"/>
    </row>
    <row r="75" spans="2:9">
      <c r="B75" s="594"/>
      <c r="C75" s="594"/>
      <c r="D75" s="594"/>
      <c r="E75" s="594"/>
      <c r="F75" s="594"/>
      <c r="G75" s="592"/>
      <c r="H75" s="592"/>
      <c r="I75" s="592"/>
    </row>
    <row r="76" spans="2:9" ht="15.75">
      <c r="B76" s="593" t="s">
        <v>820</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2014 municipal budget has not been published and has not been submitted to the County</v>
      </c>
      <c r="C78" s="594"/>
      <c r="D78" s="594"/>
      <c r="E78" s="594"/>
      <c r="F78" s="594"/>
      <c r="G78" s="592"/>
      <c r="H78" s="592"/>
      <c r="I78" s="592"/>
    </row>
    <row r="79" spans="2:9" ht="15.75">
      <c r="B79" s="591" t="s">
        <v>821</v>
      </c>
      <c r="C79" s="594"/>
      <c r="D79" s="594"/>
      <c r="E79" s="594"/>
      <c r="F79" s="594"/>
      <c r="G79" s="592"/>
      <c r="H79" s="592"/>
      <c r="I79" s="592"/>
    </row>
    <row r="80" spans="2:9">
      <c r="B80" s="594"/>
      <c r="C80" s="594"/>
      <c r="D80" s="594"/>
      <c r="E80" s="594"/>
      <c r="F80" s="594"/>
      <c r="G80" s="592"/>
      <c r="H80" s="592"/>
      <c r="I80" s="592"/>
    </row>
    <row r="81" spans="2:9" ht="15.75">
      <c r="B81" s="593" t="s">
        <v>403</v>
      </c>
      <c r="C81" s="594"/>
      <c r="D81" s="594"/>
      <c r="E81" s="594"/>
      <c r="F81" s="594"/>
      <c r="G81" s="592"/>
      <c r="H81" s="592"/>
      <c r="I81" s="592"/>
    </row>
    <row r="82" spans="2:9">
      <c r="B82" s="594"/>
      <c r="C82" s="594"/>
      <c r="D82" s="594"/>
      <c r="E82" s="594"/>
      <c r="F82" s="594"/>
      <c r="G82" s="592"/>
      <c r="H82" s="592"/>
      <c r="I82" s="592"/>
    </row>
    <row r="83" spans="2:9" ht="15.75">
      <c r="B83" s="591" t="s">
        <v>822</v>
      </c>
      <c r="C83" s="594"/>
      <c r="D83" s="594"/>
      <c r="E83" s="594"/>
      <c r="F83" s="594"/>
      <c r="G83" s="592"/>
      <c r="H83" s="592"/>
      <c r="I83" s="592"/>
    </row>
    <row r="84" spans="2:9" ht="15.75">
      <c r="B84" s="591" t="str">
        <f>CONCATENATE("Budget Year ",G14," is equal to or greater than that for Current Year Estimate ",E14,".")</f>
        <v>Budget Year 2014 is equal to or greater than that for Current Year Estimate 2013.</v>
      </c>
      <c r="C84" s="594"/>
      <c r="D84" s="594"/>
      <c r="E84" s="594"/>
      <c r="F84" s="594"/>
      <c r="G84" s="592"/>
      <c r="H84" s="592"/>
      <c r="I84" s="592"/>
    </row>
    <row r="85" spans="2:9">
      <c r="B85" s="594"/>
      <c r="C85" s="594"/>
      <c r="D85" s="594"/>
      <c r="E85" s="594"/>
      <c r="F85" s="594"/>
      <c r="G85" s="592"/>
      <c r="H85" s="592"/>
      <c r="I85" s="592"/>
    </row>
    <row r="86" spans="2:9" ht="15.75">
      <c r="B86" s="591" t="s">
        <v>823</v>
      </c>
      <c r="C86" s="594"/>
      <c r="D86" s="594"/>
      <c r="E86" s="594"/>
      <c r="F86" s="594"/>
      <c r="G86" s="592"/>
      <c r="H86" s="592"/>
      <c r="I86" s="592"/>
    </row>
    <row r="87" spans="2:9" ht="15.75">
      <c r="B87" s="591" t="s">
        <v>824</v>
      </c>
      <c r="C87" s="594"/>
      <c r="D87" s="594"/>
      <c r="E87" s="594"/>
      <c r="F87" s="594"/>
      <c r="G87" s="592"/>
      <c r="H87" s="592"/>
      <c r="I87" s="592"/>
    </row>
    <row r="88" spans="2:9" ht="15.75">
      <c r="B88" s="591" t="s">
        <v>825</v>
      </c>
      <c r="C88" s="594"/>
      <c r="D88" s="594"/>
      <c r="E88" s="594"/>
      <c r="F88" s="594"/>
      <c r="G88" s="592"/>
      <c r="H88" s="592"/>
      <c r="I88" s="592"/>
    </row>
    <row r="89" spans="2:9" ht="15.75">
      <c r="B89" s="591" t="str">
        <f>CONCATENATE("purpose for the previous (",E14,") year.")</f>
        <v>purpose for the previous (2013)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2014 is budgeted. Often this line is budgeted at $0 or left</v>
      </c>
      <c r="C91" s="594"/>
      <c r="D91" s="594"/>
      <c r="E91" s="594"/>
      <c r="F91" s="594"/>
      <c r="G91" s="592"/>
      <c r="H91" s="592"/>
      <c r="I91" s="592"/>
    </row>
    <row r="92" spans="2:9" ht="15.75">
      <c r="B92" s="591" t="s">
        <v>826</v>
      </c>
      <c r="C92" s="594"/>
      <c r="D92" s="594"/>
      <c r="E92" s="594"/>
      <c r="F92" s="594"/>
      <c r="G92" s="592"/>
      <c r="H92" s="592"/>
      <c r="I92" s="592"/>
    </row>
    <row r="93" spans="2:9" ht="15.75">
      <c r="B93" s="591" t="s">
        <v>827</v>
      </c>
      <c r="C93" s="594"/>
      <c r="D93" s="594"/>
      <c r="E93" s="594"/>
      <c r="F93" s="594"/>
      <c r="G93" s="592"/>
      <c r="H93" s="592"/>
      <c r="I93" s="592"/>
    </row>
    <row r="94" spans="2:9" ht="15.75">
      <c r="B94" s="591" t="s">
        <v>828</v>
      </c>
      <c r="C94" s="594"/>
      <c r="D94" s="594"/>
      <c r="E94" s="594"/>
      <c r="F94" s="594"/>
      <c r="G94" s="592"/>
      <c r="H94" s="592"/>
      <c r="I94" s="592"/>
    </row>
    <row r="95" spans="2:9">
      <c r="B95" s="594"/>
      <c r="C95" s="594"/>
      <c r="D95" s="594"/>
      <c r="E95" s="594"/>
      <c r="F95" s="594"/>
      <c r="G95" s="592"/>
      <c r="H95" s="592"/>
      <c r="I95" s="592"/>
    </row>
    <row r="96" spans="2:9" ht="15.75">
      <c r="B96" s="593" t="s">
        <v>829</v>
      </c>
      <c r="C96" s="594"/>
      <c r="D96" s="594"/>
      <c r="E96" s="594"/>
      <c r="F96" s="594"/>
      <c r="G96" s="592"/>
      <c r="H96" s="592"/>
      <c r="I96" s="592"/>
    </row>
    <row r="97" spans="2:9">
      <c r="B97" s="594"/>
      <c r="C97" s="594"/>
      <c r="D97" s="594"/>
      <c r="E97" s="594"/>
      <c r="F97" s="594"/>
      <c r="G97" s="592"/>
      <c r="H97" s="592"/>
      <c r="I97" s="592"/>
    </row>
    <row r="98" spans="2:9" ht="15.75">
      <c r="B98" s="591" t="s">
        <v>830</v>
      </c>
      <c r="C98" s="594"/>
      <c r="D98" s="594"/>
      <c r="E98" s="594"/>
      <c r="F98" s="594"/>
      <c r="G98" s="592"/>
      <c r="H98" s="592"/>
      <c r="I98" s="592"/>
    </row>
    <row r="99" spans="2:9" ht="15.75">
      <c r="B99" s="591" t="s">
        <v>831</v>
      </c>
      <c r="C99" s="594"/>
      <c r="D99" s="594"/>
      <c r="E99" s="594"/>
      <c r="F99" s="594"/>
      <c r="G99" s="592"/>
      <c r="H99" s="592"/>
      <c r="I99" s="592"/>
    </row>
    <row r="100" spans="2:9">
      <c r="B100" s="594"/>
      <c r="C100" s="594"/>
      <c r="D100" s="594"/>
      <c r="E100" s="594"/>
      <c r="F100" s="594"/>
      <c r="G100" s="592"/>
      <c r="H100" s="592"/>
      <c r="I100" s="592"/>
    </row>
    <row r="101" spans="2:9" ht="15.75">
      <c r="B101" s="591" t="s">
        <v>832</v>
      </c>
      <c r="C101" s="594"/>
      <c r="D101" s="594"/>
      <c r="E101" s="594"/>
      <c r="F101" s="594"/>
      <c r="G101" s="592"/>
      <c r="H101" s="592"/>
      <c r="I101" s="592"/>
    </row>
    <row r="102" spans="2:9" ht="15.75">
      <c r="B102" s="591" t="s">
        <v>833</v>
      </c>
      <c r="C102" s="594"/>
      <c r="D102" s="594"/>
      <c r="E102" s="594"/>
      <c r="F102" s="594"/>
      <c r="G102" s="592"/>
      <c r="H102" s="592"/>
      <c r="I102" s="592"/>
    </row>
    <row r="103" spans="2:9" ht="15.75">
      <c r="B103" s="591" t="s">
        <v>834</v>
      </c>
      <c r="C103" s="594"/>
      <c r="D103" s="594"/>
      <c r="E103" s="594"/>
      <c r="F103" s="594"/>
      <c r="G103" s="592"/>
      <c r="H103" s="592"/>
      <c r="I103" s="592"/>
    </row>
    <row r="104" spans="2:9" ht="15.75">
      <c r="B104" s="591" t="s">
        <v>835</v>
      </c>
      <c r="C104" s="594"/>
      <c r="D104" s="594"/>
      <c r="E104" s="594"/>
      <c r="F104" s="594"/>
      <c r="G104" s="592"/>
      <c r="H104" s="592"/>
      <c r="I104" s="592"/>
    </row>
    <row r="105" spans="2:9" ht="15.75">
      <c r="B105" s="724" t="s">
        <v>915</v>
      </c>
      <c r="C105" s="725"/>
      <c r="D105" s="725"/>
      <c r="E105" s="725"/>
      <c r="F105" s="725"/>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topLeftCell="A43" workbookViewId="0">
      <selection activeCell="B33" sqref="B33"/>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Williamsburg Township</v>
      </c>
      <c r="C1" s="65"/>
      <c r="D1" s="65"/>
      <c r="E1" s="215">
        <f>inputPrYr!D9</f>
        <v>2014</v>
      </c>
    </row>
    <row r="2" spans="2:5">
      <c r="B2" s="525" t="s">
        <v>746</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2012</v>
      </c>
      <c r="D5" s="383" t="str">
        <f>CONCATENATE("Estimate for ",$E$1-1,"")</f>
        <v>Estimate for 2013</v>
      </c>
      <c r="E5" s="78" t="str">
        <f>CONCATENATE("Year for ",$E$1,"")</f>
        <v>Year for 2014</v>
      </c>
    </row>
    <row r="6" spans="2:5">
      <c r="B6" s="79" t="s">
        <v>66</v>
      </c>
      <c r="C6" s="303">
        <v>7221</v>
      </c>
      <c r="D6" s="384">
        <f>C51</f>
        <v>4646</v>
      </c>
      <c r="E6" s="251">
        <f>D51</f>
        <v>1186</v>
      </c>
    </row>
    <row r="7" spans="2:5">
      <c r="B7" s="79" t="s">
        <v>68</v>
      </c>
      <c r="C7" s="384"/>
      <c r="D7" s="384"/>
      <c r="E7" s="305"/>
    </row>
    <row r="8" spans="2:5">
      <c r="B8" s="79" t="s">
        <v>264</v>
      </c>
      <c r="C8" s="303">
        <v>139</v>
      </c>
      <c r="D8" s="384">
        <f>IF(inputPrYr!H19&gt;0,inputPrYr!G20,inputPrYr!E20)</f>
        <v>0</v>
      </c>
      <c r="E8" s="305" t="s">
        <v>245</v>
      </c>
    </row>
    <row r="9" spans="2:5">
      <c r="B9" s="79" t="s">
        <v>265</v>
      </c>
      <c r="C9" s="303"/>
      <c r="D9" s="303"/>
      <c r="E9" s="167"/>
    </row>
    <row r="10" spans="2:5">
      <c r="B10" s="79" t="s">
        <v>266</v>
      </c>
      <c r="C10" s="303">
        <v>633</v>
      </c>
      <c r="D10" s="303"/>
      <c r="E10" s="251">
        <f>mvalloc!G11</f>
        <v>0</v>
      </c>
    </row>
    <row r="11" spans="2:5">
      <c r="B11" s="79" t="s">
        <v>267</v>
      </c>
      <c r="C11" s="303">
        <v>11</v>
      </c>
      <c r="D11" s="303"/>
      <c r="E11" s="251">
        <f>mvalloc!I11</f>
        <v>0</v>
      </c>
    </row>
    <row r="12" spans="2:5">
      <c r="B12" s="306" t="s">
        <v>17</v>
      </c>
      <c r="C12" s="303">
        <v>76</v>
      </c>
      <c r="D12" s="303"/>
      <c r="E12" s="251">
        <f>mvalloc!J11</f>
        <v>0</v>
      </c>
    </row>
    <row r="13" spans="2:5">
      <c r="B13" s="306" t="s">
        <v>106</v>
      </c>
      <c r="C13" s="303"/>
      <c r="D13" s="303"/>
      <c r="E13" s="251">
        <f>inputOth!E71</f>
        <v>0</v>
      </c>
    </row>
    <row r="14" spans="2:5">
      <c r="B14" s="79" t="s">
        <v>268</v>
      </c>
      <c r="C14" s="303"/>
      <c r="D14" s="303"/>
      <c r="E14" s="251">
        <f>inputOth!E32</f>
        <v>0</v>
      </c>
    </row>
    <row r="15" spans="2:5">
      <c r="B15" s="308"/>
      <c r="C15" s="303"/>
      <c r="D15" s="303"/>
      <c r="E15" s="167"/>
    </row>
    <row r="16" spans="2:5">
      <c r="B16" s="307"/>
      <c r="C16" s="303"/>
      <c r="D16" s="303"/>
      <c r="E16" s="167"/>
    </row>
    <row r="17" spans="2:5">
      <c r="B17" s="307"/>
      <c r="C17" s="303"/>
      <c r="D17" s="303"/>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859</v>
      </c>
      <c r="D26" s="387">
        <f>SUM(D8:D24)</f>
        <v>0</v>
      </c>
      <c r="E26" s="312">
        <f>SUM(E8:E24)</f>
        <v>0</v>
      </c>
    </row>
    <row r="27" spans="2:5">
      <c r="B27" s="97" t="s">
        <v>272</v>
      </c>
      <c r="C27" s="387">
        <f>C26+C6</f>
        <v>8080</v>
      </c>
      <c r="D27" s="387">
        <f>D26+D6</f>
        <v>4646</v>
      </c>
      <c r="E27" s="312">
        <f>E26+E6</f>
        <v>1186</v>
      </c>
    </row>
    <row r="28" spans="2:5">
      <c r="B28" s="79" t="s">
        <v>273</v>
      </c>
      <c r="C28" s="384"/>
      <c r="D28" s="384"/>
      <c r="E28" s="251"/>
    </row>
    <row r="29" spans="2:5">
      <c r="B29" s="307" t="s">
        <v>927</v>
      </c>
      <c r="C29" s="303">
        <v>134</v>
      </c>
      <c r="D29" s="303">
        <v>160</v>
      </c>
      <c r="E29" s="167">
        <v>200</v>
      </c>
    </row>
    <row r="30" spans="2:5">
      <c r="B30" s="308" t="s">
        <v>928</v>
      </c>
      <c r="C30" s="303">
        <v>3000</v>
      </c>
      <c r="D30" s="303">
        <v>3000</v>
      </c>
      <c r="E30" s="167">
        <v>3000</v>
      </c>
    </row>
    <row r="31" spans="2:5">
      <c r="B31" s="308" t="s">
        <v>49</v>
      </c>
      <c r="C31" s="303">
        <v>300</v>
      </c>
      <c r="D31" s="303">
        <v>300</v>
      </c>
      <c r="E31" s="167">
        <v>300</v>
      </c>
    </row>
    <row r="32" spans="2:5">
      <c r="B32" s="308" t="s">
        <v>933</v>
      </c>
      <c r="C32" s="303"/>
      <c r="D32" s="303"/>
      <c r="E32" s="167">
        <v>1500</v>
      </c>
    </row>
    <row r="33" spans="2:10">
      <c r="B33" s="308"/>
      <c r="C33" s="303"/>
      <c r="D33" s="303"/>
      <c r="E33" s="167"/>
    </row>
    <row r="34" spans="2:10">
      <c r="B34" s="307"/>
      <c r="C34" s="303"/>
      <c r="D34" s="303"/>
      <c r="E34" s="167"/>
    </row>
    <row r="35" spans="2:10">
      <c r="B35" s="307"/>
      <c r="C35" s="303"/>
      <c r="D35" s="303"/>
      <c r="E35" s="167"/>
    </row>
    <row r="36" spans="2:10">
      <c r="B36" s="308"/>
      <c r="C36" s="303"/>
      <c r="D36" s="303"/>
      <c r="E36" s="167"/>
    </row>
    <row r="37" spans="2:10">
      <c r="B37" s="308"/>
      <c r="C37" s="303"/>
      <c r="D37" s="303"/>
      <c r="E37" s="167"/>
    </row>
    <row r="38" spans="2:10">
      <c r="B38" s="308"/>
      <c r="C38" s="303"/>
      <c r="D38" s="303"/>
      <c r="E38" s="167"/>
    </row>
    <row r="39" spans="2:10">
      <c r="B39" s="308"/>
      <c r="C39" s="303"/>
      <c r="D39" s="303"/>
      <c r="E39" s="167"/>
    </row>
    <row r="40" spans="2:10">
      <c r="B40" s="308"/>
      <c r="C40" s="303"/>
      <c r="D40" s="303"/>
      <c r="E40" s="167"/>
    </row>
    <row r="41" spans="2:10">
      <c r="B41" s="307"/>
      <c r="C41" s="303"/>
      <c r="D41" s="303"/>
      <c r="E41" s="167"/>
      <c r="G41" s="799" t="str">
        <f>CONCATENATE("Desired Carryover Into ",E1+1,"")</f>
        <v>Desired Carryover Into 2015</v>
      </c>
      <c r="H41" s="800"/>
      <c r="I41" s="800"/>
      <c r="J41" s="801"/>
    </row>
    <row r="42" spans="2:10">
      <c r="B42" s="308"/>
      <c r="C42" s="303"/>
      <c r="D42" s="303"/>
      <c r="E42" s="167"/>
      <c r="G42" s="499"/>
      <c r="H42" s="527"/>
      <c r="I42" s="532"/>
      <c r="J42" s="500"/>
    </row>
    <row r="43" spans="2:10">
      <c r="B43" s="306" t="s">
        <v>179</v>
      </c>
      <c r="C43" s="303"/>
      <c r="D43" s="303"/>
      <c r="E43" s="167"/>
      <c r="G43" s="501" t="s">
        <v>716</v>
      </c>
      <c r="H43" s="532"/>
      <c r="I43" s="532"/>
      <c r="J43" s="502">
        <v>0</v>
      </c>
    </row>
    <row r="44" spans="2:10">
      <c r="B44" s="306" t="s">
        <v>180</v>
      </c>
      <c r="C44" s="386" t="str">
        <f>IF(AND($C$43&gt;0,$C$8&gt;0),"Not Authorized","")</f>
        <v/>
      </c>
      <c r="D44" s="386" t="str">
        <f>IF(AND($D$43&gt;0,$D$8&gt;0),"Not Authorized","")</f>
        <v/>
      </c>
      <c r="E44" s="313" t="str">
        <f>IF(AND(E57&gt;0,$E$43&gt;0),"Not Authorized","")</f>
        <v/>
      </c>
      <c r="G44" s="499" t="s">
        <v>717</v>
      </c>
      <c r="H44" s="527"/>
      <c r="I44" s="527"/>
      <c r="J44" s="703" t="str">
        <f>IF(J43=0,"",ROUND((J43+E57-G56)/inputOth!E11*1000,3)-G61)</f>
        <v/>
      </c>
    </row>
    <row r="45" spans="2:10">
      <c r="B45" s="79" t="s">
        <v>181</v>
      </c>
      <c r="C45" s="303"/>
      <c r="D45" s="303"/>
      <c r="E45" s="167"/>
      <c r="G45" s="704" t="str">
        <f>CONCATENATE("",E1," Tot Exp/Non-Appr Must Be:")</f>
        <v>2014 Tot Exp/Non-Appr Must Be:</v>
      </c>
      <c r="H45" s="522"/>
      <c r="I45" s="700"/>
      <c r="J45" s="705">
        <f>IF(J43&gt;0,IF(E54&lt;E23,IF(J43=G56,E54,((J43-G56)*(1-D56))+E23),E54+(J43-G56)),0)</f>
        <v>0</v>
      </c>
    </row>
    <row r="46" spans="2:10">
      <c r="B46" s="79" t="s">
        <v>752</v>
      </c>
      <c r="C46" s="386" t="str">
        <f>IF(C27*0.25&lt;C45,"Exceeds 25%","")</f>
        <v/>
      </c>
      <c r="D46" s="386" t="str">
        <f>IF(D27*0.25&lt;D45,"Exceeds 25%","")</f>
        <v/>
      </c>
      <c r="E46" s="313" t="str">
        <f>IF(E27*0.25+E57&lt;E45,"Exceeds 25%","")</f>
        <v/>
      </c>
      <c r="G46" s="706" t="s">
        <v>840</v>
      </c>
      <c r="H46" s="707"/>
      <c r="I46" s="707"/>
      <c r="J46" s="708">
        <f>IF(J43&gt;0,J45-E54,0)</f>
        <v>0</v>
      </c>
    </row>
    <row r="47" spans="2:10">
      <c r="B47" s="306" t="s">
        <v>220</v>
      </c>
      <c r="C47" s="303"/>
      <c r="D47" s="303"/>
      <c r="E47" s="178" t="str">
        <f>nhood!E6</f>
        <v/>
      </c>
    </row>
    <row r="48" spans="2:10">
      <c r="B48" s="306" t="s">
        <v>218</v>
      </c>
      <c r="C48" s="303"/>
      <c r="D48" s="303"/>
      <c r="E48" s="167"/>
      <c r="G48" s="799" t="str">
        <f>CONCATENATE("Projected Carryover Into ",E1+1,"")</f>
        <v>Projected Carryover Into 2015</v>
      </c>
      <c r="H48" s="800"/>
      <c r="I48" s="800"/>
      <c r="J48" s="801"/>
    </row>
    <row r="49" spans="2:11">
      <c r="B49" s="306" t="s">
        <v>714</v>
      </c>
      <c r="C49" s="386" t="str">
        <f>IF(C50*0.1&lt;C48,"Exceed 10% Rule","")</f>
        <v/>
      </c>
      <c r="D49" s="386" t="str">
        <f>IF(D50*0.1&lt;D48,"Exceed 10% Rule","")</f>
        <v/>
      </c>
      <c r="E49" s="313" t="str">
        <f>IF(E50*0.1&lt;E48,"Exceed 10% Rule","")</f>
        <v/>
      </c>
      <c r="G49" s="526"/>
      <c r="H49" s="527"/>
      <c r="I49" s="527"/>
      <c r="J49" s="528"/>
    </row>
    <row r="50" spans="2:11">
      <c r="B50" s="97" t="s">
        <v>274</v>
      </c>
      <c r="C50" s="387">
        <f>SUM(C29:C43,C45,C47:C48)</f>
        <v>3434</v>
      </c>
      <c r="D50" s="387">
        <f>SUM(D29:D43,D45,D47:D48)</f>
        <v>3460</v>
      </c>
      <c r="E50" s="312">
        <f>SUM(E29:E43,E47:E48,E45)</f>
        <v>5000</v>
      </c>
      <c r="G50" s="529">
        <f>D51</f>
        <v>1186</v>
      </c>
      <c r="H50" s="530" t="str">
        <f>CONCATENATE("",E1-1," Ending Cash Balance (est.)")</f>
        <v>2013 Ending Cash Balance (est.)</v>
      </c>
      <c r="I50" s="531"/>
      <c r="J50" s="528"/>
    </row>
    <row r="51" spans="2:11">
      <c r="B51" s="79" t="s">
        <v>67</v>
      </c>
      <c r="C51" s="388">
        <f>C27-C50</f>
        <v>4646</v>
      </c>
      <c r="D51" s="388">
        <f>D27-D50</f>
        <v>1186</v>
      </c>
      <c r="E51" s="305" t="s">
        <v>245</v>
      </c>
      <c r="G51" s="529">
        <f>E26</f>
        <v>0</v>
      </c>
      <c r="H51" s="532" t="str">
        <f>CONCATENATE("",E1," Non-AV Receipts (est.)")</f>
        <v>2014 Non-AV Receipts (est.)</v>
      </c>
      <c r="I51" s="531"/>
      <c r="J51" s="528"/>
    </row>
    <row r="52" spans="2:11">
      <c r="B52" s="113" t="str">
        <f>CONCATENATE("",E1-2,"/",E1-1," Budget Authority Amount:")</f>
        <v>2012/2013 Budget Authority Amount:</v>
      </c>
      <c r="C52" s="328">
        <f>inputOth!B83</f>
        <v>8300</v>
      </c>
      <c r="D52" s="68">
        <f>inputPrYr!D20</f>
        <v>3660</v>
      </c>
      <c r="E52" s="305" t="s">
        <v>245</v>
      </c>
      <c r="F52" s="314"/>
      <c r="G52" s="533">
        <f>IF(D56&gt;0,E55,E57)</f>
        <v>3814</v>
      </c>
      <c r="H52" s="532" t="str">
        <f>CONCATENATE("",E1," Ad Valorem Tax (est.)")</f>
        <v>2014 Ad Valorem Tax (est.)</v>
      </c>
      <c r="I52" s="531"/>
      <c r="J52" s="528"/>
      <c r="K52" s="709" t="str">
        <f>IF(G52=E57,"","Note: Does not include Delinquent Taxes")</f>
        <v/>
      </c>
    </row>
    <row r="53" spans="2:11">
      <c r="B53" s="113"/>
      <c r="C53" s="793" t="s">
        <v>711</v>
      </c>
      <c r="D53" s="794"/>
      <c r="E53" s="167"/>
      <c r="F53" s="314" t="str">
        <f>IF(E50/0.95-E50&lt;E53,"Exceeds 5%","")</f>
        <v/>
      </c>
      <c r="G53" s="529">
        <f>SUM(G50:G52)</f>
        <v>5000</v>
      </c>
      <c r="H53" s="532" t="str">
        <f>CONCATENATE("Total ",E1," Resources Available")</f>
        <v>Total 2014 Resources Available</v>
      </c>
      <c r="I53" s="531"/>
      <c r="J53" s="528"/>
    </row>
    <row r="54" spans="2:11">
      <c r="B54" s="491" t="str">
        <f>CONCATENATE(C74,"      ",D74)</f>
        <v xml:space="preserve">      </v>
      </c>
      <c r="C54" s="795" t="s">
        <v>712</v>
      </c>
      <c r="D54" s="796"/>
      <c r="E54" s="251">
        <f>E50+E53</f>
        <v>5000</v>
      </c>
      <c r="G54" s="534"/>
      <c r="H54" s="532"/>
      <c r="I54" s="532"/>
      <c r="J54" s="528"/>
    </row>
    <row r="55" spans="2:11">
      <c r="B55" s="491" t="str">
        <f>CONCATENATE(C75,"       ",D75)</f>
        <v xml:space="preserve">       </v>
      </c>
      <c r="C55" s="494"/>
      <c r="D55" s="493" t="s">
        <v>276</v>
      </c>
      <c r="E55" s="178">
        <f>IF(E54-E27&gt;0,E54-E27,0)</f>
        <v>3814</v>
      </c>
      <c r="G55" s="533">
        <f>ROUND(C50*0.05+C50,0)</f>
        <v>3606</v>
      </c>
      <c r="H55" s="532" t="str">
        <f>CONCATENATE("Less ",E1-2," Expenditures + 5%")</f>
        <v>Less 2012 Expenditures + 5%</v>
      </c>
      <c r="I55" s="531"/>
      <c r="J55" s="528"/>
    </row>
    <row r="56" spans="2:11">
      <c r="B56" s="200"/>
      <c r="C56" s="492" t="s">
        <v>713</v>
      </c>
      <c r="D56" s="702">
        <f>inputOth!$E$77</f>
        <v>0</v>
      </c>
      <c r="E56" s="251">
        <f>ROUND(IF(D56&gt;0,(E55*D56),0),0)</f>
        <v>0</v>
      </c>
      <c r="G56" s="535">
        <f>G53-G55</f>
        <v>1394</v>
      </c>
      <c r="H56" s="536" t="str">
        <f>CONCATENATE("Projected ",E1+1," Carryover (est.)")</f>
        <v>Projected 2015 Carryover (est.)</v>
      </c>
      <c r="I56" s="537"/>
      <c r="J56" s="538"/>
    </row>
    <row r="57" spans="2:11">
      <c r="B57" s="65"/>
      <c r="C57" s="797" t="str">
        <f>CONCATENATE("Amount of  ",$E$1-1," Ad Valorem Tax")</f>
        <v>Amount of  2013 Ad Valorem Tax</v>
      </c>
      <c r="D57" s="798"/>
      <c r="E57" s="178">
        <f>E55+E56</f>
        <v>3814</v>
      </c>
    </row>
    <row r="58" spans="2:11">
      <c r="B58" s="65"/>
      <c r="C58" s="65"/>
      <c r="D58" s="65"/>
      <c r="E58" s="65"/>
      <c r="G58" s="790" t="s">
        <v>841</v>
      </c>
      <c r="H58" s="791"/>
      <c r="I58" s="791"/>
      <c r="J58" s="792"/>
    </row>
    <row r="59" spans="2:11" s="316" customFormat="1">
      <c r="B59" s="70"/>
      <c r="C59" s="70"/>
      <c r="D59" s="258"/>
      <c r="E59" s="70"/>
      <c r="G59" s="710"/>
      <c r="H59" s="530"/>
      <c r="I59" s="701"/>
      <c r="J59" s="711"/>
      <c r="K59" s="152"/>
    </row>
    <row r="60" spans="2:11" s="317" customFormat="1">
      <c r="B60" s="65"/>
      <c r="C60" s="65"/>
      <c r="D60" s="186"/>
      <c r="E60" s="65"/>
      <c r="G60" s="712">
        <f>summ!H18</f>
        <v>0.747</v>
      </c>
      <c r="H60" s="530" t="str">
        <f>CONCATENATE("",E1," Fund Mill Rate")</f>
        <v>2014 Fund Mill Rate</v>
      </c>
      <c r="I60" s="701"/>
      <c r="J60" s="711"/>
      <c r="K60" s="152"/>
    </row>
    <row r="61" spans="2:11">
      <c r="B61" s="200" t="s">
        <v>257</v>
      </c>
      <c r="C61" s="365">
        <v>6</v>
      </c>
      <c r="D61" s="65"/>
      <c r="E61" s="65"/>
      <c r="G61" s="713" t="str">
        <f>summ!E18</f>
        <v xml:space="preserve">  </v>
      </c>
      <c r="H61" s="530" t="str">
        <f>CONCATENATE("",E1-1," Fund Mill Rate")</f>
        <v>2013 Fund Mill Rate</v>
      </c>
      <c r="I61" s="701"/>
      <c r="J61" s="711"/>
    </row>
    <row r="62" spans="2:11">
      <c r="G62" s="714">
        <f>summ!H19</f>
        <v>0.747</v>
      </c>
      <c r="H62" s="530" t="str">
        <f>CONCATENATE("Total ",E1," Mill Rate")</f>
        <v>Total 2014 Mill Rate</v>
      </c>
      <c r="I62" s="701"/>
      <c r="J62" s="711"/>
    </row>
    <row r="63" spans="2:11">
      <c r="B63" s="107"/>
      <c r="G63" s="713">
        <f>summ!E19</f>
        <v>0</v>
      </c>
      <c r="H63" s="715" t="str">
        <f>CONCATENATE("Total ",E1-1," Mill Rate")</f>
        <v>Total 2013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D50" sqref="D50:D52"/>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Williamsburg Township</v>
      </c>
      <c r="C1" s="596"/>
      <c r="D1" s="597"/>
      <c r="E1" s="598">
        <f>inputPrYr!D9</f>
        <v>2014</v>
      </c>
    </row>
    <row r="2" spans="2:5">
      <c r="B2" s="597"/>
      <c r="C2" s="597"/>
      <c r="D2" s="597"/>
      <c r="E2" s="600"/>
    </row>
    <row r="3" spans="2:5">
      <c r="B3" s="601" t="s">
        <v>746</v>
      </c>
      <c r="C3" s="601"/>
      <c r="D3" s="602"/>
      <c r="E3" s="603"/>
    </row>
    <row r="4" spans="2:5">
      <c r="B4" s="604" t="s">
        <v>258</v>
      </c>
      <c r="C4" s="605" t="s">
        <v>836</v>
      </c>
      <c r="D4" s="606" t="s">
        <v>837</v>
      </c>
      <c r="E4" s="607" t="s">
        <v>838</v>
      </c>
    </row>
    <row r="5" spans="2:5">
      <c r="B5" s="608">
        <f>inputPrYr!B21</f>
        <v>0</v>
      </c>
      <c r="C5" s="609" t="str">
        <f>CONCATENATE("Actual for ",$E$1-2,"")</f>
        <v>Actual for 2012</v>
      </c>
      <c r="D5" s="610" t="str">
        <f>CONCATENATE("Estimate for ",$E$1-1,"")</f>
        <v>Estimate for 2013</v>
      </c>
      <c r="E5" s="611" t="str">
        <f>CONCATENATE("Year for ",$E$1,"")</f>
        <v>Year for 2014</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839</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07" t="str">
        <f>CONCATENATE("Desired Carryover Into ",E1+1,"")</f>
        <v>Desired Carryover Into 2015</v>
      </c>
      <c r="H24" s="808"/>
      <c r="I24" s="808"/>
      <c r="J24" s="809"/>
    </row>
    <row r="25" spans="2:10">
      <c r="B25" s="622"/>
      <c r="C25" s="619"/>
      <c r="D25" s="619"/>
      <c r="E25" s="620"/>
      <c r="G25" s="631"/>
      <c r="H25" s="632"/>
      <c r="I25" s="633"/>
      <c r="J25" s="634"/>
    </row>
    <row r="26" spans="2:10">
      <c r="B26" s="622"/>
      <c r="C26" s="617"/>
      <c r="D26" s="619"/>
      <c r="E26" s="620"/>
      <c r="G26" s="635" t="s">
        <v>716</v>
      </c>
      <c r="H26" s="633"/>
      <c r="I26" s="633"/>
      <c r="J26" s="636">
        <v>0</v>
      </c>
    </row>
    <row r="27" spans="2:10">
      <c r="B27" s="622"/>
      <c r="C27" s="617"/>
      <c r="D27" s="619"/>
      <c r="E27" s="620"/>
      <c r="G27" s="631" t="s">
        <v>717</v>
      </c>
      <c r="H27" s="632"/>
      <c r="I27" s="632"/>
      <c r="J27" s="637" t="str">
        <f>IF(J26=0,"",ROUND((J26+E40-G39)/inputOth!E11*1000,3)-G44)</f>
        <v/>
      </c>
    </row>
    <row r="28" spans="2:10">
      <c r="B28" s="622"/>
      <c r="C28" s="617"/>
      <c r="D28" s="619"/>
      <c r="E28" s="620"/>
      <c r="G28" s="638" t="str">
        <f>CONCATENATE("",E1," Tot Exp/Non-Appr Must Be:")</f>
        <v>2014 Tot Exp/Non-Appr Must Be:</v>
      </c>
      <c r="H28" s="639"/>
      <c r="I28" s="640"/>
      <c r="J28" s="641">
        <f>IF(J26&gt;0,IF(E37&lt;E21,IF(J26=G39,E37,((J26-G39)*(1-D39))+E21),E37+(J26-G39)),0)</f>
        <v>0</v>
      </c>
    </row>
    <row r="29" spans="2:10">
      <c r="B29" s="622"/>
      <c r="C29" s="617"/>
      <c r="D29" s="619"/>
      <c r="E29" s="620"/>
      <c r="G29" s="642" t="s">
        <v>840</v>
      </c>
      <c r="H29" s="643"/>
      <c r="I29" s="643"/>
      <c r="J29" s="644">
        <f>IF(J26&gt;0,J28-E37,0)</f>
        <v>0</v>
      </c>
    </row>
    <row r="30" spans="2:10">
      <c r="B30" s="645" t="s">
        <v>220</v>
      </c>
      <c r="C30" s="617"/>
      <c r="D30" s="619"/>
      <c r="E30" s="615" t="str">
        <f>nhood!E7</f>
        <v/>
      </c>
    </row>
    <row r="31" spans="2:10">
      <c r="B31" s="645" t="s">
        <v>218</v>
      </c>
      <c r="C31" s="625"/>
      <c r="D31" s="619"/>
      <c r="E31" s="620"/>
      <c r="G31" s="807" t="str">
        <f>CONCATENATE("Projected Carryover Into ",E1+1,"")</f>
        <v>Projected Carryover Into 2015</v>
      </c>
      <c r="H31" s="812"/>
      <c r="I31" s="812"/>
      <c r="J31" s="811"/>
    </row>
    <row r="32" spans="2:10">
      <c r="B32" s="645" t="s">
        <v>714</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2013 Ending Cash Balance (est.)</v>
      </c>
      <c r="I33" s="651"/>
      <c r="J33" s="646"/>
    </row>
    <row r="34" spans="2:11">
      <c r="B34" s="612" t="s">
        <v>67</v>
      </c>
      <c r="C34" s="652">
        <f>C21-C33</f>
        <v>0</v>
      </c>
      <c r="D34" s="652">
        <f>D21-D33</f>
        <v>0</v>
      </c>
      <c r="E34" s="618" t="s">
        <v>245</v>
      </c>
      <c r="F34" s="653"/>
      <c r="G34" s="649">
        <f>E20</f>
        <v>0</v>
      </c>
      <c r="H34" s="633" t="str">
        <f>CONCATENATE("",E1," Non-AV Receipts (est.)")</f>
        <v>2014 Non-AV Receipts (est.)</v>
      </c>
      <c r="I34" s="651"/>
      <c r="J34" s="646"/>
    </row>
    <row r="35" spans="2:11">
      <c r="B35" s="654" t="str">
        <f>CONCATENATE("",E1-2,"/",E1-1," Budget Authority Amount:")</f>
        <v>2012/2013 Budget Authority Amount:</v>
      </c>
      <c r="C35" s="655">
        <f>inputOth!B84</f>
        <v>0</v>
      </c>
      <c r="D35" s="656">
        <f>inputPrYr!D21</f>
        <v>0</v>
      </c>
      <c r="E35" s="618" t="s">
        <v>245</v>
      </c>
      <c r="F35" s="657"/>
      <c r="G35" s="658">
        <f>IF(E39&gt;0,E38,E40)</f>
        <v>0</v>
      </c>
      <c r="H35" s="633" t="str">
        <f>CONCATENATE("",E1," Ad Valorem Tax (est.)")</f>
        <v>2014 Ad Valorem Tax (est.)</v>
      </c>
      <c r="I35" s="651"/>
      <c r="J35" s="646"/>
      <c r="K35" s="659" t="str">
        <f>IF(G35=E40,"","Note: Does not include Delinquent Taxes")</f>
        <v/>
      </c>
    </row>
    <row r="36" spans="2:11">
      <c r="B36" s="654"/>
      <c r="C36" s="793" t="s">
        <v>711</v>
      </c>
      <c r="D36" s="794"/>
      <c r="E36" s="620"/>
      <c r="F36" s="660" t="str">
        <f>IF(E33/0.95-E33&lt;E36,"Exceeds 5%","")</f>
        <v/>
      </c>
      <c r="G36" s="649">
        <f>SUM(G33:G35)</f>
        <v>0</v>
      </c>
      <c r="H36" s="633" t="str">
        <f>CONCATENATE("Total ",E1," Resources Available")</f>
        <v>Total 2014 Resources Available</v>
      </c>
      <c r="I36" s="651"/>
      <c r="J36" s="646"/>
    </row>
    <row r="37" spans="2:11">
      <c r="B37" s="661" t="str">
        <f>CONCATENATE(C93,"     ",D93)</f>
        <v xml:space="preserve">     </v>
      </c>
      <c r="C37" s="795" t="s">
        <v>712</v>
      </c>
      <c r="D37" s="796"/>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2012 Expenditures</v>
      </c>
      <c r="I38" s="633"/>
      <c r="J38" s="646"/>
    </row>
    <row r="39" spans="2:11">
      <c r="B39" s="600"/>
      <c r="C39" s="492" t="s">
        <v>713</v>
      </c>
      <c r="D39" s="665">
        <f>inputOth!E77</f>
        <v>0</v>
      </c>
      <c r="E39" s="615">
        <f>ROUND(IF(D39&gt;0,(E38*D39),0),0)</f>
        <v>0</v>
      </c>
      <c r="F39" s="653"/>
      <c r="G39" s="666">
        <f>G36-G38</f>
        <v>0</v>
      </c>
      <c r="H39" s="667" t="str">
        <f>CONCATENATE("Projected ",E1+1," carryover (est.)")</f>
        <v>Projected 2015 carryover (est.)</v>
      </c>
      <c r="I39" s="668"/>
      <c r="J39" s="669"/>
    </row>
    <row r="40" spans="2:11" ht="16.5" thickBot="1">
      <c r="B40" s="597"/>
      <c r="C40" s="802" t="str">
        <f>CONCATENATE("Amount of  ",E1-1," Ad Valorem Tax")</f>
        <v>Amount of  2013 Ad Valorem Tax</v>
      </c>
      <c r="D40" s="803"/>
      <c r="E40" s="671">
        <f>SUM(E38:E39)</f>
        <v>0</v>
      </c>
      <c r="F40" s="653"/>
    </row>
    <row r="41" spans="2:11" ht="16.5" thickTop="1">
      <c r="B41" s="597"/>
      <c r="C41" s="802"/>
      <c r="D41" s="803"/>
      <c r="E41" s="672"/>
      <c r="F41" s="653"/>
      <c r="G41" s="804" t="s">
        <v>841</v>
      </c>
      <c r="H41" s="805"/>
      <c r="I41" s="805"/>
      <c r="J41" s="806"/>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2014 Fund Mill Rate</v>
      </c>
      <c r="I43" s="674"/>
      <c r="J43" s="675"/>
    </row>
    <row r="44" spans="2:11">
      <c r="B44" s="604" t="s">
        <v>258</v>
      </c>
      <c r="C44" s="605" t="s">
        <v>836</v>
      </c>
      <c r="D44" s="606" t="s">
        <v>837</v>
      </c>
      <c r="E44" s="607" t="s">
        <v>838</v>
      </c>
      <c r="F44" s="653"/>
      <c r="G44" s="677" t="e">
        <f>summ!#REF!</f>
        <v>#REF!</v>
      </c>
      <c r="H44" s="650" t="str">
        <f>CONCATENATE("",E1-1," Fund Mill Rate")</f>
        <v>2013 Fund Mill Rate</v>
      </c>
      <c r="I44" s="674"/>
      <c r="J44" s="675"/>
    </row>
    <row r="45" spans="2:11">
      <c r="B45" s="678">
        <f>inputPrYr!B22</f>
        <v>0</v>
      </c>
      <c r="C45" s="609" t="str">
        <f>CONCATENATE("Actual for ",$E$1-2,"")</f>
        <v>Actual for 2012</v>
      </c>
      <c r="D45" s="610" t="str">
        <f>CONCATENATE("Estimate for ",$E$1-1,"")</f>
        <v>Estimate for 2013</v>
      </c>
      <c r="E45" s="611" t="str">
        <f>CONCATENATE("Year for ",$E$1,"")</f>
        <v>Year for 2014</v>
      </c>
      <c r="F45" s="653"/>
      <c r="G45" s="679">
        <f>summ!H19</f>
        <v>0.747</v>
      </c>
      <c r="H45" s="650" t="str">
        <f>CONCATENATE("Total ",E1," Mill Rate")</f>
        <v>Total 2014 Mill Rate</v>
      </c>
      <c r="I45" s="674"/>
      <c r="J45" s="675"/>
    </row>
    <row r="46" spans="2:11">
      <c r="B46" s="612" t="s">
        <v>90</v>
      </c>
      <c r="C46" s="617">
        <v>0</v>
      </c>
      <c r="D46" s="614">
        <f>C74</f>
        <v>0</v>
      </c>
      <c r="E46" s="615">
        <f>D74</f>
        <v>0</v>
      </c>
      <c r="F46" s="653"/>
      <c r="G46" s="677">
        <f>summ!E19</f>
        <v>0</v>
      </c>
      <c r="H46" s="680" t="str">
        <f>CONCATENATE("Total ",E1-1," Mill Rate")</f>
        <v>Total 2013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839</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07" t="str">
        <f>CONCATENATE("Desired Carryover Into ",E1+1,"")</f>
        <v>Desired Carryover Into 2015</v>
      </c>
      <c r="H64" s="808"/>
      <c r="I64" s="808"/>
      <c r="J64" s="809"/>
    </row>
    <row r="65" spans="2:11">
      <c r="B65" s="622"/>
      <c r="C65" s="617"/>
      <c r="D65" s="619"/>
      <c r="E65" s="620"/>
      <c r="G65" s="631"/>
      <c r="H65" s="632"/>
      <c r="I65" s="633"/>
      <c r="J65" s="634"/>
    </row>
    <row r="66" spans="2:11">
      <c r="B66" s="622"/>
      <c r="C66" s="617"/>
      <c r="D66" s="619"/>
      <c r="E66" s="620"/>
      <c r="G66" s="635" t="s">
        <v>716</v>
      </c>
      <c r="H66" s="633"/>
      <c r="I66" s="633"/>
      <c r="J66" s="636">
        <v>0</v>
      </c>
    </row>
    <row r="67" spans="2:11">
      <c r="B67" s="622"/>
      <c r="C67" s="617"/>
      <c r="D67" s="619"/>
      <c r="E67" s="620"/>
      <c r="G67" s="631" t="s">
        <v>717</v>
      </c>
      <c r="H67" s="632"/>
      <c r="I67" s="632"/>
      <c r="J67" s="637" t="str">
        <f>IF(J66=0,"",ROUND((J66+E80-G79)/inputOth!E11*1000,3)-G84)</f>
        <v/>
      </c>
    </row>
    <row r="68" spans="2:11">
      <c r="B68" s="622"/>
      <c r="C68" s="617"/>
      <c r="D68" s="619"/>
      <c r="E68" s="620"/>
      <c r="G68" s="638" t="str">
        <f>CONCATENATE("",E1," Tot Exp/Non-Appr Must Be:")</f>
        <v>2014 Tot Exp/Non-Appr Must Be:</v>
      </c>
      <c r="H68" s="639"/>
      <c r="I68" s="640"/>
      <c r="J68" s="641">
        <f>IF(J66&gt;0,IF(E77&lt;E61,IF(J66=G79,E77,((J66-G79)*(1-D79))+E61),E77+(J66-G79)),0)</f>
        <v>0</v>
      </c>
    </row>
    <row r="69" spans="2:11">
      <c r="B69" s="622"/>
      <c r="C69" s="617"/>
      <c r="D69" s="619"/>
      <c r="E69" s="620"/>
      <c r="G69" s="642" t="s">
        <v>840</v>
      </c>
      <c r="H69" s="643"/>
      <c r="I69" s="643"/>
      <c r="J69" s="644">
        <f>IF(J66&gt;0,J68-E77,0)</f>
        <v>0</v>
      </c>
    </row>
    <row r="70" spans="2:11">
      <c r="B70" s="621" t="s">
        <v>220</v>
      </c>
      <c r="C70" s="617"/>
      <c r="D70" s="619"/>
      <c r="E70" s="615" t="str">
        <f>nhood!E8</f>
        <v/>
      </c>
      <c r="F70" s="653"/>
    </row>
    <row r="71" spans="2:11">
      <c r="B71" s="621" t="s">
        <v>218</v>
      </c>
      <c r="C71" s="625"/>
      <c r="D71" s="619"/>
      <c r="E71" s="620"/>
      <c r="F71" s="653"/>
      <c r="G71" s="807" t="str">
        <f>CONCATENATE("Projected Carryover Into ",E1+1,"")</f>
        <v>Projected Carryover Into 2015</v>
      </c>
      <c r="H71" s="810"/>
      <c r="I71" s="810"/>
      <c r="J71" s="811"/>
    </row>
    <row r="72" spans="2:11">
      <c r="B72" s="621" t="s">
        <v>714</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2013 Ending Cash Balance (est.)</v>
      </c>
      <c r="I73" s="651"/>
      <c r="J73" s="686"/>
    </row>
    <row r="74" spans="2:11">
      <c r="B74" s="612" t="s">
        <v>67</v>
      </c>
      <c r="C74" s="652">
        <f>C61-C73</f>
        <v>0</v>
      </c>
      <c r="D74" s="652">
        <f>D61-D73</f>
        <v>0</v>
      </c>
      <c r="E74" s="618" t="s">
        <v>245</v>
      </c>
      <c r="F74" s="653"/>
      <c r="G74" s="649">
        <f>E60</f>
        <v>0</v>
      </c>
      <c r="H74" s="633" t="str">
        <f>CONCATENATE("",E1," Non-AV Receipts (est.)")</f>
        <v>2014 Non-AV Receipts (est.)</v>
      </c>
      <c r="I74" s="651"/>
      <c r="J74" s="686"/>
    </row>
    <row r="75" spans="2:11">
      <c r="B75" s="654" t="str">
        <f>CONCATENATE("",E1-2,"/",E1-1," Budget Authority Amount:")</f>
        <v>2012/2013 Budget Authority Amount:</v>
      </c>
      <c r="C75" s="655">
        <f>inputOth!B85</f>
        <v>0</v>
      </c>
      <c r="D75" s="655">
        <f>inputPrYr!D22</f>
        <v>0</v>
      </c>
      <c r="E75" s="618" t="s">
        <v>245</v>
      </c>
      <c r="F75" s="657"/>
      <c r="G75" s="658">
        <f>IF(E79&gt;0,E78,E80)</f>
        <v>0</v>
      </c>
      <c r="H75" s="633" t="str">
        <f>CONCATENATE("",E1," Ad Valorem Tax (est.)")</f>
        <v>2014 Ad Valorem Tax (est.)</v>
      </c>
      <c r="I75" s="651"/>
      <c r="J75" s="686"/>
      <c r="K75" s="659" t="str">
        <f>IF(G75=E80,"","Note: Does not include Delinquent Taxes")</f>
        <v/>
      </c>
    </row>
    <row r="76" spans="2:11">
      <c r="B76" s="654"/>
      <c r="C76" s="793" t="s">
        <v>711</v>
      </c>
      <c r="D76" s="794"/>
      <c r="E76" s="620"/>
      <c r="F76" s="687" t="str">
        <f>IF(E73/0.95-E73&lt;E76,"Exceeds 5%","")</f>
        <v/>
      </c>
      <c r="G76" s="688">
        <f>SUM(G73:G75)</f>
        <v>0</v>
      </c>
      <c r="H76" s="633" t="str">
        <f>CONCATENATE("Total ",E1," Resources Available")</f>
        <v>Total 2014 Resources Available</v>
      </c>
      <c r="I76" s="689"/>
      <c r="J76" s="686"/>
    </row>
    <row r="77" spans="2:11">
      <c r="B77" s="661" t="str">
        <f>CONCATENATE(C95,"     ",D95)</f>
        <v xml:space="preserve">     </v>
      </c>
      <c r="C77" s="795" t="s">
        <v>712</v>
      </c>
      <c r="D77" s="796"/>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2012 Expenditures + 5%</v>
      </c>
      <c r="I78" s="689"/>
      <c r="J78" s="686"/>
    </row>
    <row r="79" spans="2:11">
      <c r="B79" s="600"/>
      <c r="C79" s="492" t="s">
        <v>713</v>
      </c>
      <c r="D79" s="665">
        <f>inputOth!E77</f>
        <v>0</v>
      </c>
      <c r="E79" s="615">
        <f>ROUND(IF(E78&gt;0,(E78*D79),0),0)</f>
        <v>0</v>
      </c>
      <c r="F79" s="653"/>
      <c r="G79" s="666">
        <f>G76-G78</f>
        <v>0</v>
      </c>
      <c r="H79" s="667" t="str">
        <f>CONCATENATE("Projected ",E1+1," carryover (est.)")</f>
        <v>Projected 2015 carryover (est.)</v>
      </c>
      <c r="I79" s="692"/>
      <c r="J79" s="693"/>
    </row>
    <row r="80" spans="2:11" ht="16.5" thickBot="1">
      <c r="B80" s="597"/>
      <c r="C80" s="802" t="str">
        <f>CONCATENATE("Amount of  ",E1-1," Ad Valorem Tax")</f>
        <v>Amount of  2013 Ad Valorem Tax</v>
      </c>
      <c r="D80" s="803"/>
      <c r="E80" s="671">
        <f>E78+E79</f>
        <v>0</v>
      </c>
      <c r="F80" s="694" t="str">
        <f>IF('[1]Library Grant'!F33="","",IF('[1]Library Grant'!F33="Qualify","Qualifies for State Library Grant","See 'Library Grant' tab"))</f>
        <v>Qualifies for State Library Grant</v>
      </c>
    </row>
    <row r="81" spans="2:10" ht="16.5" thickTop="1">
      <c r="B81" s="600"/>
      <c r="C81" s="802"/>
      <c r="D81" s="803"/>
      <c r="E81" s="672"/>
      <c r="F81" s="653"/>
      <c r="G81" s="804" t="s">
        <v>841</v>
      </c>
      <c r="H81" s="805"/>
      <c r="I81" s="805"/>
      <c r="J81" s="806"/>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2014 Fund Mill Rate</v>
      </c>
      <c r="I83" s="674"/>
      <c r="J83" s="675"/>
    </row>
    <row r="84" spans="2:10">
      <c r="G84" s="677" t="e">
        <f>summ!#REF!</f>
        <v>#REF!</v>
      </c>
      <c r="H84" s="650" t="str">
        <f>CONCATENATE("",E1-1," Fund Mill Rate")</f>
        <v>2013 Fund Mill Rate</v>
      </c>
      <c r="I84" s="674"/>
      <c r="J84" s="675"/>
    </row>
    <row r="85" spans="2:10">
      <c r="G85" s="679">
        <f>summ!H19</f>
        <v>0.747</v>
      </c>
      <c r="H85" s="650" t="str">
        <f>CONCATENATE("Total ",E1," Mill Rate")</f>
        <v>Total 2014 Mill Rate</v>
      </c>
      <c r="I85" s="674"/>
      <c r="J85" s="675"/>
    </row>
    <row r="86" spans="2:10">
      <c r="G86" s="677">
        <f>summ!E19</f>
        <v>0</v>
      </c>
      <c r="H86" s="680" t="str">
        <f>CONCATENATE("Total ",E1-1," Mill Rate")</f>
        <v>Total 2013 Mill Rate</v>
      </c>
      <c r="I86" s="681"/>
      <c r="J86" s="682"/>
    </row>
    <row r="87" spans="2:10">
      <c r="G87" s="696"/>
      <c r="H87" s="696"/>
      <c r="I87" s="696"/>
      <c r="J87" s="696"/>
    </row>
    <row r="88" spans="2:10">
      <c r="C88" s="697" t="s">
        <v>842</v>
      </c>
      <c r="D88" s="697" t="s">
        <v>842</v>
      </c>
    </row>
    <row r="89" spans="2:10">
      <c r="C89" s="697" t="s">
        <v>842</v>
      </c>
      <c r="D89" s="697" t="s">
        <v>842</v>
      </c>
    </row>
    <row r="91" spans="2:10">
      <c r="C91" s="697" t="s">
        <v>842</v>
      </c>
      <c r="D91" s="697" t="s">
        <v>842</v>
      </c>
    </row>
    <row r="92" spans="2:10">
      <c r="C92" s="697" t="s">
        <v>842</v>
      </c>
      <c r="D92" s="697" t="s">
        <v>842</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Williamsburg Township</v>
      </c>
      <c r="C1" s="65"/>
      <c r="D1" s="65"/>
      <c r="E1" s="215">
        <f>inputPrYr!D9</f>
        <v>2014</v>
      </c>
    </row>
    <row r="2" spans="2:5">
      <c r="B2" s="525" t="s">
        <v>746</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2012</v>
      </c>
      <c r="D5" s="383" t="str">
        <f>gen!D5</f>
        <v>Estimate for 2013</v>
      </c>
      <c r="E5" s="78" t="str">
        <f>gen!E5</f>
        <v>Year for 2014</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799" t="str">
        <f>CONCATENATE("Desired Carryover Into ",E1+1,"")</f>
        <v>Desired Carryover Into 2015</v>
      </c>
      <c r="H34" s="800"/>
      <c r="I34" s="800"/>
      <c r="J34" s="801"/>
    </row>
    <row r="35" spans="2:11">
      <c r="B35" s="308"/>
      <c r="C35" s="303"/>
      <c r="D35" s="303"/>
      <c r="E35" s="167"/>
      <c r="G35" s="499"/>
      <c r="H35" s="527"/>
      <c r="I35" s="532"/>
      <c r="J35" s="500"/>
    </row>
    <row r="36" spans="2:11">
      <c r="B36" s="307"/>
      <c r="C36" s="303"/>
      <c r="D36" s="303"/>
      <c r="E36" s="167"/>
      <c r="G36" s="501" t="s">
        <v>716</v>
      </c>
      <c r="H36" s="532"/>
      <c r="I36" s="532"/>
      <c r="J36" s="502">
        <v>0</v>
      </c>
    </row>
    <row r="37" spans="2:11">
      <c r="B37" s="307"/>
      <c r="C37" s="303"/>
      <c r="D37" s="303"/>
      <c r="E37" s="167"/>
      <c r="G37" s="499" t="s">
        <v>717</v>
      </c>
      <c r="H37" s="527"/>
      <c r="I37" s="527"/>
      <c r="J37" s="703" t="str">
        <f>IF(J36=0,"",ROUND((J36+E50-G49)/inputOth!E11*1000,3)-G54)</f>
        <v/>
      </c>
    </row>
    <row r="38" spans="2:11">
      <c r="B38" s="79" t="s">
        <v>52</v>
      </c>
      <c r="C38" s="303"/>
      <c r="D38" s="303"/>
      <c r="E38" s="167"/>
      <c r="G38" s="704" t="str">
        <f>CONCATENATE("",E1," Tot Exp/Non-Appr Must Be:")</f>
        <v>2014 Tot Exp/Non-Appr Must Be:</v>
      </c>
      <c r="H38" s="522"/>
      <c r="I38" s="700"/>
      <c r="J38" s="705">
        <f>IF(J36&gt;0,IF(E47&lt;E24,IF(J36=G49,E47,((J36-G49)*(1-D49))+E24),E47+(J36-G49)),0)</f>
        <v>0</v>
      </c>
    </row>
    <row r="39" spans="2:11">
      <c r="B39" s="79" t="s">
        <v>718</v>
      </c>
      <c r="C39" s="386" t="str">
        <f>IF(C24*0.25&lt;C38,"Exceeds 25%","")</f>
        <v/>
      </c>
      <c r="D39" s="386" t="str">
        <f>IF(D24*0.25&lt;D38,"Exceeds 25%","")</f>
        <v/>
      </c>
      <c r="E39" s="313" t="str">
        <f>IF(E24*0.25+E50&lt;E38,"Exceeds 25%","")</f>
        <v/>
      </c>
      <c r="G39" s="706" t="s">
        <v>840</v>
      </c>
      <c r="H39" s="707"/>
      <c r="I39" s="707"/>
      <c r="J39" s="708">
        <f>IF(J36&gt;0,J38-E47,0)</f>
        <v>0</v>
      </c>
    </row>
    <row r="40" spans="2:11">
      <c r="B40" s="306" t="s">
        <v>220</v>
      </c>
      <c r="C40" s="303"/>
      <c r="D40" s="303"/>
      <c r="E40" s="178" t="str">
        <f>nhood!E9</f>
        <v/>
      </c>
    </row>
    <row r="41" spans="2:11">
      <c r="B41" s="306" t="s">
        <v>218</v>
      </c>
      <c r="C41" s="303"/>
      <c r="D41" s="303"/>
      <c r="E41" s="167"/>
      <c r="G41" s="799" t="str">
        <f>CONCATENATE("Projected Carryover Into ",E1+1,"")</f>
        <v>Projected Carryover Into 2015</v>
      </c>
      <c r="H41" s="800"/>
      <c r="I41" s="800"/>
      <c r="J41" s="801"/>
    </row>
    <row r="42" spans="2:11">
      <c r="B42" s="306" t="s">
        <v>714</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2013 Ending Cash Balance (est.)</v>
      </c>
      <c r="I43" s="531"/>
      <c r="J43" s="528"/>
    </row>
    <row r="44" spans="2:11">
      <c r="B44" s="79" t="s">
        <v>67</v>
      </c>
      <c r="C44" s="388">
        <f>C24-C43</f>
        <v>0</v>
      </c>
      <c r="D44" s="388">
        <f>D24-D43</f>
        <v>0</v>
      </c>
      <c r="E44" s="305" t="s">
        <v>245</v>
      </c>
      <c r="G44" s="529">
        <f>E23</f>
        <v>0</v>
      </c>
      <c r="H44" s="532" t="str">
        <f>CONCATENATE("",E1," Non-AV Receipts (est.)")</f>
        <v>2014 Non-AV Receipts (est.)</v>
      </c>
      <c r="I44" s="531"/>
      <c r="J44" s="528"/>
    </row>
    <row r="45" spans="2:11">
      <c r="B45" s="113" t="str">
        <f>CONCATENATE("",$E$1-2,"/",$E$1-1," Budget Authority Amount:")</f>
        <v>2012/2013 Budget Authority Amount:</v>
      </c>
      <c r="C45" s="328">
        <f>inputOth!B86</f>
        <v>0</v>
      </c>
      <c r="D45" s="82">
        <f>inputPrYr!D23</f>
        <v>0</v>
      </c>
      <c r="E45" s="305" t="s">
        <v>245</v>
      </c>
      <c r="F45" s="314"/>
      <c r="G45" s="533">
        <f>IF(D49&gt;0,E48,E50)</f>
        <v>0</v>
      </c>
      <c r="H45" s="532" t="str">
        <f>CONCATENATE("",E1," Ad Valorem Tax (est.)")</f>
        <v>2014 Ad Valorem Tax (est.)</v>
      </c>
      <c r="I45" s="531"/>
      <c r="J45" s="528"/>
      <c r="K45" s="709" t="str">
        <f>IF(G45=E50,"","Note: Does not include Delinquent Taxes")</f>
        <v/>
      </c>
    </row>
    <row r="46" spans="2:11">
      <c r="B46" s="113"/>
      <c r="C46" s="793" t="s">
        <v>711</v>
      </c>
      <c r="D46" s="794"/>
      <c r="E46" s="167"/>
      <c r="F46" s="718" t="str">
        <f>IF(E43/0.95-E43&lt;E46,"Exceeds 5%","")</f>
        <v/>
      </c>
      <c r="G46" s="529">
        <f>SUM(G43:G45)</f>
        <v>0</v>
      </c>
      <c r="H46" s="532" t="str">
        <f>CONCATENATE("Total ",E1," Resources Available")</f>
        <v>Total 2014 Resources Available</v>
      </c>
      <c r="I46" s="531"/>
      <c r="J46" s="528"/>
    </row>
    <row r="47" spans="2:11">
      <c r="B47" s="491" t="str">
        <f>CONCATENATE(C72,"     ",D72)</f>
        <v xml:space="preserve">     </v>
      </c>
      <c r="C47" s="795" t="s">
        <v>712</v>
      </c>
      <c r="D47" s="796"/>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2012 Expenditures + 5%</v>
      </c>
      <c r="I48" s="531"/>
      <c r="J48" s="528"/>
    </row>
    <row r="49" spans="2:10">
      <c r="B49" s="200"/>
      <c r="C49" s="492" t="s">
        <v>713</v>
      </c>
      <c r="D49" s="702">
        <f>inputOth!$E$77</f>
        <v>0</v>
      </c>
      <c r="E49" s="251">
        <f>ROUND(IF(D49&gt;0,(E48*D49),0),0)</f>
        <v>0</v>
      </c>
      <c r="G49" s="535">
        <f>G46-G48</f>
        <v>0</v>
      </c>
      <c r="H49" s="536" t="str">
        <f>CONCATENATE("Projected ",E1+1," Carryover (est.)")</f>
        <v>Projected 2015 Carryover (est.)</v>
      </c>
      <c r="I49" s="537"/>
      <c r="J49" s="538"/>
    </row>
    <row r="50" spans="2:10">
      <c r="B50" s="65"/>
      <c r="C50" s="797" t="str">
        <f>CONCATENATE("Amount of  ",$E$1-1," Ad Valorem Tax")</f>
        <v>Amount of  2013 Ad Valorem Tax</v>
      </c>
      <c r="D50" s="798"/>
      <c r="E50" s="178">
        <f>E48+E49</f>
        <v>0</v>
      </c>
    </row>
    <row r="51" spans="2:10">
      <c r="B51" s="65"/>
      <c r="C51" s="65"/>
      <c r="D51" s="65"/>
      <c r="E51" s="65"/>
      <c r="G51" s="790" t="s">
        <v>841</v>
      </c>
      <c r="H51" s="791"/>
      <c r="I51" s="791"/>
      <c r="J51" s="792"/>
    </row>
    <row r="52" spans="2:10">
      <c r="B52" s="65"/>
      <c r="C52" s="65"/>
      <c r="D52" s="65"/>
      <c r="E52" s="65"/>
      <c r="G52" s="710"/>
      <c r="H52" s="530"/>
      <c r="I52" s="701"/>
      <c r="J52" s="711"/>
    </row>
    <row r="53" spans="2:10">
      <c r="B53" s="153" t="s">
        <v>278</v>
      </c>
      <c r="C53" s="195">
        <f>E1-2</f>
        <v>2012</v>
      </c>
      <c r="D53" s="65"/>
      <c r="E53" s="65"/>
      <c r="G53" s="712" t="e">
        <f>summ!#REF!</f>
        <v>#REF!</v>
      </c>
      <c r="H53" s="530" t="str">
        <f>CONCATENATE("",E1," Fund Mill Rate")</f>
        <v>2014 Fund Mill Rate</v>
      </c>
      <c r="I53" s="701"/>
      <c r="J53" s="711"/>
    </row>
    <row r="54" spans="2:10">
      <c r="B54" s="76" t="s">
        <v>279</v>
      </c>
      <c r="C54" s="78" t="s">
        <v>280</v>
      </c>
      <c r="D54" s="65"/>
      <c r="E54" s="65"/>
      <c r="G54" s="713" t="e">
        <f>summ!#REF!</f>
        <v>#REF!</v>
      </c>
      <c r="H54" s="530" t="str">
        <f>CONCATENATE("",E1-1," Fund Mill Rate")</f>
        <v>2013 Fund Mill Rate</v>
      </c>
      <c r="I54" s="701"/>
      <c r="J54" s="711"/>
    </row>
    <row r="55" spans="2:10">
      <c r="B55" s="103" t="s">
        <v>262</v>
      </c>
      <c r="C55" s="490"/>
      <c r="D55" s="65"/>
      <c r="E55" s="65"/>
      <c r="G55" s="714">
        <f>summ!H19</f>
        <v>0.747</v>
      </c>
      <c r="H55" s="530" t="str">
        <f>CONCATENATE("Total ",E1," Mill Rate")</f>
        <v>Total 2014 Mill Rate</v>
      </c>
      <c r="I55" s="701"/>
      <c r="J55" s="711"/>
    </row>
    <row r="56" spans="2:10">
      <c r="B56" s="103" t="s">
        <v>281</v>
      </c>
      <c r="C56" s="328"/>
      <c r="D56" s="65"/>
      <c r="E56" s="65"/>
      <c r="G56" s="713">
        <f>summ!E19</f>
        <v>0</v>
      </c>
      <c r="H56" s="715" t="str">
        <f>CONCATENATE("Total ",E1-1," Mill Rate")</f>
        <v>Total 2013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3" t="str">
        <f>IF(AND(gen!C43&gt;0,gen!C45&gt;0),"Not Auth. Two General Transfers - Only One","")</f>
        <v/>
      </c>
      <c r="E58" s="65"/>
    </row>
    <row r="59" spans="2:10">
      <c r="B59" s="103" t="s">
        <v>184</v>
      </c>
      <c r="C59" s="485">
        <f>IF(gen!C45&gt;0,gen!C45,0)</f>
        <v>0</v>
      </c>
      <c r="D59" s="814"/>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Williamsburg Township</v>
      </c>
      <c r="C1" s="71" t="s">
        <v>283</v>
      </c>
      <c r="D1" s="65"/>
      <c r="E1" s="215">
        <f>inputPrYr!D9</f>
        <v>2014</v>
      </c>
    </row>
    <row r="2" spans="2:5">
      <c r="B2" s="525" t="s">
        <v>746</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inputOth!$B87</f>
        <v>0</v>
      </c>
      <c r="D35" s="82">
        <f>inputPrYr!$D24</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inputPrYr!B25</f>
        <v>0</v>
      </c>
      <c r="C45" s="383" t="str">
        <f>C5</f>
        <v>Actual for 2012</v>
      </c>
      <c r="D45" s="383" t="str">
        <f>D5</f>
        <v>Estimate for 2013</v>
      </c>
      <c r="E45" s="78" t="str">
        <f>E5</f>
        <v>Year for 2014</v>
      </c>
      <c r="G45" s="679">
        <f>summ!H19</f>
        <v>0.747</v>
      </c>
      <c r="H45" s="650" t="str">
        <f>CONCATENATE("Total ",E1," Mill Rate")</f>
        <v>Total 2014 Mill Rate</v>
      </c>
      <c r="I45" s="674"/>
      <c r="J45" s="675"/>
      <c r="K45" s="599"/>
    </row>
    <row r="46" spans="2:11">
      <c r="B46" s="79" t="s">
        <v>66</v>
      </c>
      <c r="C46" s="303"/>
      <c r="D46" s="384">
        <f>C74</f>
        <v>0</v>
      </c>
      <c r="E46" s="251">
        <f>D74</f>
        <v>0</v>
      </c>
      <c r="G46" s="677">
        <f>summ!E19</f>
        <v>0</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inputOth!$B88</f>
        <v>0</v>
      </c>
      <c r="D75" s="82">
        <f>inputPrYr!$D25</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0.747</v>
      </c>
      <c r="H89" s="650" t="str">
        <f>CONCATENATE("Total ",E1," Mill Rate")</f>
        <v>Total 2014 Mill Rate</v>
      </c>
      <c r="I89" s="674"/>
      <c r="J89" s="675"/>
    </row>
    <row r="90" spans="2:11">
      <c r="G90" s="677">
        <f>summ!E19</f>
        <v>0</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Williamsburg Township</v>
      </c>
      <c r="C1" s="65"/>
      <c r="D1" s="65"/>
      <c r="E1" s="215">
        <f>inputPrYr!D9</f>
        <v>2014</v>
      </c>
    </row>
    <row r="2" spans="2:5">
      <c r="B2" s="525" t="s">
        <v>746</v>
      </c>
      <c r="C2" s="65"/>
      <c r="D2" s="198"/>
      <c r="E2" s="324"/>
    </row>
    <row r="3" spans="2:5">
      <c r="B3" s="65"/>
      <c r="C3" s="69"/>
      <c r="D3" s="69"/>
      <c r="E3" s="69"/>
    </row>
    <row r="4" spans="2:5">
      <c r="B4" s="71" t="s">
        <v>258</v>
      </c>
      <c r="C4" s="382" t="s">
        <v>259</v>
      </c>
      <c r="D4" s="385" t="s">
        <v>260</v>
      </c>
      <c r="E4" s="73" t="s">
        <v>261</v>
      </c>
    </row>
    <row r="5" spans="2:5">
      <c r="B5" s="476" t="str">
        <f>inputPrYr!B26</f>
        <v>Fire Protection</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IF(inputPrYr!H19&gt;0,inputPrYr!G26,inputPrYr!E26)</f>
        <v>0</v>
      </c>
      <c r="E8" s="305" t="s">
        <v>245</v>
      </c>
    </row>
    <row r="9" spans="2:5">
      <c r="B9" s="79" t="s">
        <v>265</v>
      </c>
      <c r="C9" s="303"/>
      <c r="D9" s="303"/>
      <c r="E9" s="167"/>
    </row>
    <row r="10" spans="2:5">
      <c r="B10" s="79" t="s">
        <v>266</v>
      </c>
      <c r="C10" s="303"/>
      <c r="D10" s="303"/>
      <c r="E10" s="251">
        <f>mvalloc!G17</f>
        <v>0</v>
      </c>
    </row>
    <row r="11" spans="2:5">
      <c r="B11" s="79" t="s">
        <v>267</v>
      </c>
      <c r="C11" s="303"/>
      <c r="D11" s="303"/>
      <c r="E11" s="251">
        <f>mvalloc!I17</f>
        <v>0</v>
      </c>
    </row>
    <row r="12" spans="2:5">
      <c r="B12" s="79" t="s">
        <v>47</v>
      </c>
      <c r="C12" s="303"/>
      <c r="D12" s="303"/>
      <c r="E12" s="251">
        <f>mvalloc!J17</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inputOth!$B89</f>
        <v>0</v>
      </c>
      <c r="D35" s="82">
        <f>inputPrYr!$D26</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inputPrYr!B27</f>
        <v>0</v>
      </c>
      <c r="C45" s="383" t="str">
        <f>C5</f>
        <v>Actual for 2012</v>
      </c>
      <c r="D45" s="383" t="str">
        <f>D5</f>
        <v>Estimate for 2013</v>
      </c>
      <c r="E45" s="78" t="str">
        <f>E5</f>
        <v>Year for 2014</v>
      </c>
      <c r="G45" s="679">
        <f>summ!H19</f>
        <v>0.747</v>
      </c>
      <c r="H45" s="650" t="str">
        <f>CONCATENATE("Total ",E1," Mill Rate")</f>
        <v>Total 2014 Mill Rate</v>
      </c>
      <c r="I45" s="674"/>
      <c r="J45" s="675"/>
      <c r="K45" s="599"/>
    </row>
    <row r="46" spans="2:11">
      <c r="B46" s="79" t="s">
        <v>66</v>
      </c>
      <c r="C46" s="303"/>
      <c r="D46" s="384">
        <f>C74</f>
        <v>0</v>
      </c>
      <c r="E46" s="251">
        <f>D74</f>
        <v>0</v>
      </c>
      <c r="G46" s="677">
        <f>summ!E19</f>
        <v>0</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inputOth!$B90</f>
        <v>0</v>
      </c>
      <c r="D75" s="82">
        <f>inputPrYr!$D27</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49">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0.747</v>
      </c>
      <c r="H89" s="650" t="str">
        <f>CONCATENATE("Total ",E1," Mill Rate")</f>
        <v>Total 2014 Mill Rate</v>
      </c>
      <c r="I89" s="674"/>
      <c r="J89" s="675"/>
    </row>
    <row r="90" spans="2:11">
      <c r="G90" s="677">
        <f>summ!E19</f>
        <v>0</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Williamsburg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inputOth!$B91</f>
        <v>0</v>
      </c>
      <c r="D35" s="82">
        <f>inputPrYr!$D28</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inputPrYr!B29</f>
        <v>0</v>
      </c>
      <c r="C45" s="383" t="str">
        <f>C5</f>
        <v>Actual for 2012</v>
      </c>
      <c r="D45" s="383" t="str">
        <f>D5</f>
        <v>Estimate for 2013</v>
      </c>
      <c r="E45" s="78" t="str">
        <f>E5</f>
        <v>Year for 2014</v>
      </c>
      <c r="G45" s="679">
        <f>summ!H19</f>
        <v>0.747</v>
      </c>
      <c r="H45" s="650" t="str">
        <f>CONCATENATE("Total ",E1," Mill Rate")</f>
        <v>Total 2014 Mill Rate</v>
      </c>
      <c r="I45" s="674"/>
      <c r="J45" s="675"/>
      <c r="K45" s="599"/>
    </row>
    <row r="46" spans="2:11">
      <c r="B46" s="79" t="s">
        <v>66</v>
      </c>
      <c r="C46" s="303"/>
      <c r="D46" s="384">
        <f>C74</f>
        <v>0</v>
      </c>
      <c r="E46" s="251">
        <f>D74</f>
        <v>0</v>
      </c>
      <c r="G46" s="677">
        <f>summ!E19</f>
        <v>0</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inputOth!$B92</f>
        <v>0</v>
      </c>
      <c r="D75" s="82">
        <f>inputPrYr!$D29</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0.747</v>
      </c>
      <c r="H89" s="650" t="str">
        <f>CONCATENATE("Total ",E1," Mill Rate")</f>
        <v>Total 2014 Mill Rate</v>
      </c>
      <c r="I89" s="674"/>
      <c r="J89" s="675"/>
    </row>
    <row r="90" spans="2:11">
      <c r="G90" s="677">
        <f>summ!E19</f>
        <v>0</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Williamsburg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inputOth!$B93</f>
        <v>0</v>
      </c>
      <c r="D35" s="82">
        <f>inputPrYr!$D30</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inputPrYr!B31</f>
        <v>0</v>
      </c>
      <c r="C45" s="383" t="str">
        <f>C5</f>
        <v>Actual for 2012</v>
      </c>
      <c r="D45" s="383" t="str">
        <f>D5</f>
        <v>Estimate for 2013</v>
      </c>
      <c r="E45" s="78" t="str">
        <f>E5</f>
        <v>Year for 2014</v>
      </c>
      <c r="G45" s="679">
        <f>summ!H19</f>
        <v>0.747</v>
      </c>
      <c r="H45" s="650" t="str">
        <f>CONCATENATE("Total ",E1," Mill Rate")</f>
        <v>Total 2014 Mill Rate</v>
      </c>
      <c r="I45" s="674"/>
      <c r="J45" s="675"/>
      <c r="K45" s="599"/>
    </row>
    <row r="46" spans="2:11">
      <c r="B46" s="79" t="s">
        <v>66</v>
      </c>
      <c r="C46" s="303"/>
      <c r="D46" s="384">
        <f>C74</f>
        <v>0</v>
      </c>
      <c r="E46" s="251">
        <f>D74</f>
        <v>0</v>
      </c>
      <c r="G46" s="677">
        <f>summ!E19</f>
        <v>0</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inputOth!$B94</f>
        <v>0</v>
      </c>
      <c r="D75" s="82">
        <f>inputPrYr!$D31</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0.747</v>
      </c>
      <c r="H89" s="650" t="str">
        <f>CONCATENATE("Total ",E1," Mill Rate")</f>
        <v>Total 2014 Mill Rate</v>
      </c>
      <c r="I89" s="674"/>
      <c r="J89" s="675"/>
    </row>
    <row r="90" spans="2:11">
      <c r="G90" s="677">
        <f>summ!E19</f>
        <v>0</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46" workbookViewId="0">
      <selection activeCell="E65" sqref="E65"/>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923</v>
      </c>
      <c r="E3" s="70"/>
    </row>
    <row r="4" spans="1:8">
      <c r="A4" s="153" t="s">
        <v>215</v>
      </c>
      <c r="B4" s="65"/>
      <c r="C4" s="65"/>
      <c r="D4" s="154" t="s">
        <v>918</v>
      </c>
      <c r="E4" s="70"/>
    </row>
    <row r="5" spans="1:8">
      <c r="A5" s="65"/>
      <c r="B5" s="65"/>
      <c r="C5" s="65"/>
      <c r="D5" s="65"/>
      <c r="E5" s="65"/>
    </row>
    <row r="6" spans="1:8">
      <c r="A6" s="155" t="s">
        <v>141</v>
      </c>
      <c r="B6" s="65"/>
      <c r="C6" s="65"/>
      <c r="D6" s="357" t="s">
        <v>924</v>
      </c>
      <c r="E6" s="65"/>
    </row>
    <row r="7" spans="1:8">
      <c r="A7" s="155" t="s">
        <v>142</v>
      </c>
      <c r="B7" s="65"/>
      <c r="C7" s="65"/>
      <c r="D7" s="109"/>
      <c r="E7" s="65"/>
    </row>
    <row r="8" spans="1:8">
      <c r="A8" s="65"/>
      <c r="B8" s="65"/>
      <c r="C8" s="65"/>
      <c r="D8" s="65"/>
      <c r="E8" s="65"/>
    </row>
    <row r="9" spans="1:8">
      <c r="A9" s="155" t="s">
        <v>92</v>
      </c>
      <c r="B9" s="65"/>
      <c r="C9" s="65"/>
      <c r="D9" s="156">
        <v>2014</v>
      </c>
      <c r="E9" s="65"/>
    </row>
    <row r="10" spans="1:8">
      <c r="A10" s="65"/>
      <c r="B10" s="65"/>
      <c r="C10" s="65"/>
      <c r="D10" s="65"/>
      <c r="E10" s="65"/>
    </row>
    <row r="11" spans="1:8">
      <c r="A11" s="157" t="s">
        <v>94</v>
      </c>
      <c r="B11" s="158"/>
      <c r="C11" s="158"/>
      <c r="D11" s="158"/>
      <c r="E11" s="158"/>
      <c r="F11" s="65"/>
      <c r="G11" s="731" t="s">
        <v>782</v>
      </c>
      <c r="H11" s="732"/>
    </row>
    <row r="12" spans="1:8">
      <c r="A12" s="157" t="s">
        <v>157</v>
      </c>
      <c r="B12" s="158"/>
      <c r="C12" s="158"/>
      <c r="D12" s="158"/>
      <c r="E12" s="158"/>
      <c r="F12" s="65"/>
      <c r="G12" s="733"/>
      <c r="H12" s="732"/>
    </row>
    <row r="13" spans="1:8">
      <c r="A13" s="65"/>
      <c r="B13" s="65"/>
      <c r="C13" s="65"/>
      <c r="D13" s="65"/>
      <c r="E13" s="65"/>
      <c r="F13" s="65"/>
      <c r="G13" s="733"/>
      <c r="H13" s="732"/>
    </row>
    <row r="14" spans="1:8">
      <c r="A14" s="729" t="s">
        <v>103</v>
      </c>
      <c r="B14" s="730"/>
      <c r="C14" s="730"/>
      <c r="D14" s="730"/>
      <c r="E14" s="730"/>
      <c r="F14" s="65"/>
      <c r="G14" s="733"/>
      <c r="H14" s="732"/>
    </row>
    <row r="15" spans="1:8">
      <c r="A15" s="153"/>
      <c r="B15" s="65"/>
      <c r="C15" s="65"/>
      <c r="D15" s="65"/>
      <c r="E15" s="65"/>
      <c r="F15" s="65"/>
      <c r="G15" s="733"/>
      <c r="H15" s="732"/>
    </row>
    <row r="16" spans="1:8">
      <c r="A16" s="159" t="s">
        <v>93</v>
      </c>
      <c r="B16" s="160"/>
      <c r="C16" s="65"/>
      <c r="D16" s="68"/>
      <c r="E16" s="161"/>
      <c r="F16" s="65"/>
      <c r="G16" s="733"/>
      <c r="H16" s="732"/>
    </row>
    <row r="17" spans="1:8">
      <c r="A17" s="162" t="str">
        <f>CONCATENATE("the ",D9-1," Budget, Certificate Page:")</f>
        <v>the 2013 Budget, Certificate Page:</v>
      </c>
      <c r="B17" s="163"/>
      <c r="C17" s="68"/>
      <c r="D17" s="65"/>
      <c r="E17" s="65"/>
      <c r="F17" s="65"/>
      <c r="G17" s="70"/>
      <c r="H17" s="569"/>
    </row>
    <row r="18" spans="1:8">
      <c r="A18" s="162" t="s">
        <v>305</v>
      </c>
      <c r="B18" s="163"/>
      <c r="C18" s="68"/>
      <c r="D18" s="164">
        <f>D9-1</f>
        <v>2013</v>
      </c>
      <c r="E18" s="164">
        <f>D9-2</f>
        <v>2012</v>
      </c>
      <c r="G18" s="219" t="s">
        <v>783</v>
      </c>
      <c r="H18" s="87" t="s">
        <v>277</v>
      </c>
    </row>
    <row r="19" spans="1:8">
      <c r="A19" s="71" t="s">
        <v>227</v>
      </c>
      <c r="B19" s="65"/>
      <c r="C19" s="165" t="s">
        <v>226</v>
      </c>
      <c r="D19" s="166" t="s">
        <v>336</v>
      </c>
      <c r="E19" s="166" t="s">
        <v>264</v>
      </c>
      <c r="G19" s="221" t="str">
        <f>CONCATENATE("",E18," Ad Valorem Tax")</f>
        <v>2012 Ad Valorem Tax</v>
      </c>
      <c r="H19" s="570">
        <v>0</v>
      </c>
    </row>
    <row r="20" spans="1:8">
      <c r="A20" s="65"/>
      <c r="B20" s="103" t="s">
        <v>228</v>
      </c>
      <c r="C20" s="82" t="s">
        <v>229</v>
      </c>
      <c r="D20" s="167">
        <v>3660</v>
      </c>
      <c r="E20" s="167">
        <v>0</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t="s">
        <v>364</v>
      </c>
      <c r="C26" s="87" t="s">
        <v>365</v>
      </c>
      <c r="D26" s="167"/>
      <c r="E26" s="167"/>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2013</v>
      </c>
      <c r="B32" s="77"/>
      <c r="C32" s="171"/>
      <c r="D32" s="172"/>
      <c r="E32" s="173">
        <f>SUM(E20:E31)</f>
        <v>0</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2013</v>
      </c>
      <c r="B39" s="77"/>
      <c r="C39" s="77"/>
      <c r="D39" s="178">
        <f>SUM(D20:D31,D35:D38)</f>
        <v>3660</v>
      </c>
      <c r="E39" s="65"/>
    </row>
    <row r="40" spans="1:5">
      <c r="A40" s="106" t="s">
        <v>331</v>
      </c>
      <c r="B40" s="70"/>
      <c r="C40" s="70"/>
      <c r="D40" s="65"/>
      <c r="E40" s="65"/>
    </row>
    <row r="41" spans="1:5">
      <c r="A41" s="344">
        <v>1</v>
      </c>
      <c r="B41" s="176"/>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27" t="str">
        <f>CONCATENATE("",D9-3," Tax Rate         (",D9-2," Column)")</f>
        <v>2011 Tax Rate         (2012 Column)</v>
      </c>
      <c r="E47" s="65"/>
    </row>
    <row r="48" spans="1:5">
      <c r="A48" s="162" t="str">
        <f>CONCATENATE("the ",D9-1," Budget, Budget Summary Page:")</f>
        <v>the 2013 Budget, Budget Summary Page:</v>
      </c>
      <c r="B48" s="179"/>
      <c r="C48" s="65"/>
      <c r="D48" s="728"/>
      <c r="E48" s="65"/>
    </row>
    <row r="49" spans="1:5">
      <c r="A49" s="65"/>
      <c r="B49" s="89" t="str">
        <f>B20</f>
        <v>General</v>
      </c>
      <c r="C49" s="65"/>
      <c r="D49" s="180">
        <v>0</v>
      </c>
      <c r="E49" s="65"/>
    </row>
    <row r="50" spans="1:5">
      <c r="A50" s="65"/>
      <c r="B50" s="89">
        <f>B21</f>
        <v>0</v>
      </c>
      <c r="C50" s="65"/>
      <c r="D50" s="181"/>
      <c r="E50" s="65"/>
    </row>
    <row r="51" spans="1:5">
      <c r="A51" s="65"/>
      <c r="B51" s="89">
        <f>B22</f>
        <v>0</v>
      </c>
      <c r="C51" s="65"/>
      <c r="D51" s="181"/>
      <c r="E51" s="65"/>
    </row>
    <row r="52" spans="1:5">
      <c r="A52" s="65"/>
      <c r="B52" s="89">
        <f t="shared" ref="B52:B59" si="0">B23</f>
        <v>0</v>
      </c>
      <c r="C52" s="65"/>
      <c r="D52" s="181"/>
      <c r="E52" s="65"/>
    </row>
    <row r="53" spans="1:5">
      <c r="A53" s="65"/>
      <c r="B53" s="103">
        <f t="shared" si="0"/>
        <v>0</v>
      </c>
      <c r="C53" s="65"/>
      <c r="D53" s="181"/>
      <c r="E53" s="65"/>
    </row>
    <row r="54" spans="1:5">
      <c r="A54" s="65"/>
      <c r="B54" s="103">
        <f t="shared" si="0"/>
        <v>0</v>
      </c>
      <c r="C54" s="65"/>
      <c r="D54" s="181"/>
      <c r="E54" s="65"/>
    </row>
    <row r="55" spans="1:5">
      <c r="A55" s="65"/>
      <c r="B55" s="103" t="str">
        <f t="shared" si="0"/>
        <v>Fire Protection</v>
      </c>
      <c r="C55" s="65"/>
      <c r="D55" s="181"/>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2011 Tax Levy Rate</v>
      </c>
      <c r="B61" s="182"/>
      <c r="C61" s="88"/>
      <c r="D61" s="183">
        <f>SUM(D49:D60)</f>
        <v>0</v>
      </c>
      <c r="E61" s="65"/>
    </row>
    <row r="62" spans="1:5" ht="16.5" thickTop="1">
      <c r="A62" s="65"/>
      <c r="B62" s="65"/>
      <c r="C62" s="65"/>
      <c r="D62" s="65"/>
      <c r="E62" s="65"/>
    </row>
    <row r="63" spans="1:5">
      <c r="A63" s="184" t="str">
        <f>CONCATENATE("Total Tax Levy (",D9-2," budget column)")</f>
        <v>Total Tax Levy (2012 budget column)</v>
      </c>
      <c r="B63" s="160"/>
      <c r="C63" s="70"/>
      <c r="D63" s="70"/>
      <c r="E63" s="185">
        <v>0</v>
      </c>
    </row>
    <row r="64" spans="1:5">
      <c r="A64" s="184" t="str">
        <f>CONCATENATE("Assessed Valuation (",D9-2," budget column):")</f>
        <v>Assessed Valuation (2012 budget column):</v>
      </c>
      <c r="B64" s="160"/>
      <c r="C64" s="65"/>
      <c r="D64" s="65"/>
      <c r="E64" s="185">
        <v>5195421</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Williamsburg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Williamsburg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715</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Williamsburg Township</v>
      </c>
      <c r="B1" s="115"/>
      <c r="C1" s="110"/>
      <c r="D1" s="110"/>
      <c r="E1" s="110"/>
      <c r="F1" s="116" t="s">
        <v>319</v>
      </c>
      <c r="G1" s="110"/>
      <c r="H1" s="110"/>
      <c r="I1" s="110"/>
      <c r="J1" s="110"/>
      <c r="K1" s="110">
        <f>inputPrYr!$D$9</f>
        <v>2014</v>
      </c>
    </row>
    <row r="2" spans="1:11">
      <c r="A2" s="110"/>
      <c r="B2" s="110"/>
      <c r="C2" s="110"/>
      <c r="D2" s="110"/>
      <c r="E2" s="110"/>
      <c r="F2" s="117" t="str">
        <f>CONCATENATE("(Only the actual budget year for ",K1-2," is to be shown)")</f>
        <v>(Only the actual budget year for 2012 is to be shown)</v>
      </c>
      <c r="G2" s="110"/>
      <c r="H2" s="110"/>
      <c r="I2" s="110"/>
      <c r="J2" s="110"/>
      <c r="K2" s="110"/>
    </row>
    <row r="3" spans="1:11">
      <c r="A3" s="110" t="s">
        <v>320</v>
      </c>
      <c r="B3" s="110"/>
      <c r="C3" s="110"/>
      <c r="D3" s="110"/>
      <c r="E3" s="110"/>
      <c r="F3" s="115"/>
      <c r="G3" s="110"/>
      <c r="H3" s="110"/>
      <c r="I3" s="110"/>
      <c r="J3" s="110"/>
      <c r="K3" s="110"/>
    </row>
    <row r="4" spans="1:11">
      <c r="A4" s="110" t="s">
        <v>321</v>
      </c>
      <c r="B4" s="110"/>
      <c r="C4" s="110" t="s">
        <v>322</v>
      </c>
      <c r="D4" s="110"/>
      <c r="E4" s="110" t="s">
        <v>323</v>
      </c>
      <c r="F4" s="115"/>
      <c r="G4" s="110" t="s">
        <v>324</v>
      </c>
      <c r="H4" s="110"/>
      <c r="I4" s="110" t="s">
        <v>325</v>
      </c>
      <c r="J4" s="110"/>
      <c r="K4" s="110"/>
    </row>
    <row r="5" spans="1:11">
      <c r="A5" s="815">
        <f>inputPrYr!B41</f>
        <v>0</v>
      </c>
      <c r="B5" s="816"/>
      <c r="C5" s="815">
        <f>inputPrYr!B42</f>
        <v>0</v>
      </c>
      <c r="D5" s="816"/>
      <c r="E5" s="815">
        <f>inputPrYr!B43</f>
        <v>0</v>
      </c>
      <c r="F5" s="816"/>
      <c r="G5" s="817">
        <f>inputPrYr!B44</f>
        <v>0</v>
      </c>
      <c r="H5" s="816"/>
      <c r="I5" s="817">
        <f>inputPrYr!B45</f>
        <v>0</v>
      </c>
      <c r="J5" s="816"/>
      <c r="K5" s="120"/>
    </row>
    <row r="6" spans="1:11">
      <c r="A6" s="121" t="s">
        <v>326</v>
      </c>
      <c r="B6" s="122"/>
      <c r="C6" s="123" t="s">
        <v>326</v>
      </c>
      <c r="D6" s="124"/>
      <c r="E6" s="123" t="s">
        <v>326</v>
      </c>
      <c r="F6" s="125"/>
      <c r="G6" s="123" t="s">
        <v>326</v>
      </c>
      <c r="H6" s="119"/>
      <c r="I6" s="123" t="s">
        <v>326</v>
      </c>
      <c r="J6" s="110"/>
      <c r="K6" s="126" t="s">
        <v>231</v>
      </c>
    </row>
    <row r="7" spans="1:11">
      <c r="A7" s="127" t="s">
        <v>327</v>
      </c>
      <c r="B7" s="128"/>
      <c r="C7" s="129" t="s">
        <v>327</v>
      </c>
      <c r="D7" s="128"/>
      <c r="E7" s="129" t="s">
        <v>327</v>
      </c>
      <c r="F7" s="128"/>
      <c r="G7" s="129" t="s">
        <v>327</v>
      </c>
      <c r="H7" s="128"/>
      <c r="I7" s="129" t="s">
        <v>327</v>
      </c>
      <c r="J7" s="128"/>
      <c r="K7" s="130">
        <f>SUM(B7+D7+F7+H7+J7)</f>
        <v>0</v>
      </c>
    </row>
    <row r="8" spans="1:11">
      <c r="A8" s="131" t="s">
        <v>68</v>
      </c>
      <c r="B8" s="132"/>
      <c r="C8" s="131" t="s">
        <v>68</v>
      </c>
      <c r="D8" s="133"/>
      <c r="E8" s="131" t="s">
        <v>68</v>
      </c>
      <c r="F8" s="115"/>
      <c r="G8" s="131" t="s">
        <v>68</v>
      </c>
      <c r="H8" s="110"/>
      <c r="I8" s="131" t="s">
        <v>68</v>
      </c>
      <c r="J8" s="110"/>
      <c r="K8" s="115"/>
    </row>
    <row r="9" spans="1:11">
      <c r="A9" s="134"/>
      <c r="B9" s="128"/>
      <c r="C9" s="134"/>
      <c r="D9" s="128"/>
      <c r="E9" s="134"/>
      <c r="F9" s="128"/>
      <c r="G9" s="134"/>
      <c r="H9" s="128"/>
      <c r="I9" s="134"/>
      <c r="J9" s="128"/>
      <c r="K9" s="115"/>
    </row>
    <row r="10" spans="1:11">
      <c r="A10" s="134"/>
      <c r="B10" s="128"/>
      <c r="C10" s="134"/>
      <c r="D10" s="128"/>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0</v>
      </c>
      <c r="C17" s="131" t="s">
        <v>271</v>
      </c>
      <c r="D17" s="130">
        <f>SUM(D9:D16)</f>
        <v>0</v>
      </c>
      <c r="E17" s="131" t="s">
        <v>271</v>
      </c>
      <c r="F17" s="144">
        <f>SUM(F9:F16)</f>
        <v>0</v>
      </c>
      <c r="G17" s="131" t="s">
        <v>271</v>
      </c>
      <c r="H17" s="130">
        <f>SUM(H9:H16)</f>
        <v>0</v>
      </c>
      <c r="I17" s="131" t="s">
        <v>271</v>
      </c>
      <c r="J17" s="130">
        <f>SUM(J9:J16)</f>
        <v>0</v>
      </c>
      <c r="K17" s="130">
        <f>SUM(B17+D17+F17+H17+J17)</f>
        <v>0</v>
      </c>
    </row>
    <row r="18" spans="1:12">
      <c r="A18" s="131" t="s">
        <v>272</v>
      </c>
      <c r="B18" s="130">
        <f>SUM(B7+B17)</f>
        <v>0</v>
      </c>
      <c r="C18" s="131" t="s">
        <v>272</v>
      </c>
      <c r="D18" s="130">
        <f>SUM(D7+D17)</f>
        <v>0</v>
      </c>
      <c r="E18" s="131" t="s">
        <v>272</v>
      </c>
      <c r="F18" s="130">
        <f>SUM(F7+F17)</f>
        <v>0</v>
      </c>
      <c r="G18" s="131" t="s">
        <v>272</v>
      </c>
      <c r="H18" s="130">
        <f>SUM(H7+H17)</f>
        <v>0</v>
      </c>
      <c r="I18" s="131" t="s">
        <v>272</v>
      </c>
      <c r="J18" s="130">
        <f>SUM(J7+J17)</f>
        <v>0</v>
      </c>
      <c r="K18" s="130">
        <f>SUM(B18+D18+F18+H18+J18)</f>
        <v>0</v>
      </c>
    </row>
    <row r="19" spans="1:12">
      <c r="A19" s="131" t="s">
        <v>273</v>
      </c>
      <c r="B19" s="132"/>
      <c r="C19" s="131" t="s">
        <v>273</v>
      </c>
      <c r="D19" s="133"/>
      <c r="E19" s="131" t="s">
        <v>273</v>
      </c>
      <c r="F19" s="115"/>
      <c r="G19" s="131" t="s">
        <v>273</v>
      </c>
      <c r="H19" s="110"/>
      <c r="I19" s="131" t="s">
        <v>273</v>
      </c>
      <c r="J19" s="110"/>
      <c r="K19" s="115"/>
    </row>
    <row r="20" spans="1:12">
      <c r="A20" s="134"/>
      <c r="B20" s="128"/>
      <c r="C20" s="140"/>
      <c r="D20" s="128"/>
      <c r="E20" s="140"/>
      <c r="F20" s="128"/>
      <c r="G20" s="140"/>
      <c r="H20" s="128"/>
      <c r="I20" s="140"/>
      <c r="J20" s="128"/>
      <c r="K20" s="115"/>
    </row>
    <row r="21" spans="1:12">
      <c r="A21" s="134"/>
      <c r="B21" s="128"/>
      <c r="C21" s="140"/>
      <c r="D21" s="128"/>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0</v>
      </c>
      <c r="C28" s="131" t="s">
        <v>274</v>
      </c>
      <c r="D28" s="130">
        <f>SUM(D20:D27)</f>
        <v>0</v>
      </c>
      <c r="E28" s="131" t="s">
        <v>274</v>
      </c>
      <c r="F28" s="144">
        <f>SUM(F20:F27)</f>
        <v>0</v>
      </c>
      <c r="G28" s="131" t="s">
        <v>274</v>
      </c>
      <c r="H28" s="144">
        <f>SUM(H20:H27)</f>
        <v>0</v>
      </c>
      <c r="I28" s="131" t="s">
        <v>274</v>
      </c>
      <c r="J28" s="130">
        <f>SUM(J20:J27)</f>
        <v>0</v>
      </c>
      <c r="K28" s="130">
        <f>SUM(B28+D28+F28+H28+J28)</f>
        <v>0</v>
      </c>
    </row>
    <row r="29" spans="1:12">
      <c r="A29" s="131" t="s">
        <v>328</v>
      </c>
      <c r="B29" s="130">
        <f>SUM(B18-B28)</f>
        <v>0</v>
      </c>
      <c r="C29" s="131" t="s">
        <v>328</v>
      </c>
      <c r="D29" s="130">
        <f>SUM(D18-D28)</f>
        <v>0</v>
      </c>
      <c r="E29" s="131" t="s">
        <v>328</v>
      </c>
      <c r="F29" s="130">
        <f>SUM(F18-F28)</f>
        <v>0</v>
      </c>
      <c r="G29" s="131" t="s">
        <v>328</v>
      </c>
      <c r="H29" s="130">
        <f>SUM(H18-H28)</f>
        <v>0</v>
      </c>
      <c r="I29" s="131" t="s">
        <v>328</v>
      </c>
      <c r="J29" s="130">
        <f>SUM(J18-J28)</f>
        <v>0</v>
      </c>
      <c r="K29" s="145">
        <f>SUM(B29+D29+F29+H29+J29)</f>
        <v>0</v>
      </c>
      <c r="L29" s="111" t="s">
        <v>329</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0</v>
      </c>
      <c r="L30" s="111" t="s">
        <v>329</v>
      </c>
    </row>
    <row r="31" spans="1:12">
      <c r="A31" s="110"/>
      <c r="B31" s="146"/>
      <c r="C31" s="110"/>
      <c r="D31" s="115"/>
      <c r="E31" s="110"/>
      <c r="F31" s="110"/>
      <c r="G31" s="147" t="s">
        <v>330</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337</v>
      </c>
    </row>
    <row r="2" spans="1:1" ht="53.25" customHeight="1">
      <c r="A2" s="207" t="s">
        <v>338</v>
      </c>
    </row>
    <row r="3" spans="1:1">
      <c r="A3" s="348"/>
    </row>
    <row r="4" spans="1:1" ht="58.5" customHeight="1">
      <c r="A4" s="207" t="s">
        <v>339</v>
      </c>
    </row>
    <row r="5" spans="1:1">
      <c r="A5" s="111"/>
    </row>
    <row r="6" spans="1:1" ht="55.5" customHeight="1">
      <c r="A6" s="207" t="s">
        <v>340</v>
      </c>
    </row>
    <row r="7" spans="1:1">
      <c r="A7" s="348"/>
    </row>
    <row r="8" spans="1:1" ht="42.75" customHeight="1">
      <c r="A8" s="207" t="s">
        <v>341</v>
      </c>
    </row>
    <row r="9" spans="1:1">
      <c r="A9" s="111"/>
    </row>
    <row r="10" spans="1:1" ht="31.5">
      <c r="A10" s="207" t="s">
        <v>342</v>
      </c>
    </row>
    <row r="11" spans="1:1">
      <c r="A11" s="348"/>
    </row>
    <row r="12" spans="1:1" ht="69.75" customHeight="1">
      <c r="A12" s="207" t="s">
        <v>343</v>
      </c>
    </row>
    <row r="13" spans="1:1">
      <c r="A13" s="348"/>
    </row>
    <row r="14" spans="1:1" ht="40.5" customHeight="1">
      <c r="A14" s="207" t="s">
        <v>344</v>
      </c>
    </row>
    <row r="15" spans="1:1">
      <c r="A15" s="111"/>
    </row>
    <row r="16" spans="1:1" ht="56.25" customHeight="1">
      <c r="A16" s="207" t="s">
        <v>345</v>
      </c>
    </row>
    <row r="17" spans="1:1">
      <c r="A17" s="348"/>
    </row>
    <row r="18" spans="1:1" ht="54.75" customHeight="1">
      <c r="A18" s="207" t="s">
        <v>346</v>
      </c>
    </row>
    <row r="19" spans="1:1">
      <c r="A19" s="348"/>
    </row>
    <row r="20" spans="1:1" ht="55.5" customHeight="1">
      <c r="A20" s="207" t="s">
        <v>347</v>
      </c>
    </row>
    <row r="21" spans="1:1">
      <c r="A21" s="348"/>
    </row>
    <row r="22" spans="1:1" ht="76.5" customHeight="1">
      <c r="A22" s="207"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6"/>
  <sheetViews>
    <sheetView topLeftCell="A7" workbookViewId="0">
      <selection activeCell="C19" sqref="C19"/>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2014</v>
      </c>
    </row>
    <row r="2" spans="1:9">
      <c r="A2" s="776" t="s">
        <v>19</v>
      </c>
      <c r="B2" s="758"/>
      <c r="C2" s="758"/>
      <c r="D2" s="758"/>
      <c r="E2" s="758"/>
      <c r="F2" s="758"/>
      <c r="G2" s="758"/>
      <c r="H2" s="758"/>
    </row>
    <row r="3" spans="1:9">
      <c r="A3" s="356"/>
      <c r="B3" s="65"/>
      <c r="C3" s="65"/>
      <c r="D3" s="65"/>
      <c r="E3" s="65"/>
      <c r="F3" s="71" t="s">
        <v>284</v>
      </c>
      <c r="G3" s="71" t="s">
        <v>285</v>
      </c>
      <c r="H3" s="65"/>
    </row>
    <row r="4" spans="1:9">
      <c r="A4" s="771" t="s">
        <v>286</v>
      </c>
      <c r="B4" s="771"/>
      <c r="C4" s="771"/>
      <c r="D4" s="771"/>
      <c r="E4" s="771"/>
      <c r="F4" s="771"/>
      <c r="G4" s="771"/>
      <c r="H4" s="771"/>
    </row>
    <row r="5" spans="1:9">
      <c r="A5" s="774" t="str">
        <f>inputPrYr!D3</f>
        <v>Williamsburg Township</v>
      </c>
      <c r="B5" s="774"/>
      <c r="C5" s="774"/>
      <c r="D5" s="774"/>
      <c r="E5" s="774"/>
      <c r="F5" s="774"/>
      <c r="G5" s="774"/>
      <c r="H5" s="774"/>
    </row>
    <row r="6" spans="1:9">
      <c r="A6" s="774" t="str">
        <f>inputPrYr!D4</f>
        <v>Franklin County</v>
      </c>
      <c r="B6" s="774"/>
      <c r="C6" s="774"/>
      <c r="D6" s="774"/>
      <c r="E6" s="774"/>
      <c r="F6" s="774"/>
      <c r="G6" s="774"/>
      <c r="H6" s="774"/>
    </row>
    <row r="7" spans="1:9">
      <c r="A7" s="823" t="str">
        <f>CONCATENATE("will meet on ",inputBudSum!B8," at ",inputBudSum!B10," at ",inputBudSum!B12," for the purpose of hearing and")</f>
        <v>will meet on August 15, 2013 at 6:30 p.m. at Williamsburg Community Building for the purpose of hearing and</v>
      </c>
      <c r="B7" s="823"/>
      <c r="C7" s="823"/>
      <c r="D7" s="823"/>
      <c r="E7" s="823"/>
      <c r="F7" s="823"/>
      <c r="G7" s="823"/>
      <c r="H7" s="823"/>
    </row>
    <row r="8" spans="1:9">
      <c r="A8" s="771" t="s">
        <v>392</v>
      </c>
      <c r="B8" s="773"/>
      <c r="C8" s="773"/>
      <c r="D8" s="773"/>
      <c r="E8" s="773"/>
      <c r="F8" s="773"/>
      <c r="G8" s="773"/>
      <c r="H8" s="773"/>
    </row>
    <row r="9" spans="1:9">
      <c r="A9" s="769" t="str">
        <f>CONCATENATE("Detailed budget information is available at ",inputBudSum!B15," and will be available at this hearing.")</f>
        <v>Detailed budget information is available at Franklin County Clerk's Office and will be available at this hearing.</v>
      </c>
      <c r="B9" s="758"/>
      <c r="C9" s="758"/>
      <c r="D9" s="758"/>
      <c r="E9" s="758"/>
      <c r="F9" s="758"/>
      <c r="G9" s="758"/>
      <c r="H9" s="758"/>
    </row>
    <row r="10" spans="1:9">
      <c r="A10" s="776" t="s">
        <v>20</v>
      </c>
      <c r="B10" s="773"/>
      <c r="C10" s="773"/>
      <c r="D10" s="773"/>
      <c r="E10" s="773"/>
      <c r="F10" s="773"/>
      <c r="G10" s="773"/>
      <c r="H10" s="773"/>
    </row>
    <row r="11" spans="1:9">
      <c r="A11" s="771" t="str">
        <f>CONCATENATE("Proposed Budget ",H1," Expenditures and Amount of ",H1-1," Ad Valorem Tax establish the maximum limits")</f>
        <v>Proposed Budget 2014 Expenditures and Amount of 2013 Ad Valorem Tax establish the maximum limits</v>
      </c>
      <c r="B11" s="773"/>
      <c r="C11" s="773"/>
      <c r="D11" s="773"/>
      <c r="E11" s="773"/>
      <c r="F11" s="773"/>
      <c r="G11" s="773"/>
      <c r="H11" s="773"/>
    </row>
    <row r="12" spans="1:9">
      <c r="A12" s="771" t="str">
        <f>CONCATENATE("of the ",H1," budget.  Estimated Tax Rate is subject to change depending on the final assessed valuation.")</f>
        <v>of the 2014 budget.  Estimated Tax Rate is subject to change depending on the final assessed valuation.</v>
      </c>
      <c r="B12" s="773"/>
      <c r="C12" s="773"/>
      <c r="D12" s="773"/>
      <c r="E12" s="773"/>
      <c r="F12" s="773"/>
      <c r="G12" s="773"/>
      <c r="H12" s="773"/>
    </row>
    <row r="13" spans="1:9">
      <c r="A13" s="71"/>
      <c r="B13" s="70"/>
      <c r="C13" s="70"/>
      <c r="D13" s="70"/>
      <c r="E13" s="70"/>
      <c r="F13" s="70"/>
      <c r="G13" s="70"/>
      <c r="H13" s="70"/>
      <c r="I13" s="189"/>
    </row>
    <row r="14" spans="1:9">
      <c r="A14" s="196"/>
      <c r="B14" s="190" t="str">
        <f>CONCATENATE("Prior Year Actual ",H1-2,"")</f>
        <v>Prior Year Actual 2012</v>
      </c>
      <c r="C14" s="191"/>
      <c r="D14" s="190" t="str">
        <f>CONCATENATE("Current Year Estimate ",H1-1,"")</f>
        <v>Current Year Estimate 2013</v>
      </c>
      <c r="E14" s="192"/>
      <c r="F14" s="193" t="str">
        <f>CONCATENATE("Proposed Budget ",H1,"")</f>
        <v>Proposed Budget 2014</v>
      </c>
      <c r="G14" s="194"/>
      <c r="H14" s="192"/>
      <c r="I14" s="189"/>
    </row>
    <row r="15" spans="1:9" ht="22.5" customHeight="1">
      <c r="A15" s="74"/>
      <c r="B15" s="195"/>
      <c r="C15" s="73" t="s">
        <v>280</v>
      </c>
      <c r="D15" s="73"/>
      <c r="E15" s="73" t="s">
        <v>280</v>
      </c>
      <c r="F15" s="196"/>
      <c r="G15" s="763" t="str">
        <f>CONCATENATE("Amount of ",H1-1," Ad Valorem Tax")</f>
        <v>Amount of 2013 Ad Valorem Tax</v>
      </c>
      <c r="H15" s="73" t="s">
        <v>287</v>
      </c>
      <c r="I15" s="189"/>
    </row>
    <row r="16" spans="1:9">
      <c r="A16" s="74"/>
      <c r="B16" s="75"/>
      <c r="C16" s="75" t="s">
        <v>288</v>
      </c>
      <c r="D16" s="75"/>
      <c r="E16" s="75" t="s">
        <v>288</v>
      </c>
      <c r="F16" s="487" t="s">
        <v>166</v>
      </c>
      <c r="G16" s="821"/>
      <c r="H16" s="75" t="s">
        <v>288</v>
      </c>
      <c r="I16" s="189"/>
    </row>
    <row r="17" spans="1:15">
      <c r="A17" s="78" t="s">
        <v>241</v>
      </c>
      <c r="B17" s="78" t="s">
        <v>289</v>
      </c>
      <c r="C17" s="78" t="s">
        <v>290</v>
      </c>
      <c r="D17" s="78" t="s">
        <v>289</v>
      </c>
      <c r="E17" s="78" t="s">
        <v>290</v>
      </c>
      <c r="F17" s="486" t="s">
        <v>710</v>
      </c>
      <c r="G17" s="822"/>
      <c r="H17" s="78" t="s">
        <v>290</v>
      </c>
      <c r="I17" s="189"/>
      <c r="J17" s="512"/>
    </row>
    <row r="18" spans="1:15">
      <c r="A18" s="89" t="str">
        <f>inputPrYr!B20</f>
        <v>General</v>
      </c>
      <c r="B18" s="89">
        <f>IF(gen!$C$50&lt;&gt;0,gen!$C$50,"  ")</f>
        <v>3434</v>
      </c>
      <c r="C18" s="92" t="str">
        <f>IF(inputPrYr!D49&gt;0,inputPrYr!D49,"  ")</f>
        <v xml:space="preserve">  </v>
      </c>
      <c r="D18" s="89">
        <f>IF(gen!$D$50&lt;&gt;0,gen!$D$50,"  ")</f>
        <v>3460</v>
      </c>
      <c r="E18" s="92" t="str">
        <f>IF(inputOth!D37&gt;0,inputOth!D37,"  ")</f>
        <v xml:space="preserve">  </v>
      </c>
      <c r="F18" s="89">
        <f>IF(gen!$E$50&lt;&gt;0,gen!$E$50,"  ")</f>
        <v>5000</v>
      </c>
      <c r="G18" s="89">
        <f>IF(gen!$E$57&lt;&gt;0,gen!$E$57,"")</f>
        <v>3814</v>
      </c>
      <c r="H18" s="92">
        <f>IF(gen!E57&gt;0,ROUND(G18/F23*1000,3)," ")</f>
        <v>0.747</v>
      </c>
      <c r="I18" s="189"/>
      <c r="J18" s="512"/>
    </row>
    <row r="19" spans="1:15">
      <c r="A19" s="103" t="s">
        <v>244</v>
      </c>
      <c r="B19" s="469">
        <f t="shared" ref="B19:H19" si="0">SUM(B18:B18)</f>
        <v>3434</v>
      </c>
      <c r="C19" s="470">
        <f t="shared" si="0"/>
        <v>0</v>
      </c>
      <c r="D19" s="469">
        <f t="shared" si="0"/>
        <v>3460</v>
      </c>
      <c r="E19" s="470">
        <f t="shared" si="0"/>
        <v>0</v>
      </c>
      <c r="F19" s="469">
        <f t="shared" si="0"/>
        <v>5000</v>
      </c>
      <c r="G19" s="469">
        <f t="shared" si="0"/>
        <v>3814</v>
      </c>
      <c r="H19" s="470">
        <f t="shared" si="0"/>
        <v>0.747</v>
      </c>
      <c r="J19" s="818" t="str">
        <f>CONCATENATE("Impact On Keeping The Same Mill Rate As For ",H1-1,"")</f>
        <v>Impact On Keeping The Same Mill Rate As For 2013</v>
      </c>
      <c r="K19" s="819"/>
      <c r="L19" s="819"/>
      <c r="M19" s="820"/>
    </row>
    <row r="20" spans="1:15">
      <c r="A20" s="103" t="s">
        <v>291</v>
      </c>
      <c r="B20" s="89">
        <f>transfer!C29</f>
        <v>0</v>
      </c>
      <c r="C20" s="65"/>
      <c r="D20" s="89">
        <f>transfer!D29</f>
        <v>0</v>
      </c>
      <c r="E20" s="198"/>
      <c r="F20" s="89">
        <f>transfer!E29</f>
        <v>0</v>
      </c>
      <c r="G20" s="65"/>
      <c r="H20" s="65"/>
      <c r="J20" s="509"/>
      <c r="K20" s="511"/>
      <c r="L20" s="511"/>
      <c r="M20" s="508"/>
    </row>
    <row r="21" spans="1:15" ht="16.5" thickBot="1">
      <c r="A21" s="103" t="s">
        <v>292</v>
      </c>
      <c r="B21" s="471">
        <f>B19-B20</f>
        <v>3434</v>
      </c>
      <c r="C21" s="65"/>
      <c r="D21" s="471">
        <f>D19-D20</f>
        <v>3460</v>
      </c>
      <c r="E21" s="65"/>
      <c r="F21" s="471">
        <f>F19-F20</f>
        <v>5000</v>
      </c>
      <c r="G21" s="65"/>
      <c r="H21" s="65"/>
      <c r="J21" s="509" t="str">
        <f>CONCATENATE("",H1," Ad Valorem Tax Rev(Township Only):")</f>
        <v>2014 Ad Valorem Tax Rev(Township Only):</v>
      </c>
      <c r="K21" s="511"/>
      <c r="L21" s="511"/>
      <c r="M21" s="510" t="e">
        <f>SUM(#REF!)</f>
        <v>#REF!</v>
      </c>
    </row>
    <row r="22" spans="1:15" ht="16.5" thickTop="1">
      <c r="A22" s="103" t="s">
        <v>0</v>
      </c>
      <c r="B22" s="220">
        <f>inputPrYr!E63</f>
        <v>0</v>
      </c>
      <c r="C22" s="198"/>
      <c r="D22" s="220">
        <f>inputPrYr!E32</f>
        <v>0</v>
      </c>
      <c r="E22" s="65"/>
      <c r="F22" s="472" t="s">
        <v>245</v>
      </c>
      <c r="G22" s="65"/>
      <c r="H22" s="65"/>
      <c r="J22" s="509" t="str">
        <f>CONCATENATE("",H1," Ad Valorem Tax Rev(Township Tot):")</f>
        <v>2014 Ad Valorem Tax Rev(Township Tot):</v>
      </c>
      <c r="K22" s="511"/>
      <c r="L22" s="511"/>
      <c r="M22" s="517" t="e">
        <f>SUM(G18,#REF!,#REF!,#REF!,#REF!,#REF!,#REF!,#REF!)</f>
        <v>#REF!</v>
      </c>
    </row>
    <row r="23" spans="1:15">
      <c r="A23" s="103" t="s">
        <v>171</v>
      </c>
      <c r="B23" s="89">
        <f>inputPrYr!E64</f>
        <v>5195421</v>
      </c>
      <c r="C23" s="198"/>
      <c r="D23" s="89">
        <f>inputOth!E55</f>
        <v>5308337</v>
      </c>
      <c r="E23" s="198"/>
      <c r="F23" s="89">
        <f>inputOth!E11</f>
        <v>5107956</v>
      </c>
      <c r="G23" s="65"/>
      <c r="H23" s="65"/>
      <c r="J23" s="509" t="str">
        <f>CONCATENATE("Total ",H1," Ad Valorem Tax Revenue:")</f>
        <v>Total 2014 Ad Valorem Tax Revenue:</v>
      </c>
      <c r="K23" s="498"/>
      <c r="L23" s="498"/>
      <c r="M23" s="518" t="e">
        <f>M21+M22</f>
        <v>#REF!</v>
      </c>
    </row>
    <row r="24" spans="1:15">
      <c r="A24" s="79" t="s">
        <v>225</v>
      </c>
      <c r="B24" s="199"/>
      <c r="C24" s="65"/>
      <c r="D24" s="174"/>
      <c r="E24" s="65"/>
      <c r="F24" s="89">
        <f>inputOth!E8</f>
        <v>3926293</v>
      </c>
      <c r="G24" s="65"/>
      <c r="H24" s="65"/>
      <c r="J24" s="509" t="str">
        <f>CONCATENATE("",H1-1," Ad Valorem Tax Rev(Township Only):")</f>
        <v>2013 Ad Valorem Tax Rev(Township Only):</v>
      </c>
      <c r="K24" s="511"/>
      <c r="L24" s="511"/>
      <c r="M24" s="519" t="e">
        <f>ROUND(SUM(#REF!)*F24/1000,0)</f>
        <v>#REF!</v>
      </c>
      <c r="N24" s="513"/>
    </row>
    <row r="25" spans="1:15">
      <c r="A25" s="106"/>
      <c r="B25" s="174"/>
      <c r="C25" s="65"/>
      <c r="D25" s="174"/>
      <c r="E25" s="65"/>
      <c r="F25" s="174"/>
      <c r="G25" s="65"/>
      <c r="H25" s="65"/>
      <c r="J25" s="509" t="str">
        <f>CONCATENATE("",H1-1," Ad Valorem Tax Rev(Township Tot):")</f>
        <v>2013 Ad Valorem Tax Rev(Township Tot):</v>
      </c>
      <c r="K25" s="498"/>
      <c r="L25" s="498"/>
      <c r="M25" s="520" t="e">
        <f>ROUND(SUM(E18,#REF!,#REF!,(#REF!,#REF!,#REF!,#REF!,#REF!))*F23/1000,0)</f>
        <v>#REF!</v>
      </c>
      <c r="N25" s="513"/>
      <c r="O25" s="513"/>
    </row>
    <row r="26" spans="1:15">
      <c r="A26" s="65" t="s">
        <v>929</v>
      </c>
      <c r="B26" s="65"/>
      <c r="C26" s="65"/>
      <c r="D26" s="65"/>
      <c r="E26" s="65"/>
      <c r="F26" s="65"/>
      <c r="G26" s="65"/>
      <c r="H26" s="65"/>
      <c r="J26" s="497" t="s">
        <v>719</v>
      </c>
      <c r="K26" s="70"/>
      <c r="L26" s="70"/>
      <c r="M26" s="514" t="e">
        <f>IF(#REF!=0,0,ROUND(SUM(#REF!)/#REF!,2))</f>
        <v>#REF!</v>
      </c>
    </row>
    <row r="27" spans="1:15">
      <c r="A27" s="65" t="s">
        <v>922</v>
      </c>
      <c r="B27" s="200" t="s">
        <v>257</v>
      </c>
      <c r="C27" s="201">
        <v>9</v>
      </c>
      <c r="D27" s="65"/>
      <c r="E27" s="65"/>
      <c r="F27" s="65"/>
      <c r="G27" s="65"/>
      <c r="H27" s="65"/>
      <c r="J27" s="497" t="s">
        <v>720</v>
      </c>
      <c r="K27" s="70"/>
      <c r="L27" s="70"/>
      <c r="M27" s="514" t="e">
        <f>IF(#REF!=0,0,ROUND(SUM(H18+#REF!+#REF!+#REF!+#REF!+#REF!+#REF!+#REF!)/#REF!,2))</f>
        <v>#REF!</v>
      </c>
    </row>
    <row r="28" spans="1:15">
      <c r="A28" s="111"/>
      <c r="B28" s="111"/>
      <c r="C28" s="111"/>
      <c r="H28" s="515"/>
      <c r="J28" s="507" t="str">
        <f>CONCATENATE("",$H$1," Tax Levy Fund Total Exp. Changed By:")</f>
        <v>2014 Tax Levy Fund Total Exp. Changed By:</v>
      </c>
      <c r="K28" s="506"/>
      <c r="L28" s="506"/>
      <c r="M28" s="510"/>
    </row>
    <row r="29" spans="1:15">
      <c r="J29" s="521" t="s">
        <v>721</v>
      </c>
      <c r="K29" s="522"/>
      <c r="L29" s="522"/>
      <c r="M29" s="518" t="e">
        <f>ROUND(F24*#REF!*M26/1000,0)</f>
        <v>#REF!</v>
      </c>
    </row>
    <row r="30" spans="1:15">
      <c r="A30" s="111"/>
      <c r="B30" s="111"/>
      <c r="C30" s="111"/>
      <c r="D30" s="111"/>
      <c r="E30" s="111"/>
      <c r="F30" s="111"/>
      <c r="G30" s="111"/>
      <c r="J30" s="505" t="s">
        <v>722</v>
      </c>
      <c r="K30" s="503"/>
      <c r="L30" s="503"/>
      <c r="M30" s="504" t="e">
        <f>ROUND(F23*#REF!*M27/1000,0)</f>
        <v>#REF!</v>
      </c>
    </row>
    <row r="31" spans="1:15">
      <c r="H31" s="111"/>
      <c r="M31" s="516"/>
    </row>
    <row r="32" spans="1:15">
      <c r="M32" s="516"/>
    </row>
    <row r="52" spans="1:8">
      <c r="A52" s="111"/>
      <c r="B52" s="111"/>
      <c r="C52" s="111"/>
      <c r="D52" s="111"/>
      <c r="E52" s="111"/>
      <c r="F52" s="111"/>
    </row>
    <row r="59" spans="1:8">
      <c r="A59" s="111"/>
      <c r="B59" s="111"/>
      <c r="C59" s="111"/>
      <c r="D59" s="111"/>
      <c r="E59" s="111"/>
      <c r="F59" s="111"/>
      <c r="G59" s="111"/>
    </row>
    <row r="60" spans="1:8">
      <c r="H60" s="111"/>
    </row>
    <row r="65" spans="1:8">
      <c r="A65" s="111"/>
      <c r="B65" s="111"/>
      <c r="C65" s="111"/>
      <c r="D65" s="111"/>
      <c r="E65" s="111"/>
      <c r="F65" s="111"/>
      <c r="G65" s="111"/>
    </row>
    <row r="66" spans="1:8">
      <c r="H66" s="111"/>
    </row>
    <row r="86" spans="1:7">
      <c r="A86" s="111"/>
      <c r="B86" s="111"/>
      <c r="C86" s="111"/>
      <c r="D86" s="111"/>
      <c r="E86" s="111"/>
      <c r="F86" s="111"/>
      <c r="G86" s="111"/>
    </row>
  </sheetData>
  <sheetProtection sheet="1" objects="1" scenarios="1"/>
  <mergeCells count="12">
    <mergeCell ref="A2:H2"/>
    <mergeCell ref="A8:H8"/>
    <mergeCell ref="A10:H10"/>
    <mergeCell ref="A11:H1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Williamsburg Township</v>
      </c>
      <c r="B1" s="65"/>
      <c r="C1" s="65"/>
      <c r="D1" s="65"/>
      <c r="E1" s="65"/>
      <c r="F1" s="65">
        <f>inputPrYr!D9</f>
        <v>2014</v>
      </c>
    </row>
    <row r="2" spans="1:6">
      <c r="A2" s="65"/>
      <c r="B2" s="65"/>
      <c r="C2" s="65"/>
      <c r="D2" s="65"/>
      <c r="E2" s="65"/>
      <c r="F2" s="65"/>
    </row>
    <row r="3" spans="1:6">
      <c r="A3" s="65"/>
      <c r="B3" s="762" t="str">
        <f>CONCATENATE("",F1," Neighborhood Revitalization Rebate")</f>
        <v>2014 Neighborhood Revitalization Rebate</v>
      </c>
      <c r="C3" s="770"/>
      <c r="D3" s="770"/>
      <c r="E3" s="770"/>
      <c r="F3" s="65"/>
    </row>
    <row r="4" spans="1:6">
      <c r="A4" s="65"/>
      <c r="B4" s="65"/>
      <c r="C4" s="65"/>
      <c r="D4" s="65"/>
      <c r="E4" s="65"/>
      <c r="F4" s="65"/>
    </row>
    <row r="5" spans="1:6" ht="51" customHeight="1">
      <c r="A5" s="65"/>
      <c r="B5" s="329" t="str">
        <f>CONCATENATE("Budgeted Funds                            for ",F1,"")</f>
        <v>Budgeted Funds                            for 2014</v>
      </c>
      <c r="C5" s="329" t="str">
        <f>CONCATENATE("",F1-1," Ad Valorem before Rebate**")</f>
        <v>2013 Ad Valorem before Rebate**</v>
      </c>
      <c r="D5" s="330" t="str">
        <f>CONCATENATE("",F1-1," Mil Rate before Rebate")</f>
        <v>2013 Mil Rate before Rebate</v>
      </c>
      <c r="E5" s="331" t="str">
        <f>CONCATENATE("Estimate ",F1," NR Rebate")</f>
        <v>Estimate 2014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Fire Protection</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6" t="str">
        <f>CONCATENATE("",F1-1," July 1 Valuation:")</f>
        <v>2013 July 1 Valuation:</v>
      </c>
      <c r="B21" s="825"/>
      <c r="C21" s="826"/>
      <c r="D21" s="337">
        <f>inputOth!E11</f>
        <v>5107956</v>
      </c>
      <c r="E21" s="65"/>
      <c r="F21" s="187"/>
    </row>
    <row r="22" spans="1:6">
      <c r="A22" s="65"/>
      <c r="B22" s="65"/>
      <c r="C22" s="65"/>
      <c r="D22" s="65"/>
      <c r="E22" s="65"/>
      <c r="F22" s="187"/>
    </row>
    <row r="23" spans="1:6">
      <c r="A23" s="65"/>
      <c r="B23" s="826" t="s">
        <v>359</v>
      </c>
      <c r="C23" s="826"/>
      <c r="D23" s="338">
        <f>IF(D21&gt;0,(D21*0.001),"")</f>
        <v>5107.9560000000001</v>
      </c>
      <c r="E23" s="65"/>
      <c r="F23" s="187"/>
    </row>
    <row r="24" spans="1:6">
      <c r="A24" s="65"/>
      <c r="B24" s="113"/>
      <c r="C24" s="113"/>
      <c r="D24" s="339"/>
      <c r="E24" s="65"/>
      <c r="F24" s="187"/>
    </row>
    <row r="25" spans="1:6">
      <c r="A25" s="824" t="s">
        <v>360</v>
      </c>
      <c r="B25" s="758"/>
      <c r="C25" s="758"/>
      <c r="D25" s="340">
        <f>inputOth!E33</f>
        <v>0</v>
      </c>
      <c r="E25" s="175"/>
      <c r="F25" s="175"/>
    </row>
    <row r="26" spans="1:6">
      <c r="A26" s="175"/>
      <c r="B26" s="175"/>
      <c r="C26" s="175"/>
      <c r="D26" s="341"/>
      <c r="E26" s="175"/>
      <c r="F26" s="175"/>
    </row>
    <row r="27" spans="1:6">
      <c r="A27" s="175"/>
      <c r="B27" s="824" t="s">
        <v>361</v>
      </c>
      <c r="C27" s="825"/>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2014 Budget Summary page.  See instructions tab #12 for completing</v>
      </c>
      <c r="B31" s="175"/>
      <c r="C31" s="175"/>
      <c r="D31" s="175"/>
      <c r="E31" s="175"/>
      <c r="F31" s="175"/>
    </row>
    <row r="32" spans="1:6">
      <c r="A32" s="30" t="s">
        <v>602</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27" t="s">
        <v>75</v>
      </c>
      <c r="B1" s="827"/>
      <c r="C1" s="827"/>
      <c r="D1" s="827"/>
      <c r="E1" s="827"/>
      <c r="F1" s="827"/>
      <c r="G1" s="827"/>
    </row>
    <row r="2" spans="1:9">
      <c r="A2" s="21"/>
    </row>
    <row r="3" spans="1:9">
      <c r="A3" s="828" t="s">
        <v>76</v>
      </c>
      <c r="B3" s="828"/>
      <c r="C3" s="828"/>
      <c r="D3" s="828"/>
      <c r="E3" s="828"/>
      <c r="F3" s="828"/>
      <c r="G3" s="828"/>
    </row>
    <row r="4" spans="1:9">
      <c r="A4" s="22"/>
    </row>
    <row r="5" spans="1:9">
      <c r="A5" s="22"/>
    </row>
    <row r="6" spans="1:9">
      <c r="A6" s="28" t="str">
        <f>CONCATENATE("A resolution expressing the property taxation policy of the Board of ",(inputPrYr!D3)," ")</f>
        <v xml:space="preserve">A resolution expressing the property taxation policy of the Board of Williamsburg Township </v>
      </c>
      <c r="I6" t="str">
        <f>CONCATENATE(I7)</f>
        <v/>
      </c>
    </row>
    <row r="7" spans="1:9">
      <c r="A7" s="829" t="str">
        <f>CONCATENATE("   with respect to financing the ",inputPrYr!D9," annual budget for ",(inputPrYr!D3)," , ",(inputPrYr!D4)," , Kansas.")</f>
        <v xml:space="preserve">   with respect to financing the 2014 annual budget for Williamsburg Township , Franklin County , Kansas.</v>
      </c>
      <c r="B7" s="739"/>
      <c r="C7" s="739"/>
      <c r="D7" s="739"/>
      <c r="E7" s="739"/>
      <c r="F7" s="739"/>
      <c r="G7" s="739"/>
    </row>
    <row r="8" spans="1:9">
      <c r="A8" s="739"/>
      <c r="B8" s="739"/>
      <c r="C8" s="739"/>
      <c r="D8" s="739"/>
      <c r="E8" s="739"/>
      <c r="F8" s="739"/>
      <c r="G8" s="739"/>
    </row>
    <row r="9" spans="1:9">
      <c r="A9" s="21"/>
    </row>
    <row r="10" spans="1:9">
      <c r="A10" s="29" t="s">
        <v>77</v>
      </c>
    </row>
    <row r="11" spans="1:9">
      <c r="A11" s="27" t="str">
        <f>CONCATENATE("to finance the ",inputPrYr!D9," ",(inputPrYr!D3)," budget exceed the amount levied to finance the ",inputPrYr!D9-1,"")</f>
        <v>to finance the 2014 Williamsburg Township budget exceed the amount levied to finance the 2013</v>
      </c>
    </row>
    <row r="12" spans="1:9">
      <c r="A12" s="833" t="str">
        <f>CONCATENATE((inputPrYr!D3)," Township budget, except with regard to revenue produced and attributable to the taxation of 1) new improvements to real property; 2) increased personal property valuation, other than increased")</f>
        <v>Williamsburg Township Township budget, except with regard to revenue produced and attributable to the taxation of 1) new improvements to real property; 2) increased personal property valuation, other than increased</v>
      </c>
      <c r="B12" s="739"/>
      <c r="C12" s="739"/>
      <c r="D12" s="739"/>
      <c r="E12" s="739"/>
      <c r="F12" s="739"/>
      <c r="G12" s="739"/>
    </row>
    <row r="13" spans="1:9">
      <c r="A13" s="739"/>
      <c r="B13" s="739"/>
      <c r="C13" s="739"/>
      <c r="D13" s="739"/>
      <c r="E13" s="739"/>
      <c r="F13" s="739"/>
      <c r="G13" s="739"/>
    </row>
    <row r="14" spans="1:9">
      <c r="A14" s="833" t="s">
        <v>82</v>
      </c>
      <c r="B14" s="739"/>
      <c r="C14" s="739"/>
      <c r="D14" s="739"/>
      <c r="E14" s="739"/>
      <c r="F14" s="739"/>
      <c r="G14" s="739"/>
    </row>
    <row r="15" spans="1:9">
      <c r="A15" s="739"/>
      <c r="B15" s="739"/>
      <c r="C15" s="739"/>
      <c r="D15" s="739"/>
      <c r="E15" s="739"/>
      <c r="F15" s="739"/>
      <c r="G15" s="739"/>
    </row>
    <row r="16" spans="1:9">
      <c r="A16" s="834"/>
      <c r="B16" s="834"/>
      <c r="C16" s="834"/>
      <c r="D16" s="834"/>
      <c r="E16" s="834"/>
      <c r="F16" s="834"/>
      <c r="G16" s="834"/>
    </row>
    <row r="17" spans="1:7">
      <c r="A17" s="22"/>
    </row>
    <row r="18" spans="1:7">
      <c r="A18" s="830" t="s">
        <v>78</v>
      </c>
      <c r="B18" s="739"/>
      <c r="C18" s="739"/>
      <c r="D18" s="739"/>
      <c r="E18" s="739"/>
      <c r="F18" s="739"/>
      <c r="G18" s="739"/>
    </row>
    <row r="19" spans="1:7">
      <c r="A19" s="739"/>
      <c r="B19" s="739"/>
      <c r="C19" s="739"/>
      <c r="D19" s="739"/>
      <c r="E19" s="739"/>
      <c r="F19" s="739"/>
      <c r="G19" s="739"/>
    </row>
    <row r="20" spans="1:7">
      <c r="A20" s="22"/>
    </row>
    <row r="21" spans="1:7">
      <c r="A21" s="830" t="str">
        <f>CONCATENATE("Whereas, ",(inputPrYr!D3)," provides essential services to protect the safety and well being of the citizens of the township; and")</f>
        <v>Whereas, Williamsburg Township provides essential services to protect the safety and well being of the citizens of the township; and</v>
      </c>
      <c r="B21" s="739"/>
      <c r="C21" s="739"/>
      <c r="D21" s="739"/>
      <c r="E21" s="739"/>
      <c r="F21" s="739"/>
      <c r="G21" s="739"/>
    </row>
    <row r="22" spans="1:7">
      <c r="A22" s="739"/>
      <c r="B22" s="739"/>
      <c r="C22" s="739"/>
      <c r="D22" s="739"/>
      <c r="E22" s="739"/>
      <c r="F22" s="739"/>
      <c r="G22" s="739"/>
    </row>
    <row r="23" spans="1:7">
      <c r="A23" s="24"/>
    </row>
    <row r="24" spans="1:7">
      <c r="A24" s="23" t="s">
        <v>79</v>
      </c>
    </row>
    <row r="25" spans="1:7">
      <c r="A25" s="24"/>
    </row>
    <row r="26" spans="1:7">
      <c r="A26" s="830" t="str">
        <f>CONCATENATE("NOW, THEREFORE, BE IT RESOLVED by the Board of ",(inputPrYr!D3)," of ",(inputPrYr!D4),", Kansas that is our desire to notify the public of increased property taxes to finance the ",inputPrYr!D9," ",(inputPrYr!D3),"  budget as defined above.")</f>
        <v>NOW, THEREFORE, BE IT RESOLVED by the Board of Williamsburg Township of Franklin County, Kansas that is our desire to notify the public of increased property taxes to finance the 2014 Williamsburg Township  budget as defined above.</v>
      </c>
      <c r="B26" s="739"/>
      <c r="C26" s="739"/>
      <c r="D26" s="739"/>
      <c r="E26" s="739"/>
      <c r="F26" s="739"/>
      <c r="G26" s="739"/>
    </row>
    <row r="27" spans="1:7">
      <c r="A27" s="739"/>
      <c r="B27" s="739"/>
      <c r="C27" s="739"/>
      <c r="D27" s="739"/>
      <c r="E27" s="739"/>
      <c r="F27" s="739"/>
      <c r="G27" s="739"/>
    </row>
    <row r="28" spans="1:7">
      <c r="A28" s="739"/>
      <c r="B28" s="739"/>
      <c r="C28" s="739"/>
      <c r="D28" s="739"/>
      <c r="E28" s="739"/>
      <c r="F28" s="739"/>
      <c r="G28" s="739"/>
    </row>
    <row r="29" spans="1:7">
      <c r="A29" s="24"/>
    </row>
    <row r="30" spans="1:7">
      <c r="A30" s="835" t="str">
        <f>CONCATENATE("Adopted this _________ day of ___________, ",inputPrYr!D9-1," by the ",(inputPrYr!D3)," Board, ",(inputPrYr!D4),", Kansas.")</f>
        <v>Adopted this _________ day of ___________, 2013 by the Williamsburg Township Board, Franklin County, Kansas.</v>
      </c>
      <c r="B30" s="739"/>
      <c r="C30" s="739"/>
      <c r="D30" s="739"/>
      <c r="E30" s="739"/>
      <c r="F30" s="739"/>
      <c r="G30" s="739"/>
    </row>
    <row r="31" spans="1:7">
      <c r="A31" s="739"/>
      <c r="B31" s="739"/>
      <c r="C31" s="739"/>
      <c r="D31" s="739"/>
      <c r="E31" s="739"/>
      <c r="F31" s="739"/>
      <c r="G31" s="739"/>
    </row>
    <row r="32" spans="1:7">
      <c r="A32" s="24"/>
    </row>
    <row r="33" spans="1:7">
      <c r="D33" s="832" t="str">
        <f>CONCATENATE((inputPrYr!D3)," Board")</f>
        <v>Williamsburg Township Board</v>
      </c>
      <c r="E33" s="832"/>
      <c r="F33" s="832"/>
      <c r="G33" s="832"/>
    </row>
    <row r="35" spans="1:7">
      <c r="D35" s="831" t="s">
        <v>80</v>
      </c>
      <c r="E35" s="831"/>
      <c r="F35" s="831"/>
      <c r="G35" s="831"/>
    </row>
    <row r="36" spans="1:7">
      <c r="A36" s="25"/>
      <c r="D36" s="831" t="s">
        <v>84</v>
      </c>
      <c r="E36" s="831"/>
      <c r="F36" s="831"/>
      <c r="G36" s="831"/>
    </row>
    <row r="37" spans="1:7">
      <c r="D37" s="831"/>
      <c r="E37" s="831"/>
      <c r="F37" s="831"/>
      <c r="G37" s="831"/>
    </row>
    <row r="38" spans="1:7">
      <c r="D38" s="831" t="s">
        <v>80</v>
      </c>
      <c r="E38" s="831"/>
      <c r="F38" s="831"/>
      <c r="G38" s="831"/>
    </row>
    <row r="39" spans="1:7">
      <c r="A39" s="24"/>
      <c r="D39" s="831" t="s">
        <v>85</v>
      </c>
      <c r="E39" s="831"/>
      <c r="F39" s="831"/>
      <c r="G39" s="831"/>
    </row>
    <row r="40" spans="1:7">
      <c r="D40" s="831"/>
      <c r="E40" s="831"/>
      <c r="F40" s="831"/>
      <c r="G40" s="831"/>
    </row>
    <row r="41" spans="1:7">
      <c r="D41" s="831" t="s">
        <v>83</v>
      </c>
      <c r="E41" s="831"/>
      <c r="F41" s="831"/>
      <c r="G41" s="831"/>
    </row>
    <row r="42" spans="1:7">
      <c r="A42" s="24"/>
      <c r="D42" s="831" t="s">
        <v>86</v>
      </c>
      <c r="E42" s="831"/>
      <c r="F42" s="831"/>
      <c r="G42" s="831"/>
    </row>
    <row r="43" spans="1:7">
      <c r="A43" s="26"/>
    </row>
    <row r="44" spans="1:7">
      <c r="A44" s="26"/>
    </row>
    <row r="45" spans="1:7">
      <c r="A45" s="26" t="s">
        <v>81</v>
      </c>
    </row>
    <row r="50" spans="3:4">
      <c r="C50" s="32" t="s">
        <v>257</v>
      </c>
      <c r="D50" s="63"/>
    </row>
  </sheetData>
  <sheetProtection sheet="1" objects="1" scenarios="1"/>
  <mergeCells count="18">
    <mergeCell ref="D42:G42"/>
    <mergeCell ref="D37:G37"/>
    <mergeCell ref="D38:G38"/>
    <mergeCell ref="D40:G40"/>
    <mergeCell ref="D41:G41"/>
    <mergeCell ref="D39:G39"/>
    <mergeCell ref="D35:G35"/>
    <mergeCell ref="D33:G33"/>
    <mergeCell ref="A12:G13"/>
    <mergeCell ref="A14:G16"/>
    <mergeCell ref="D36:G36"/>
    <mergeCell ref="A30:G31"/>
    <mergeCell ref="A26:G28"/>
    <mergeCell ref="A1:G1"/>
    <mergeCell ref="A3:G3"/>
    <mergeCell ref="A7:G8"/>
    <mergeCell ref="A18:G19"/>
    <mergeCell ref="A21:G22"/>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393</v>
      </c>
      <c r="B3" s="368"/>
      <c r="C3" s="368"/>
      <c r="D3" s="368"/>
      <c r="E3" s="368"/>
      <c r="F3" s="368"/>
      <c r="G3" s="368"/>
      <c r="H3" s="368"/>
      <c r="I3" s="368"/>
      <c r="J3" s="368"/>
      <c r="K3" s="368"/>
      <c r="L3" s="368"/>
    </row>
    <row r="5" spans="1:12">
      <c r="A5" s="369" t="s">
        <v>394</v>
      </c>
    </row>
    <row r="6" spans="1:12">
      <c r="A6" s="369" t="str">
        <f>CONCATENATE(inputPrYr!D9-2," 'total expenditures' exceed your ",inputPrYr!D9-2," 'budget authority.'")</f>
        <v>2012 'total expenditures' exceed your 2012 'budget authority.'</v>
      </c>
    </row>
    <row r="7" spans="1:12">
      <c r="A7" s="369"/>
    </row>
    <row r="8" spans="1:12">
      <c r="A8" s="369" t="s">
        <v>395</v>
      </c>
    </row>
    <row r="9" spans="1:12">
      <c r="A9" s="369" t="s">
        <v>396</v>
      </c>
    </row>
    <row r="10" spans="1:12">
      <c r="A10" s="369" t="s">
        <v>397</v>
      </c>
    </row>
    <row r="11" spans="1:12">
      <c r="A11" s="369"/>
    </row>
    <row r="12" spans="1:12">
      <c r="A12" s="369"/>
    </row>
    <row r="13" spans="1:12">
      <c r="A13" s="370" t="s">
        <v>398</v>
      </c>
    </row>
    <row r="15" spans="1:12">
      <c r="A15" s="369" t="s">
        <v>399</v>
      </c>
    </row>
    <row r="16" spans="1:12">
      <c r="A16" s="369" t="str">
        <f>CONCATENATE("(i.e. an audit has not been completed, or the ",inputPrYr!D9," adopted")</f>
        <v>(i.e. an audit has not been completed, or the 2014 adopted</v>
      </c>
    </row>
    <row r="17" spans="1:1">
      <c r="A17" s="369" t="s">
        <v>400</v>
      </c>
    </row>
    <row r="18" spans="1:1">
      <c r="A18" s="369" t="s">
        <v>401</v>
      </c>
    </row>
    <row r="19" spans="1:1">
      <c r="A19" s="369" t="s">
        <v>402</v>
      </c>
    </row>
    <row r="21" spans="1:1">
      <c r="A21" s="370" t="s">
        <v>403</v>
      </c>
    </row>
    <row r="22" spans="1:1">
      <c r="A22" s="370"/>
    </row>
    <row r="23" spans="1:1">
      <c r="A23" s="369" t="s">
        <v>404</v>
      </c>
    </row>
    <row r="24" spans="1:1">
      <c r="A24" s="369" t="s">
        <v>405</v>
      </c>
    </row>
    <row r="25" spans="1:1">
      <c r="A25" s="369" t="str">
        <f>CONCATENATE("particular fund.  If your ",inputPrYr!D9-2," budget was amended, did you")</f>
        <v>particular fund.  If your 2012 budget was amended, did you</v>
      </c>
    </row>
    <row r="26" spans="1:1">
      <c r="A26" s="369" t="s">
        <v>406</v>
      </c>
    </row>
    <row r="27" spans="1:1">
      <c r="A27" s="369"/>
    </row>
    <row r="28" spans="1:1">
      <c r="A28" s="369" t="str">
        <f>CONCATENATE("Next, look to see if any of your ",inputPrYr!D9-2," expenditures can be")</f>
        <v>Next, look to see if any of your 2012 expenditures can be</v>
      </c>
    </row>
    <row r="29" spans="1:1">
      <c r="A29" s="369" t="s">
        <v>407</v>
      </c>
    </row>
    <row r="30" spans="1:1">
      <c r="A30" s="369" t="s">
        <v>408</v>
      </c>
    </row>
    <row r="31" spans="1:1">
      <c r="A31" s="369" t="s">
        <v>409</v>
      </c>
    </row>
    <row r="32" spans="1:1">
      <c r="A32" s="369"/>
    </row>
    <row r="33" spans="1:1">
      <c r="A33" s="369" t="str">
        <f>CONCATENATE("Additionally, do your ",inputPrYr!D9-2," receipts contain a reimbursement")</f>
        <v>Additionally, do your 2012 receipts contain a reimbursement</v>
      </c>
    </row>
    <row r="34" spans="1:1">
      <c r="A34" s="369" t="s">
        <v>410</v>
      </c>
    </row>
    <row r="35" spans="1:1">
      <c r="A35" s="369" t="s">
        <v>411</v>
      </c>
    </row>
    <row r="36" spans="1:1">
      <c r="A36" s="369"/>
    </row>
    <row r="37" spans="1:1">
      <c r="A37" s="369" t="s">
        <v>412</v>
      </c>
    </row>
    <row r="38" spans="1:1">
      <c r="A38" s="369" t="s">
        <v>413</v>
      </c>
    </row>
    <row r="39" spans="1:1">
      <c r="A39" s="369" t="s">
        <v>414</v>
      </c>
    </row>
    <row r="40" spans="1:1">
      <c r="A40" s="369" t="s">
        <v>415</v>
      </c>
    </row>
    <row r="41" spans="1:1">
      <c r="A41" s="369" t="s">
        <v>416</v>
      </c>
    </row>
    <row r="42" spans="1:1">
      <c r="A42" s="369" t="s">
        <v>417</v>
      </c>
    </row>
    <row r="43" spans="1:1">
      <c r="A43" s="369" t="s">
        <v>418</v>
      </c>
    </row>
    <row r="44" spans="1:1">
      <c r="A44" s="369" t="s">
        <v>419</v>
      </c>
    </row>
    <row r="45" spans="1:1">
      <c r="A45" s="369"/>
    </row>
    <row r="46" spans="1:1">
      <c r="A46" s="369" t="s">
        <v>420</v>
      </c>
    </row>
    <row r="47" spans="1:1">
      <c r="A47" s="369" t="s">
        <v>421</v>
      </c>
    </row>
    <row r="48" spans="1:1">
      <c r="A48" s="369" t="s">
        <v>422</v>
      </c>
    </row>
    <row r="49" spans="1:1">
      <c r="A49" s="369"/>
    </row>
    <row r="50" spans="1:1">
      <c r="A50" s="369" t="s">
        <v>423</v>
      </c>
    </row>
    <row r="51" spans="1:1">
      <c r="A51" s="369" t="s">
        <v>424</v>
      </c>
    </row>
    <row r="52" spans="1:1">
      <c r="A52" s="369" t="s">
        <v>425</v>
      </c>
    </row>
    <row r="53" spans="1:1">
      <c r="A53" s="369"/>
    </row>
    <row r="54" spans="1:1">
      <c r="A54" s="370" t="s">
        <v>426</v>
      </c>
    </row>
    <row r="55" spans="1:1">
      <c r="A55" s="369"/>
    </row>
    <row r="56" spans="1:1">
      <c r="A56" s="369" t="s">
        <v>427</v>
      </c>
    </row>
    <row r="57" spans="1:1">
      <c r="A57" s="369" t="s">
        <v>428</v>
      </c>
    </row>
    <row r="58" spans="1:1">
      <c r="A58" s="369" t="s">
        <v>429</v>
      </c>
    </row>
    <row r="59" spans="1:1">
      <c r="A59" s="369" t="s">
        <v>430</v>
      </c>
    </row>
    <row r="60" spans="1:1">
      <c r="A60" s="369" t="s">
        <v>431</v>
      </c>
    </row>
    <row r="61" spans="1:1">
      <c r="A61" s="369" t="s">
        <v>432</v>
      </c>
    </row>
    <row r="62" spans="1:1">
      <c r="A62" s="369" t="s">
        <v>433</v>
      </c>
    </row>
    <row r="63" spans="1:1">
      <c r="A63" s="369" t="s">
        <v>434</v>
      </c>
    </row>
    <row r="64" spans="1:1">
      <c r="A64" s="369" t="s">
        <v>435</v>
      </c>
    </row>
    <row r="65" spans="1:1">
      <c r="A65" s="369" t="s">
        <v>436</v>
      </c>
    </row>
    <row r="66" spans="1:1">
      <c r="A66" s="369" t="s">
        <v>437</v>
      </c>
    </row>
    <row r="67" spans="1:1">
      <c r="A67" s="369" t="s">
        <v>438</v>
      </c>
    </row>
    <row r="68" spans="1:1">
      <c r="A68" s="369" t="s">
        <v>439</v>
      </c>
    </row>
    <row r="69" spans="1:1">
      <c r="A69" s="369"/>
    </row>
    <row r="70" spans="1:1">
      <c r="A70" s="369" t="s">
        <v>440</v>
      </c>
    </row>
    <row r="71" spans="1:1">
      <c r="A71" s="369" t="s">
        <v>441</v>
      </c>
    </row>
    <row r="72" spans="1:1">
      <c r="A72" s="369" t="s">
        <v>442</v>
      </c>
    </row>
    <row r="73" spans="1:1">
      <c r="A73" s="369"/>
    </row>
    <row r="74" spans="1:1">
      <c r="A74" s="370" t="str">
        <f>CONCATENATE("What if the ",inputPrYr!D9-2," financial records have been closed?")</f>
        <v>What if the 2012 financial records have been closed?</v>
      </c>
    </row>
    <row r="76" spans="1:1">
      <c r="A76" s="369" t="s">
        <v>443</v>
      </c>
    </row>
    <row r="77" spans="1:1">
      <c r="A77" s="369" t="str">
        <f>CONCATENATE("(i.e. an audit for ",inputPrYr!D9-2," has been completed, or the ",inputPrYr!D9)</f>
        <v>(i.e. an audit for 2012 has been completed, or the 2014</v>
      </c>
    </row>
    <row r="78" spans="1:1">
      <c r="A78" s="369" t="s">
        <v>444</v>
      </c>
    </row>
    <row r="79" spans="1:1">
      <c r="A79" s="369" t="s">
        <v>445</v>
      </c>
    </row>
    <row r="80" spans="1:1">
      <c r="A80" s="369"/>
    </row>
    <row r="81" spans="1:1">
      <c r="A81" s="369" t="s">
        <v>446</v>
      </c>
    </row>
    <row r="82" spans="1:1">
      <c r="A82" s="369" t="s">
        <v>447</v>
      </c>
    </row>
    <row r="83" spans="1:1">
      <c r="A83" s="369" t="s">
        <v>448</v>
      </c>
    </row>
    <row r="84" spans="1:1">
      <c r="A84" s="369"/>
    </row>
    <row r="85" spans="1:1">
      <c r="A85" s="369" t="s">
        <v>449</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450</v>
      </c>
      <c r="B3" s="368"/>
      <c r="C3" s="368"/>
      <c r="D3" s="368"/>
      <c r="E3" s="368"/>
      <c r="F3" s="368"/>
      <c r="G3" s="368"/>
      <c r="H3" s="371"/>
      <c r="I3" s="371"/>
      <c r="J3" s="371"/>
    </row>
    <row r="5" spans="1:10">
      <c r="A5" s="369" t="s">
        <v>451</v>
      </c>
    </row>
    <row r="6" spans="1:10">
      <c r="A6" t="str">
        <f>CONCATENATE(inputPrYr!D9-2," expenditures show that you finished the year with a ")</f>
        <v xml:space="preserve">2012 expenditures show that you finished the year with a </v>
      </c>
    </row>
    <row r="7" spans="1:10">
      <c r="A7" t="s">
        <v>452</v>
      </c>
    </row>
    <row r="9" spans="1:10">
      <c r="A9" t="s">
        <v>453</v>
      </c>
    </row>
    <row r="10" spans="1:10">
      <c r="A10" t="s">
        <v>454</v>
      </c>
    </row>
    <row r="11" spans="1:10">
      <c r="A11" t="s">
        <v>455</v>
      </c>
    </row>
    <row r="13" spans="1:10">
      <c r="A13" s="370" t="s">
        <v>456</v>
      </c>
    </row>
    <row r="14" spans="1:10">
      <c r="A14" s="370"/>
    </row>
    <row r="15" spans="1:10">
      <c r="A15" s="369" t="s">
        <v>457</v>
      </c>
    </row>
    <row r="16" spans="1:10">
      <c r="A16" s="369" t="s">
        <v>458</v>
      </c>
    </row>
    <row r="17" spans="1:1">
      <c r="A17" s="369" t="s">
        <v>459</v>
      </c>
    </row>
    <row r="18" spans="1:1">
      <c r="A18" s="369"/>
    </row>
    <row r="19" spans="1:1">
      <c r="A19" s="370" t="s">
        <v>460</v>
      </c>
    </row>
    <row r="20" spans="1:1">
      <c r="A20" s="370"/>
    </row>
    <row r="21" spans="1:1">
      <c r="A21" s="369" t="s">
        <v>461</v>
      </c>
    </row>
    <row r="22" spans="1:1">
      <c r="A22" s="369" t="s">
        <v>462</v>
      </c>
    </row>
    <row r="23" spans="1:1">
      <c r="A23" s="369" t="s">
        <v>463</v>
      </c>
    </row>
    <row r="24" spans="1:1">
      <c r="A24" s="369"/>
    </row>
    <row r="25" spans="1:1">
      <c r="A25" s="370" t="s">
        <v>464</v>
      </c>
    </row>
    <row r="26" spans="1:1">
      <c r="A26" s="370"/>
    </row>
    <row r="27" spans="1:1">
      <c r="A27" s="369" t="s">
        <v>465</v>
      </c>
    </row>
    <row r="28" spans="1:1">
      <c r="A28" s="369" t="s">
        <v>466</v>
      </c>
    </row>
    <row r="29" spans="1:1">
      <c r="A29" s="369" t="s">
        <v>467</v>
      </c>
    </row>
    <row r="30" spans="1:1">
      <c r="A30" s="369"/>
    </row>
    <row r="31" spans="1:1">
      <c r="A31" s="370" t="s">
        <v>468</v>
      </c>
    </row>
    <row r="32" spans="1:1">
      <c r="A32" s="370"/>
    </row>
    <row r="33" spans="1:8">
      <c r="A33" s="369" t="str">
        <f>CONCATENATE("If your financial records for ",inputPrYr!D9-2," are not closed")</f>
        <v>If your financial records for 2012 are not closed</v>
      </c>
      <c r="B33" s="369"/>
      <c r="C33" s="369"/>
      <c r="D33" s="369"/>
      <c r="E33" s="369"/>
      <c r="F33" s="369"/>
      <c r="G33" s="369"/>
      <c r="H33" s="369"/>
    </row>
    <row r="34" spans="1:8">
      <c r="A34" s="369" t="str">
        <f>CONCATENATE("(i.e. an audit has not been completed, or the ",inputPrYr!D9," adopted ")</f>
        <v xml:space="preserve">(i.e. an audit has not been completed, or the 2014 adopted </v>
      </c>
      <c r="B34" s="369"/>
      <c r="C34" s="369"/>
      <c r="D34" s="369"/>
      <c r="E34" s="369"/>
      <c r="F34" s="369"/>
      <c r="G34" s="369"/>
      <c r="H34" s="369"/>
    </row>
    <row r="35" spans="1:8">
      <c r="A35" s="369" t="s">
        <v>469</v>
      </c>
      <c r="B35" s="369"/>
      <c r="C35" s="369"/>
      <c r="D35" s="369"/>
      <c r="E35" s="369"/>
      <c r="F35" s="369"/>
      <c r="G35" s="369"/>
      <c r="H35" s="369"/>
    </row>
    <row r="36" spans="1:8">
      <c r="A36" s="369" t="s">
        <v>470</v>
      </c>
      <c r="B36" s="369"/>
      <c r="C36" s="369"/>
      <c r="D36" s="369"/>
      <c r="E36" s="369"/>
      <c r="F36" s="369"/>
      <c r="G36" s="369"/>
      <c r="H36" s="369"/>
    </row>
    <row r="37" spans="1:8">
      <c r="A37" s="369" t="s">
        <v>471</v>
      </c>
      <c r="B37" s="369"/>
      <c r="C37" s="369"/>
      <c r="D37" s="369"/>
      <c r="E37" s="369"/>
      <c r="F37" s="369"/>
      <c r="G37" s="369"/>
      <c r="H37" s="369"/>
    </row>
    <row r="38" spans="1:8">
      <c r="A38" s="369" t="s">
        <v>472</v>
      </c>
      <c r="B38" s="369"/>
      <c r="C38" s="369"/>
      <c r="D38" s="369"/>
      <c r="E38" s="369"/>
      <c r="F38" s="369"/>
      <c r="G38" s="369"/>
      <c r="H38" s="369"/>
    </row>
    <row r="39" spans="1:8">
      <c r="A39" s="369" t="s">
        <v>473</v>
      </c>
      <c r="B39" s="369"/>
      <c r="C39" s="369"/>
      <c r="D39" s="369"/>
      <c r="E39" s="369"/>
      <c r="F39" s="369"/>
      <c r="G39" s="369"/>
      <c r="H39" s="369"/>
    </row>
    <row r="40" spans="1:8">
      <c r="A40" s="369"/>
      <c r="B40" s="369"/>
      <c r="C40" s="369"/>
      <c r="D40" s="369"/>
      <c r="E40" s="369"/>
      <c r="F40" s="369"/>
      <c r="G40" s="369"/>
      <c r="H40" s="369"/>
    </row>
    <row r="41" spans="1:8">
      <c r="A41" s="369" t="s">
        <v>474</v>
      </c>
      <c r="B41" s="369"/>
      <c r="C41" s="369"/>
      <c r="D41" s="369"/>
      <c r="E41" s="369"/>
      <c r="F41" s="369"/>
      <c r="G41" s="369"/>
      <c r="H41" s="369"/>
    </row>
    <row r="42" spans="1:8">
      <c r="A42" s="369" t="s">
        <v>475</v>
      </c>
      <c r="B42" s="369"/>
      <c r="C42" s="369"/>
      <c r="D42" s="369"/>
      <c r="E42" s="369"/>
      <c r="F42" s="369"/>
      <c r="G42" s="369"/>
      <c r="H42" s="369"/>
    </row>
    <row r="43" spans="1:8">
      <c r="A43" s="369" t="s">
        <v>476</v>
      </c>
      <c r="B43" s="369"/>
      <c r="C43" s="369"/>
      <c r="D43" s="369"/>
      <c r="E43" s="369"/>
      <c r="F43" s="369"/>
      <c r="G43" s="369"/>
      <c r="H43" s="369"/>
    </row>
    <row r="44" spans="1:8">
      <c r="A44" s="369" t="s">
        <v>477</v>
      </c>
      <c r="B44" s="369"/>
      <c r="C44" s="369"/>
      <c r="D44" s="369"/>
      <c r="E44" s="369"/>
      <c r="F44" s="369"/>
      <c r="G44" s="369"/>
      <c r="H44" s="369"/>
    </row>
    <row r="45" spans="1:8">
      <c r="A45" s="369"/>
      <c r="B45" s="369"/>
      <c r="C45" s="369"/>
      <c r="D45" s="369"/>
      <c r="E45" s="369"/>
      <c r="F45" s="369"/>
      <c r="G45" s="369"/>
      <c r="H45" s="369"/>
    </row>
    <row r="46" spans="1:8">
      <c r="A46" s="369" t="s">
        <v>478</v>
      </c>
      <c r="B46" s="369"/>
      <c r="C46" s="369"/>
      <c r="D46" s="369"/>
      <c r="E46" s="369"/>
      <c r="F46" s="369"/>
      <c r="G46" s="369"/>
      <c r="H46" s="369"/>
    </row>
    <row r="47" spans="1:8">
      <c r="A47" s="369" t="s">
        <v>479</v>
      </c>
      <c r="B47" s="369"/>
      <c r="C47" s="369"/>
      <c r="D47" s="369"/>
      <c r="E47" s="369"/>
      <c r="F47" s="369"/>
      <c r="G47" s="369"/>
      <c r="H47" s="369"/>
    </row>
    <row r="48" spans="1:8">
      <c r="A48" s="369" t="s">
        <v>480</v>
      </c>
      <c r="B48" s="369"/>
      <c r="C48" s="369"/>
      <c r="D48" s="369"/>
      <c r="E48" s="369"/>
      <c r="F48" s="369"/>
      <c r="G48" s="369"/>
      <c r="H48" s="369"/>
    </row>
    <row r="49" spans="1:8">
      <c r="A49" s="369" t="s">
        <v>481</v>
      </c>
      <c r="B49" s="369"/>
      <c r="C49" s="369"/>
      <c r="D49" s="369"/>
      <c r="E49" s="369"/>
      <c r="F49" s="369"/>
      <c r="G49" s="369"/>
      <c r="H49" s="369"/>
    </row>
    <row r="50" spans="1:8">
      <c r="A50" s="369" t="s">
        <v>482</v>
      </c>
      <c r="B50" s="369"/>
      <c r="C50" s="369"/>
      <c r="D50" s="369"/>
      <c r="E50" s="369"/>
      <c r="F50" s="369"/>
      <c r="G50" s="369"/>
      <c r="H50" s="369"/>
    </row>
    <row r="51" spans="1:8">
      <c r="A51" s="369"/>
      <c r="B51" s="369"/>
      <c r="C51" s="369"/>
      <c r="D51" s="369"/>
      <c r="E51" s="369"/>
      <c r="F51" s="369"/>
      <c r="G51" s="369"/>
      <c r="H51" s="369"/>
    </row>
    <row r="52" spans="1:8">
      <c r="A52" s="370" t="s">
        <v>483</v>
      </c>
      <c r="B52" s="370"/>
      <c r="C52" s="370"/>
      <c r="D52" s="370"/>
      <c r="E52" s="370"/>
      <c r="F52" s="370"/>
      <c r="G52" s="370"/>
      <c r="H52" s="369"/>
    </row>
    <row r="53" spans="1:8">
      <c r="A53" s="370" t="s">
        <v>484</v>
      </c>
      <c r="B53" s="370"/>
      <c r="C53" s="370"/>
      <c r="D53" s="370"/>
      <c r="E53" s="370"/>
      <c r="F53" s="370"/>
      <c r="G53" s="370"/>
      <c r="H53" s="369"/>
    </row>
    <row r="54" spans="1:8">
      <c r="A54" s="369"/>
      <c r="B54" s="369"/>
      <c r="C54" s="369"/>
      <c r="D54" s="369"/>
      <c r="E54" s="369"/>
      <c r="F54" s="369"/>
      <c r="G54" s="369"/>
      <c r="H54" s="369"/>
    </row>
    <row r="55" spans="1:8">
      <c r="A55" s="369" t="s">
        <v>485</v>
      </c>
      <c r="B55" s="369"/>
      <c r="C55" s="369"/>
      <c r="D55" s="369"/>
      <c r="E55" s="369"/>
      <c r="F55" s="369"/>
      <c r="G55" s="369"/>
      <c r="H55" s="369"/>
    </row>
    <row r="56" spans="1:8">
      <c r="A56" s="369" t="s">
        <v>486</v>
      </c>
      <c r="B56" s="369"/>
      <c r="C56" s="369"/>
      <c r="D56" s="369"/>
      <c r="E56" s="369"/>
      <c r="F56" s="369"/>
      <c r="G56" s="369"/>
      <c r="H56" s="369"/>
    </row>
    <row r="57" spans="1:8">
      <c r="A57" s="369" t="s">
        <v>487</v>
      </c>
      <c r="B57" s="369"/>
      <c r="C57" s="369"/>
      <c r="D57" s="369"/>
      <c r="E57" s="369"/>
      <c r="F57" s="369"/>
      <c r="G57" s="369"/>
      <c r="H57" s="369"/>
    </row>
    <row r="58" spans="1:8">
      <c r="A58" s="369" t="s">
        <v>488</v>
      </c>
      <c r="B58" s="369"/>
      <c r="C58" s="369"/>
      <c r="D58" s="369"/>
      <c r="E58" s="369"/>
      <c r="F58" s="369"/>
      <c r="G58" s="369"/>
      <c r="H58" s="369"/>
    </row>
    <row r="59" spans="1:8">
      <c r="A59" s="369"/>
      <c r="B59" s="369"/>
      <c r="C59" s="369"/>
      <c r="D59" s="369"/>
      <c r="E59" s="369"/>
      <c r="F59" s="369"/>
      <c r="G59" s="369"/>
      <c r="H59" s="369"/>
    </row>
    <row r="60" spans="1:8">
      <c r="A60" s="369" t="s">
        <v>489</v>
      </c>
      <c r="B60" s="369"/>
      <c r="C60" s="369"/>
      <c r="D60" s="369"/>
      <c r="E60" s="369"/>
      <c r="F60" s="369"/>
      <c r="G60" s="369"/>
      <c r="H60" s="369"/>
    </row>
    <row r="61" spans="1:8">
      <c r="A61" s="369" t="s">
        <v>490</v>
      </c>
      <c r="B61" s="369"/>
      <c r="C61" s="369"/>
      <c r="D61" s="369"/>
      <c r="E61" s="369"/>
      <c r="F61" s="369"/>
      <c r="G61" s="369"/>
      <c r="H61" s="369"/>
    </row>
    <row r="62" spans="1:8">
      <c r="A62" s="369" t="s">
        <v>491</v>
      </c>
      <c r="B62" s="369"/>
      <c r="C62" s="369"/>
      <c r="D62" s="369"/>
      <c r="E62" s="369"/>
      <c r="F62" s="369"/>
      <c r="G62" s="369"/>
      <c r="H62" s="369"/>
    </row>
    <row r="63" spans="1:8">
      <c r="A63" s="369" t="s">
        <v>492</v>
      </c>
      <c r="B63" s="369"/>
      <c r="C63" s="369"/>
      <c r="D63" s="369"/>
      <c r="E63" s="369"/>
      <c r="F63" s="369"/>
      <c r="G63" s="369"/>
      <c r="H63" s="369"/>
    </row>
    <row r="64" spans="1:8">
      <c r="A64" s="369" t="s">
        <v>493</v>
      </c>
      <c r="B64" s="369"/>
      <c r="C64" s="369"/>
      <c r="D64" s="369"/>
      <c r="E64" s="369"/>
      <c r="F64" s="369"/>
      <c r="G64" s="369"/>
      <c r="H64" s="369"/>
    </row>
    <row r="65" spans="1:8">
      <c r="A65" s="369" t="s">
        <v>494</v>
      </c>
      <c r="B65" s="369"/>
      <c r="C65" s="369"/>
      <c r="D65" s="369"/>
      <c r="E65" s="369"/>
      <c r="F65" s="369"/>
      <c r="G65" s="369"/>
      <c r="H65" s="369"/>
    </row>
    <row r="66" spans="1:8">
      <c r="A66" s="369"/>
      <c r="B66" s="369"/>
      <c r="C66" s="369"/>
      <c r="D66" s="369"/>
      <c r="E66" s="369"/>
      <c r="F66" s="369"/>
      <c r="G66" s="369"/>
      <c r="H66" s="369"/>
    </row>
    <row r="67" spans="1:8">
      <c r="A67" s="369" t="s">
        <v>495</v>
      </c>
      <c r="B67" s="369"/>
      <c r="C67" s="369"/>
      <c r="D67" s="369"/>
      <c r="E67" s="369"/>
      <c r="F67" s="369"/>
      <c r="G67" s="369"/>
      <c r="H67" s="369"/>
    </row>
    <row r="68" spans="1:8">
      <c r="A68" s="369" t="s">
        <v>496</v>
      </c>
      <c r="B68" s="369"/>
      <c r="C68" s="369"/>
      <c r="D68" s="369"/>
      <c r="E68" s="369"/>
      <c r="F68" s="369"/>
      <c r="G68" s="369"/>
      <c r="H68" s="369"/>
    </row>
    <row r="69" spans="1:8">
      <c r="A69" s="369" t="s">
        <v>497</v>
      </c>
      <c r="B69" s="369"/>
      <c r="C69" s="369"/>
      <c r="D69" s="369"/>
      <c r="E69" s="369"/>
      <c r="F69" s="369"/>
      <c r="G69" s="369"/>
      <c r="H69" s="369"/>
    </row>
    <row r="70" spans="1:8">
      <c r="A70" s="369" t="s">
        <v>498</v>
      </c>
      <c r="B70" s="369"/>
      <c r="C70" s="369"/>
      <c r="D70" s="369"/>
      <c r="E70" s="369"/>
      <c r="F70" s="369"/>
      <c r="G70" s="369"/>
      <c r="H70" s="369"/>
    </row>
    <row r="71" spans="1:8">
      <c r="A71" s="369" t="s">
        <v>499</v>
      </c>
      <c r="B71" s="369"/>
      <c r="C71" s="369"/>
      <c r="D71" s="369"/>
      <c r="E71" s="369"/>
      <c r="F71" s="369"/>
      <c r="G71" s="369"/>
      <c r="H71" s="369"/>
    </row>
    <row r="72" spans="1:8">
      <c r="A72" s="369" t="s">
        <v>500</v>
      </c>
      <c r="B72" s="369"/>
      <c r="C72" s="369"/>
      <c r="D72" s="369"/>
      <c r="E72" s="369"/>
      <c r="F72" s="369"/>
      <c r="G72" s="369"/>
      <c r="H72" s="369"/>
    </row>
    <row r="73" spans="1:8">
      <c r="A73" s="369" t="s">
        <v>501</v>
      </c>
      <c r="B73" s="369"/>
      <c r="C73" s="369"/>
      <c r="D73" s="369"/>
      <c r="E73" s="369"/>
      <c r="F73" s="369"/>
      <c r="G73" s="369"/>
      <c r="H73" s="369"/>
    </row>
    <row r="74" spans="1:8">
      <c r="A74" s="369"/>
      <c r="B74" s="369"/>
      <c r="C74" s="369"/>
      <c r="D74" s="369"/>
      <c r="E74" s="369"/>
      <c r="F74" s="369"/>
      <c r="G74" s="369"/>
      <c r="H74" s="369"/>
    </row>
    <row r="75" spans="1:8">
      <c r="A75" s="369" t="s">
        <v>502</v>
      </c>
      <c r="B75" s="369"/>
      <c r="C75" s="369"/>
      <c r="D75" s="369"/>
      <c r="E75" s="369"/>
      <c r="F75" s="369"/>
      <c r="G75" s="369"/>
      <c r="H75" s="369"/>
    </row>
    <row r="76" spans="1:8">
      <c r="A76" s="369" t="s">
        <v>503</v>
      </c>
      <c r="B76" s="369"/>
      <c r="C76" s="369"/>
      <c r="D76" s="369"/>
      <c r="E76" s="369"/>
      <c r="F76" s="369"/>
      <c r="G76" s="369"/>
      <c r="H76" s="369"/>
    </row>
    <row r="77" spans="1:8">
      <c r="A77" s="369" t="s">
        <v>504</v>
      </c>
      <c r="B77" s="369"/>
      <c r="C77" s="369"/>
      <c r="D77" s="369"/>
      <c r="E77" s="369"/>
      <c r="F77" s="369"/>
      <c r="G77" s="369"/>
      <c r="H77" s="369"/>
    </row>
    <row r="78" spans="1:8">
      <c r="A78" s="369"/>
      <c r="B78" s="369"/>
      <c r="C78" s="369"/>
      <c r="D78" s="369"/>
      <c r="E78" s="369"/>
      <c r="F78" s="369"/>
      <c r="G78" s="369"/>
      <c r="H78" s="369"/>
    </row>
    <row r="79" spans="1:8">
      <c r="A79" s="369" t="s">
        <v>449</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505</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394</v>
      </c>
      <c r="I5" s="368"/>
      <c r="J5" s="368"/>
      <c r="K5" s="368"/>
      <c r="L5" s="368"/>
    </row>
    <row r="6" spans="1:12">
      <c r="A6" s="369" t="str">
        <f>CONCATENATE("estimated ",inputPrYr!D9-1," 'total expenditures' exceed your ",inputPrYr!D9-1,"")</f>
        <v>estimated 2013 'total expenditures' exceed your 2013</v>
      </c>
      <c r="I6" s="368"/>
      <c r="J6" s="368"/>
      <c r="K6" s="368"/>
      <c r="L6" s="368"/>
    </row>
    <row r="7" spans="1:12">
      <c r="A7" s="372" t="s">
        <v>506</v>
      </c>
      <c r="I7" s="368"/>
      <c r="J7" s="368"/>
      <c r="K7" s="368"/>
      <c r="L7" s="368"/>
    </row>
    <row r="8" spans="1:12">
      <c r="A8" s="369"/>
      <c r="I8" s="368"/>
      <c r="J8" s="368"/>
      <c r="K8" s="368"/>
      <c r="L8" s="368"/>
    </row>
    <row r="9" spans="1:12">
      <c r="A9" s="369" t="s">
        <v>507</v>
      </c>
      <c r="I9" s="368"/>
      <c r="J9" s="368"/>
      <c r="K9" s="368"/>
      <c r="L9" s="368"/>
    </row>
    <row r="10" spans="1:12">
      <c r="A10" s="369" t="s">
        <v>508</v>
      </c>
      <c r="I10" s="368"/>
      <c r="J10" s="368"/>
      <c r="K10" s="368"/>
      <c r="L10" s="368"/>
    </row>
    <row r="11" spans="1:12">
      <c r="A11" s="369" t="s">
        <v>509</v>
      </c>
      <c r="I11" s="368"/>
      <c r="J11" s="368"/>
      <c r="K11" s="368"/>
      <c r="L11" s="368"/>
    </row>
    <row r="12" spans="1:12">
      <c r="A12" s="369" t="s">
        <v>510</v>
      </c>
      <c r="I12" s="368"/>
      <c r="J12" s="368"/>
      <c r="K12" s="368"/>
      <c r="L12" s="368"/>
    </row>
    <row r="13" spans="1:12">
      <c r="A13" s="369" t="s">
        <v>511</v>
      </c>
      <c r="I13" s="368"/>
      <c r="J13" s="368"/>
      <c r="K13" s="368"/>
      <c r="L13" s="368"/>
    </row>
    <row r="14" spans="1:12">
      <c r="A14" s="368"/>
      <c r="B14" s="368"/>
      <c r="C14" s="368"/>
      <c r="D14" s="368"/>
      <c r="E14" s="368"/>
      <c r="F14" s="368"/>
      <c r="G14" s="368"/>
      <c r="H14" s="368"/>
      <c r="I14" s="368"/>
      <c r="J14" s="368"/>
      <c r="K14" s="368"/>
      <c r="L14" s="368"/>
    </row>
    <row r="15" spans="1:12">
      <c r="A15" s="370" t="s">
        <v>512</v>
      </c>
    </row>
    <row r="16" spans="1:12">
      <c r="A16" s="370" t="s">
        <v>513</v>
      </c>
    </row>
    <row r="17" spans="1:7">
      <c r="A17" s="370"/>
    </row>
    <row r="18" spans="1:7">
      <c r="A18" s="369" t="s">
        <v>514</v>
      </c>
      <c r="B18" s="369"/>
      <c r="C18" s="369"/>
      <c r="D18" s="369"/>
      <c r="E18" s="369"/>
      <c r="F18" s="369"/>
      <c r="G18" s="369"/>
    </row>
    <row r="19" spans="1:7">
      <c r="A19" s="369" t="str">
        <f>CONCATENATE("your ",inputPrYr!D9-1," numbers to see what steps might be necessary to")</f>
        <v>your 2013 numbers to see what steps might be necessary to</v>
      </c>
      <c r="B19" s="369"/>
      <c r="C19" s="369"/>
      <c r="D19" s="369"/>
      <c r="E19" s="369"/>
      <c r="F19" s="369"/>
      <c r="G19" s="369"/>
    </row>
    <row r="20" spans="1:7">
      <c r="A20" s="369" t="s">
        <v>515</v>
      </c>
      <c r="B20" s="369"/>
      <c r="C20" s="369"/>
      <c r="D20" s="369"/>
      <c r="E20" s="369"/>
      <c r="F20" s="369"/>
      <c r="G20" s="369"/>
    </row>
    <row r="21" spans="1:7">
      <c r="A21" s="369" t="s">
        <v>516</v>
      </c>
      <c r="B21" s="369"/>
      <c r="C21" s="369"/>
      <c r="D21" s="369"/>
      <c r="E21" s="369"/>
      <c r="F21" s="369"/>
      <c r="G21" s="369"/>
    </row>
    <row r="22" spans="1:7">
      <c r="A22" s="369"/>
    </row>
    <row r="23" spans="1:7">
      <c r="A23" s="370" t="s">
        <v>517</v>
      </c>
    </row>
    <row r="24" spans="1:7">
      <c r="A24" s="370"/>
    </row>
    <row r="25" spans="1:7">
      <c r="A25" s="369" t="s">
        <v>518</v>
      </c>
    </row>
    <row r="26" spans="1:7">
      <c r="A26" s="369" t="s">
        <v>519</v>
      </c>
      <c r="B26" s="369"/>
      <c r="C26" s="369"/>
      <c r="D26" s="369"/>
      <c r="E26" s="369"/>
      <c r="F26" s="369"/>
    </row>
    <row r="27" spans="1:7">
      <c r="A27" s="369" t="s">
        <v>520</v>
      </c>
      <c r="B27" s="369"/>
      <c r="C27" s="369"/>
      <c r="D27" s="369"/>
      <c r="E27" s="369"/>
      <c r="F27" s="369"/>
    </row>
    <row r="28" spans="1:7">
      <c r="A28" s="369" t="s">
        <v>521</v>
      </c>
      <c r="B28" s="369"/>
      <c r="C28" s="369"/>
      <c r="D28" s="369"/>
      <c r="E28" s="369"/>
      <c r="F28" s="369"/>
    </row>
    <row r="29" spans="1:7">
      <c r="A29" s="369"/>
      <c r="B29" s="369"/>
      <c r="C29" s="369"/>
      <c r="D29" s="369"/>
      <c r="E29" s="369"/>
      <c r="F29" s="369"/>
    </row>
    <row r="30" spans="1:7">
      <c r="A30" s="370" t="s">
        <v>522</v>
      </c>
      <c r="B30" s="370"/>
      <c r="C30" s="370"/>
      <c r="D30" s="370"/>
      <c r="E30" s="370"/>
      <c r="F30" s="370"/>
      <c r="G30" s="370"/>
    </row>
    <row r="31" spans="1:7">
      <c r="A31" s="370" t="s">
        <v>523</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2013 expenditures can</v>
      </c>
      <c r="B33" s="369"/>
      <c r="C33" s="369"/>
      <c r="D33" s="369"/>
      <c r="E33" s="369"/>
      <c r="F33" s="369"/>
    </row>
    <row r="34" spans="1:6">
      <c r="A34" s="373" t="s">
        <v>524</v>
      </c>
      <c r="B34" s="369"/>
      <c r="C34" s="369"/>
      <c r="D34" s="369"/>
      <c r="E34" s="369"/>
      <c r="F34" s="369"/>
    </row>
    <row r="35" spans="1:6">
      <c r="A35" s="373" t="s">
        <v>408</v>
      </c>
      <c r="B35" s="369"/>
      <c r="C35" s="369"/>
      <c r="D35" s="369"/>
      <c r="E35" s="369"/>
      <c r="F35" s="369"/>
    </row>
    <row r="36" spans="1:6">
      <c r="A36" s="373" t="s">
        <v>409</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2013 receipts contain a reimbursement</v>
      </c>
      <c r="B38" s="369"/>
      <c r="C38" s="369"/>
      <c r="D38" s="369"/>
      <c r="E38" s="369"/>
      <c r="F38" s="369"/>
    </row>
    <row r="39" spans="1:6">
      <c r="A39" s="373" t="s">
        <v>410</v>
      </c>
      <c r="B39" s="369"/>
      <c r="C39" s="369"/>
      <c r="D39" s="369"/>
      <c r="E39" s="369"/>
      <c r="F39" s="369"/>
    </row>
    <row r="40" spans="1:6">
      <c r="A40" s="373" t="s">
        <v>411</v>
      </c>
      <c r="B40" s="369"/>
      <c r="C40" s="369"/>
      <c r="D40" s="369"/>
      <c r="E40" s="369"/>
      <c r="F40" s="369"/>
    </row>
    <row r="41" spans="1:6">
      <c r="A41" s="373"/>
      <c r="B41" s="369"/>
      <c r="C41" s="369"/>
      <c r="D41" s="369"/>
      <c r="E41" s="369"/>
      <c r="F41" s="369"/>
    </row>
    <row r="42" spans="1:6">
      <c r="A42" s="373" t="s">
        <v>412</v>
      </c>
      <c r="B42" s="369"/>
      <c r="C42" s="369"/>
      <c r="D42" s="369"/>
      <c r="E42" s="369"/>
      <c r="F42" s="369"/>
    </row>
    <row r="43" spans="1:6">
      <c r="A43" s="373" t="s">
        <v>413</v>
      </c>
      <c r="B43" s="369"/>
      <c r="C43" s="369"/>
      <c r="D43" s="369"/>
      <c r="E43" s="369"/>
      <c r="F43" s="369"/>
    </row>
    <row r="44" spans="1:6">
      <c r="A44" s="373" t="s">
        <v>414</v>
      </c>
      <c r="B44" s="369"/>
      <c r="C44" s="369"/>
      <c r="D44" s="369"/>
      <c r="E44" s="369"/>
      <c r="F44" s="369"/>
    </row>
    <row r="45" spans="1:6">
      <c r="A45" s="373" t="s">
        <v>525</v>
      </c>
      <c r="B45" s="369"/>
      <c r="C45" s="369"/>
      <c r="D45" s="369"/>
      <c r="E45" s="369"/>
      <c r="F45" s="369"/>
    </row>
    <row r="46" spans="1:6">
      <c r="A46" s="373" t="s">
        <v>416</v>
      </c>
      <c r="B46" s="369"/>
      <c r="C46" s="369"/>
      <c r="D46" s="369"/>
      <c r="E46" s="369"/>
      <c r="F46" s="369"/>
    </row>
    <row r="47" spans="1:6">
      <c r="A47" s="373" t="s">
        <v>526</v>
      </c>
      <c r="B47" s="369"/>
      <c r="C47" s="369"/>
      <c r="D47" s="369"/>
      <c r="E47" s="369"/>
      <c r="F47" s="369"/>
    </row>
    <row r="48" spans="1:6">
      <c r="A48" s="373" t="s">
        <v>527</v>
      </c>
      <c r="B48" s="369"/>
      <c r="C48" s="369"/>
      <c r="D48" s="369"/>
      <c r="E48" s="369"/>
      <c r="F48" s="369"/>
    </row>
    <row r="49" spans="1:6">
      <c r="A49" s="373" t="s">
        <v>419</v>
      </c>
      <c r="B49" s="369"/>
      <c r="C49" s="369"/>
      <c r="D49" s="369"/>
      <c r="E49" s="369"/>
      <c r="F49" s="369"/>
    </row>
    <row r="50" spans="1:6">
      <c r="A50" s="373"/>
      <c r="B50" s="369"/>
      <c r="C50" s="369"/>
      <c r="D50" s="369"/>
      <c r="E50" s="369"/>
      <c r="F50" s="369"/>
    </row>
    <row r="51" spans="1:6">
      <c r="A51" s="373" t="s">
        <v>420</v>
      </c>
      <c r="B51" s="369"/>
      <c r="C51" s="369"/>
      <c r="D51" s="369"/>
      <c r="E51" s="369"/>
      <c r="F51" s="369"/>
    </row>
    <row r="52" spans="1:6">
      <c r="A52" s="373" t="s">
        <v>421</v>
      </c>
      <c r="B52" s="369"/>
      <c r="C52" s="369"/>
      <c r="D52" s="369"/>
      <c r="E52" s="369"/>
      <c r="F52" s="369"/>
    </row>
    <row r="53" spans="1:6">
      <c r="A53" s="373" t="s">
        <v>422</v>
      </c>
      <c r="B53" s="369"/>
      <c r="C53" s="369"/>
      <c r="D53" s="369"/>
      <c r="E53" s="369"/>
      <c r="F53" s="369"/>
    </row>
    <row r="54" spans="1:6">
      <c r="A54" s="373"/>
      <c r="B54" s="369"/>
      <c r="C54" s="369"/>
      <c r="D54" s="369"/>
      <c r="E54" s="369"/>
      <c r="F54" s="369"/>
    </row>
    <row r="55" spans="1:6">
      <c r="A55" s="373" t="s">
        <v>528</v>
      </c>
      <c r="B55" s="369"/>
      <c r="C55" s="369"/>
      <c r="D55" s="369"/>
      <c r="E55" s="369"/>
      <c r="F55" s="369"/>
    </row>
    <row r="56" spans="1:6">
      <c r="A56" s="373" t="s">
        <v>529</v>
      </c>
      <c r="B56" s="369"/>
      <c r="C56" s="369"/>
      <c r="D56" s="369"/>
      <c r="E56" s="369"/>
      <c r="F56" s="369"/>
    </row>
    <row r="57" spans="1:6">
      <c r="A57" s="373" t="s">
        <v>530</v>
      </c>
      <c r="B57" s="369"/>
      <c r="C57" s="369"/>
      <c r="D57" s="369"/>
      <c r="E57" s="369"/>
      <c r="F57" s="369"/>
    </row>
    <row r="58" spans="1:6">
      <c r="A58" s="373" t="s">
        <v>531</v>
      </c>
      <c r="B58" s="369"/>
      <c r="C58" s="369"/>
      <c r="D58" s="369"/>
      <c r="E58" s="369"/>
      <c r="F58" s="369"/>
    </row>
    <row r="59" spans="1:6">
      <c r="A59" s="373" t="s">
        <v>532</v>
      </c>
      <c r="B59" s="369"/>
      <c r="C59" s="369"/>
      <c r="D59" s="369"/>
      <c r="E59" s="369"/>
      <c r="F59" s="369"/>
    </row>
    <row r="60" spans="1:6">
      <c r="A60" s="373"/>
      <c r="B60" s="369"/>
      <c r="C60" s="369"/>
      <c r="D60" s="369"/>
      <c r="E60" s="369"/>
      <c r="F60" s="369"/>
    </row>
    <row r="61" spans="1:6">
      <c r="A61" s="374" t="s">
        <v>533</v>
      </c>
      <c r="B61" s="369"/>
      <c r="C61" s="369"/>
      <c r="D61" s="369"/>
      <c r="E61" s="369"/>
      <c r="F61" s="369"/>
    </row>
    <row r="62" spans="1:6">
      <c r="A62" s="374" t="s">
        <v>534</v>
      </c>
      <c r="B62" s="369"/>
      <c r="C62" s="369"/>
      <c r="D62" s="369"/>
      <c r="E62" s="369"/>
      <c r="F62" s="369"/>
    </row>
    <row r="63" spans="1:6">
      <c r="A63" s="374" t="s">
        <v>535</v>
      </c>
      <c r="B63" s="369"/>
      <c r="C63" s="369"/>
      <c r="D63" s="369"/>
      <c r="E63" s="369"/>
      <c r="F63" s="369"/>
    </row>
    <row r="64" spans="1:6">
      <c r="A64" s="374" t="s">
        <v>536</v>
      </c>
    </row>
    <row r="65" spans="1:1">
      <c r="A65" s="374" t="s">
        <v>537</v>
      </c>
    </row>
    <row r="66" spans="1:1">
      <c r="A66" s="374" t="s">
        <v>538</v>
      </c>
    </row>
    <row r="68" spans="1:1">
      <c r="A68" s="369" t="s">
        <v>539</v>
      </c>
    </row>
    <row r="69" spans="1:1">
      <c r="A69" s="369" t="s">
        <v>540</v>
      </c>
    </row>
    <row r="70" spans="1:1">
      <c r="A70" s="369" t="s">
        <v>541</v>
      </c>
    </row>
    <row r="71" spans="1:1">
      <c r="A71" s="369" t="s">
        <v>542</v>
      </c>
    </row>
    <row r="72" spans="1:1">
      <c r="A72" s="369" t="s">
        <v>543</v>
      </c>
    </row>
    <row r="73" spans="1:1">
      <c r="A73" s="369" t="s">
        <v>544</v>
      </c>
    </row>
    <row r="75" spans="1:1">
      <c r="A75" s="369" t="s">
        <v>449</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82" workbookViewId="0">
      <selection activeCell="B84" sqref="B84"/>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Williamsburg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40" t="s">
        <v>103</v>
      </c>
      <c r="B4" s="741"/>
      <c r="C4" s="741"/>
      <c r="D4" s="741"/>
      <c r="E4" s="741"/>
    </row>
    <row r="5" spans="1:5">
      <c r="A5" s="30"/>
      <c r="B5" s="30"/>
      <c r="C5" s="30"/>
      <c r="D5" s="30"/>
      <c r="E5" s="30"/>
    </row>
    <row r="6" spans="1:5">
      <c r="A6" s="744" t="str">
        <f>CONCATENATE("From the County Clerks Budget Information for ",E1,":")</f>
        <v>From the County Clerks Budget Information for 2014:</v>
      </c>
      <c r="B6" s="745"/>
      <c r="C6" s="745"/>
      <c r="D6" s="745"/>
      <c r="E6" s="745"/>
    </row>
    <row r="7" spans="1:5">
      <c r="A7" s="55" t="str">
        <f>CONCATENATE("Assessed Valuation for ",E1-1,":")</f>
        <v>Assessed Valuation for 2013:</v>
      </c>
      <c r="B7" s="10"/>
      <c r="C7" s="10"/>
      <c r="D7" s="10"/>
      <c r="E7" s="36"/>
    </row>
    <row r="8" spans="1:5">
      <c r="A8" s="13" t="s">
        <v>150</v>
      </c>
      <c r="B8" s="14"/>
      <c r="C8" s="14"/>
      <c r="D8" s="14"/>
      <c r="E8" s="35">
        <v>3926293</v>
      </c>
    </row>
    <row r="9" spans="1:5">
      <c r="A9" s="15" t="str">
        <f>inputPrYr!$D$6</f>
        <v>Williamsburg City</v>
      </c>
      <c r="B9" s="16"/>
      <c r="C9" s="16"/>
      <c r="D9" s="16"/>
      <c r="E9" s="35">
        <v>1181663</v>
      </c>
    </row>
    <row r="10" spans="1:5">
      <c r="A10" s="15">
        <f>inputPrYr!$D$7</f>
        <v>0</v>
      </c>
      <c r="B10" s="16"/>
      <c r="C10" s="16"/>
      <c r="D10" s="16"/>
      <c r="E10" s="35"/>
    </row>
    <row r="11" spans="1:5">
      <c r="A11" s="15" t="str">
        <f>CONCATENATE("Total Assessed Valuation for ",$E$1-1,"")</f>
        <v>Total Assessed Valuation for 2013</v>
      </c>
      <c r="B11" s="16"/>
      <c r="C11" s="16"/>
      <c r="D11" s="16"/>
      <c r="E11" s="53">
        <f>SUM(E8:E10)</f>
        <v>5107956</v>
      </c>
    </row>
    <row r="12" spans="1:5">
      <c r="A12" s="54" t="str">
        <f>CONCATENATE("New Improvements for ",E1-1,":")</f>
        <v>New Improvements for 2013:</v>
      </c>
      <c r="B12" s="10"/>
      <c r="C12" s="10"/>
      <c r="D12" s="10"/>
      <c r="E12" s="34"/>
    </row>
    <row r="13" spans="1:5">
      <c r="A13" s="13" t="s">
        <v>150</v>
      </c>
      <c r="B13" s="14"/>
      <c r="C13" s="14"/>
      <c r="D13" s="14"/>
      <c r="E13" s="52">
        <v>3412</v>
      </c>
    </row>
    <row r="14" spans="1:5">
      <c r="A14" s="15" t="str">
        <f>inputPrYr!$D$6</f>
        <v>Williamsburg City</v>
      </c>
      <c r="B14" s="14"/>
      <c r="C14" s="14"/>
      <c r="D14" s="14"/>
      <c r="E14" s="3">
        <v>3320</v>
      </c>
    </row>
    <row r="15" spans="1:5">
      <c r="A15" s="15">
        <f>inputPrYr!$D$7</f>
        <v>0</v>
      </c>
      <c r="B15" s="14"/>
      <c r="C15" s="14"/>
      <c r="D15" s="14"/>
      <c r="E15" s="3"/>
    </row>
    <row r="16" spans="1:5">
      <c r="A16" s="15" t="str">
        <f>CONCATENATE("Total New Improvements for ",$E$1-1,"")</f>
        <v>Total New Improvements for 2013</v>
      </c>
      <c r="B16" s="16"/>
      <c r="C16" s="16"/>
      <c r="D16" s="16"/>
      <c r="E16" s="51">
        <f>SUM(E13:E15)</f>
        <v>6732</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66562</v>
      </c>
    </row>
    <row r="19" spans="1:5">
      <c r="A19" s="15" t="str">
        <f>inputPrYr!$D$6</f>
        <v>Williamsburg City</v>
      </c>
      <c r="B19" s="16"/>
      <c r="C19" s="16"/>
      <c r="D19" s="16"/>
      <c r="E19" s="3">
        <v>20921</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87483</v>
      </c>
    </row>
    <row r="22" spans="1:5">
      <c r="A22" s="54" t="str">
        <f>CONCATENATE("Property that has changed in use for ",E1-1,":")</f>
        <v>Property that has changed in use for 2013:</v>
      </c>
      <c r="B22" s="10"/>
      <c r="C22" s="10"/>
      <c r="D22" s="10"/>
      <c r="E22" s="34"/>
    </row>
    <row r="23" spans="1:5">
      <c r="A23" s="13" t="s">
        <v>150</v>
      </c>
      <c r="B23" s="14"/>
      <c r="C23" s="14"/>
      <c r="D23" s="14"/>
      <c r="E23" s="52">
        <v>32733</v>
      </c>
    </row>
    <row r="24" spans="1:5">
      <c r="A24" s="15" t="str">
        <f>inputPrYr!$D$6</f>
        <v>Williamsburg City</v>
      </c>
      <c r="B24" s="16"/>
      <c r="C24" s="16"/>
      <c r="D24" s="16"/>
      <c r="E24" s="3">
        <v>273</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33006</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76535</v>
      </c>
    </row>
    <row r="29" spans="1:5">
      <c r="A29" s="15" t="str">
        <f>inputPrYr!$D$6</f>
        <v>Williamsburg City</v>
      </c>
      <c r="B29" s="16"/>
      <c r="C29" s="16"/>
      <c r="D29" s="16"/>
      <c r="E29" s="3">
        <v>243707</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320242</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2" t="s">
        <v>241</v>
      </c>
      <c r="B36" s="743"/>
      <c r="C36" s="30"/>
      <c r="D36" s="37" t="s">
        <v>251</v>
      </c>
      <c r="E36" s="36"/>
    </row>
    <row r="37" spans="1:5">
      <c r="A37" s="13" t="str">
        <f>inputPrYr!B20</f>
        <v>General</v>
      </c>
      <c r="B37" s="14"/>
      <c r="C37" s="10"/>
      <c r="D37" s="48">
        <v>0</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t="str">
        <f>inputPrYr!B26</f>
        <v>Fire Protection</v>
      </c>
      <c r="B43" s="16"/>
      <c r="C43" s="10"/>
      <c r="D43" s="50"/>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0</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3909985</v>
      </c>
    </row>
    <row r="53" spans="1:5">
      <c r="A53" s="16" t="str">
        <f>inputPrYr!D6</f>
        <v>Williamsburg City</v>
      </c>
      <c r="B53" s="16"/>
      <c r="C53" s="16"/>
      <c r="D53" s="20"/>
      <c r="E53" s="4">
        <v>1398352</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5308337</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0</v>
      </c>
    </row>
    <row r="60" spans="1:5">
      <c r="A60" s="15" t="s">
        <v>232</v>
      </c>
      <c r="B60" s="16"/>
      <c r="C60" s="16"/>
      <c r="D60" s="40"/>
      <c r="E60" s="2">
        <v>0</v>
      </c>
    </row>
    <row r="61" spans="1:5">
      <c r="A61" s="15" t="s">
        <v>105</v>
      </c>
      <c r="B61" s="16"/>
      <c r="C61" s="16"/>
      <c r="D61" s="40"/>
      <c r="E61" s="2">
        <v>0</v>
      </c>
    </row>
    <row r="62" spans="1:5">
      <c r="A62" s="44" t="s">
        <v>147</v>
      </c>
      <c r="B62" s="45"/>
      <c r="C62" s="16"/>
      <c r="D62" s="40"/>
      <c r="E62" s="31"/>
    </row>
    <row r="63" spans="1:5">
      <c r="A63" s="13" t="s">
        <v>144</v>
      </c>
      <c r="B63" s="16"/>
      <c r="C63" s="16"/>
      <c r="D63" s="40"/>
      <c r="E63" s="2">
        <v>0</v>
      </c>
    </row>
    <row r="64" spans="1:5">
      <c r="A64" s="15" t="s">
        <v>145</v>
      </c>
      <c r="B64" s="16"/>
      <c r="C64" s="16"/>
      <c r="D64" s="40"/>
      <c r="E64" s="2">
        <v>0</v>
      </c>
    </row>
    <row r="65" spans="1:5">
      <c r="A65" s="15" t="s">
        <v>146</v>
      </c>
      <c r="B65" s="16"/>
      <c r="C65" s="16"/>
      <c r="D65" s="40"/>
      <c r="E65" s="2">
        <v>0</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6" t="s">
        <v>149</v>
      </c>
      <c r="B73" s="747"/>
      <c r="C73" s="747"/>
      <c r="D73" s="747"/>
      <c r="E73" s="747"/>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781</v>
      </c>
      <c r="B77" s="17"/>
      <c r="C77" s="10"/>
      <c r="D77" s="10"/>
      <c r="E77" s="568">
        <v>0</v>
      </c>
    </row>
    <row r="78" spans="1:5" ht="34.5" customHeight="1">
      <c r="A78" s="738" t="s">
        <v>108</v>
      </c>
      <c r="B78" s="739"/>
      <c r="C78" s="739"/>
      <c r="D78" s="739"/>
      <c r="E78" s="739"/>
    </row>
    <row r="79" spans="1:5">
      <c r="A79" s="33"/>
      <c r="B79" s="33"/>
      <c r="C79" s="33"/>
      <c r="D79" s="33"/>
      <c r="E79" s="33"/>
    </row>
    <row r="80" spans="1:5">
      <c r="A80" s="734" t="str">
        <f>CONCATENATE("From the ",E1-2," Budget Certificate Page")</f>
        <v>From the 2012 Budget Certificate Page</v>
      </c>
      <c r="B80" s="735"/>
      <c r="C80" s="33"/>
      <c r="D80" s="33"/>
      <c r="E80" s="33"/>
    </row>
    <row r="81" spans="1:5">
      <c r="A81" s="57"/>
      <c r="B81" s="57" t="str">
        <f>CONCATENATE("",E1-2," Expenditure Amounts")</f>
        <v>2012 Expenditure Amounts</v>
      </c>
      <c r="C81" s="736" t="str">
        <f>CONCATENATE("Note: If the ",E1-2," budget was amended, then the")</f>
        <v>Note: If the 2012 budget was amended, then the</v>
      </c>
      <c r="D81" s="737"/>
      <c r="E81" s="737"/>
    </row>
    <row r="82" spans="1:5">
      <c r="A82" s="58" t="s">
        <v>165</v>
      </c>
      <c r="B82" s="58" t="s">
        <v>166</v>
      </c>
      <c r="C82" s="59" t="s">
        <v>167</v>
      </c>
      <c r="D82" s="60"/>
      <c r="E82" s="60"/>
    </row>
    <row r="83" spans="1:5">
      <c r="A83" s="61" t="str">
        <f>inputPrYr!B20</f>
        <v>General</v>
      </c>
      <c r="B83" s="4">
        <v>8300</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t="str">
        <f>inputPrYr!B26</f>
        <v>Fire Protection</v>
      </c>
      <c r="B89" s="4"/>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545</v>
      </c>
      <c r="B3" s="368"/>
      <c r="C3" s="368"/>
      <c r="D3" s="368"/>
      <c r="E3" s="368"/>
      <c r="F3" s="368"/>
      <c r="G3" s="368"/>
    </row>
    <row r="4" spans="1:7">
      <c r="A4" s="368"/>
      <c r="B4" s="368"/>
      <c r="C4" s="368"/>
      <c r="D4" s="368"/>
      <c r="E4" s="368"/>
      <c r="F4" s="368"/>
      <c r="G4" s="368"/>
    </row>
    <row r="5" spans="1:7">
      <c r="A5" s="369" t="s">
        <v>451</v>
      </c>
    </row>
    <row r="6" spans="1:7">
      <c r="A6" s="369" t="str">
        <f>CONCATENATE(inputPrYr!D9," estimated expenditures show that at the end of this year")</f>
        <v>2014 estimated expenditures show that at the end of this year</v>
      </c>
    </row>
    <row r="7" spans="1:7">
      <c r="A7" s="369" t="s">
        <v>546</v>
      </c>
    </row>
    <row r="8" spans="1:7">
      <c r="A8" s="369" t="s">
        <v>547</v>
      </c>
    </row>
    <row r="10" spans="1:7">
      <c r="A10" t="s">
        <v>453</v>
      </c>
    </row>
    <row r="11" spans="1:7">
      <c r="A11" t="s">
        <v>454</v>
      </c>
    </row>
    <row r="12" spans="1:7">
      <c r="A12" t="s">
        <v>455</v>
      </c>
    </row>
    <row r="13" spans="1:7">
      <c r="A13" s="368"/>
      <c r="B13" s="368"/>
      <c r="C13" s="368"/>
      <c r="D13" s="368"/>
      <c r="E13" s="368"/>
      <c r="F13" s="368"/>
      <c r="G13" s="368"/>
    </row>
    <row r="14" spans="1:7">
      <c r="A14" s="370" t="s">
        <v>548</v>
      </c>
    </row>
    <row r="15" spans="1:7">
      <c r="A15" s="369"/>
    </row>
    <row r="16" spans="1:7">
      <c r="A16" s="369" t="s">
        <v>549</v>
      </c>
    </row>
    <row r="17" spans="1:7">
      <c r="A17" s="369" t="s">
        <v>550</v>
      </c>
    </row>
    <row r="18" spans="1:7">
      <c r="A18" s="369" t="s">
        <v>551</v>
      </c>
    </row>
    <row r="19" spans="1:7">
      <c r="A19" s="369"/>
    </row>
    <row r="20" spans="1:7">
      <c r="A20" s="369" t="s">
        <v>552</v>
      </c>
    </row>
    <row r="21" spans="1:7">
      <c r="A21" s="369" t="s">
        <v>553</v>
      </c>
    </row>
    <row r="22" spans="1:7">
      <c r="A22" s="369" t="s">
        <v>554</v>
      </c>
    </row>
    <row r="23" spans="1:7">
      <c r="A23" s="369" t="s">
        <v>555</v>
      </c>
    </row>
    <row r="24" spans="1:7">
      <c r="A24" s="369"/>
    </row>
    <row r="25" spans="1:7">
      <c r="A25" s="370" t="s">
        <v>517</v>
      </c>
    </row>
    <row r="26" spans="1:7">
      <c r="A26" s="370"/>
    </row>
    <row r="27" spans="1:7">
      <c r="A27" s="369" t="s">
        <v>518</v>
      </c>
    </row>
    <row r="28" spans="1:7">
      <c r="A28" s="369" t="s">
        <v>519</v>
      </c>
      <c r="B28" s="369"/>
      <c r="C28" s="369"/>
      <c r="D28" s="369"/>
      <c r="E28" s="369"/>
      <c r="F28" s="369"/>
    </row>
    <row r="29" spans="1:7">
      <c r="A29" s="369" t="s">
        <v>520</v>
      </c>
      <c r="B29" s="369"/>
      <c r="C29" s="369"/>
      <c r="D29" s="369"/>
      <c r="E29" s="369"/>
      <c r="F29" s="369"/>
    </row>
    <row r="30" spans="1:7">
      <c r="A30" s="369" t="s">
        <v>521</v>
      </c>
      <c r="B30" s="369"/>
      <c r="C30" s="369"/>
      <c r="D30" s="369"/>
      <c r="E30" s="369"/>
      <c r="F30" s="369"/>
    </row>
    <row r="31" spans="1:7">
      <c r="A31" s="369"/>
    </row>
    <row r="32" spans="1:7">
      <c r="A32" s="370" t="s">
        <v>522</v>
      </c>
      <c r="B32" s="370"/>
      <c r="C32" s="370"/>
      <c r="D32" s="370"/>
      <c r="E32" s="370"/>
      <c r="F32" s="370"/>
      <c r="G32" s="370"/>
    </row>
    <row r="33" spans="1:7">
      <c r="A33" s="370" t="s">
        <v>523</v>
      </c>
      <c r="B33" s="370"/>
      <c r="C33" s="370"/>
      <c r="D33" s="370"/>
      <c r="E33" s="370"/>
      <c r="F33" s="370"/>
      <c r="G33" s="370"/>
    </row>
    <row r="34" spans="1:7">
      <c r="A34" s="370"/>
      <c r="B34" s="370"/>
      <c r="C34" s="370"/>
      <c r="D34" s="370"/>
      <c r="E34" s="370"/>
      <c r="F34" s="370"/>
      <c r="G34" s="370"/>
    </row>
    <row r="35" spans="1:7">
      <c r="A35" s="369" t="s">
        <v>556</v>
      </c>
      <c r="B35" s="369"/>
      <c r="C35" s="369"/>
      <c r="D35" s="369"/>
      <c r="E35" s="369"/>
      <c r="F35" s="369"/>
      <c r="G35" s="369"/>
    </row>
    <row r="36" spans="1:7">
      <c r="A36" s="369" t="s">
        <v>557</v>
      </c>
      <c r="B36" s="369"/>
      <c r="C36" s="369"/>
      <c r="D36" s="369"/>
      <c r="E36" s="369"/>
      <c r="F36" s="369"/>
      <c r="G36" s="369"/>
    </row>
    <row r="37" spans="1:7">
      <c r="A37" s="369" t="s">
        <v>558</v>
      </c>
      <c r="B37" s="369"/>
      <c r="C37" s="369"/>
      <c r="D37" s="369"/>
      <c r="E37" s="369"/>
      <c r="F37" s="369"/>
      <c r="G37" s="369"/>
    </row>
    <row r="38" spans="1:7">
      <c r="A38" s="369" t="s">
        <v>559</v>
      </c>
      <c r="B38" s="369"/>
      <c r="C38" s="369"/>
      <c r="D38" s="369"/>
      <c r="E38" s="369"/>
      <c r="F38" s="369"/>
      <c r="G38" s="369"/>
    </row>
    <row r="39" spans="1:7">
      <c r="A39" s="369" t="s">
        <v>560</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2013 expenditures can</v>
      </c>
      <c r="B41" s="369"/>
      <c r="C41" s="369"/>
      <c r="D41" s="369"/>
      <c r="E41" s="369"/>
      <c r="F41" s="369"/>
    </row>
    <row r="42" spans="1:7">
      <c r="A42" s="373" t="s">
        <v>524</v>
      </c>
      <c r="B42" s="369"/>
      <c r="C42" s="369"/>
      <c r="D42" s="369"/>
      <c r="E42" s="369"/>
      <c r="F42" s="369"/>
    </row>
    <row r="43" spans="1:7">
      <c r="A43" s="373" t="s">
        <v>408</v>
      </c>
      <c r="B43" s="369"/>
      <c r="C43" s="369"/>
      <c r="D43" s="369"/>
      <c r="E43" s="369"/>
      <c r="F43" s="369"/>
    </row>
    <row r="44" spans="1:7">
      <c r="A44" s="373" t="s">
        <v>409</v>
      </c>
      <c r="B44" s="369"/>
      <c r="C44" s="369"/>
      <c r="D44" s="369"/>
      <c r="E44" s="369"/>
      <c r="F44" s="369"/>
    </row>
    <row r="45" spans="1:7">
      <c r="A45" s="369"/>
    </row>
    <row r="46" spans="1:7">
      <c r="A46" s="373" t="str">
        <f>CONCATENATE("Additionally, do your ",inputPrYr!D9-1," receipts contain a reimbursement")</f>
        <v>Additionally, do your 2013 receipts contain a reimbursement</v>
      </c>
      <c r="B46" s="369"/>
      <c r="C46" s="369"/>
      <c r="D46" s="369"/>
      <c r="E46" s="369"/>
      <c r="F46" s="369"/>
    </row>
    <row r="47" spans="1:7">
      <c r="A47" s="373" t="s">
        <v>410</v>
      </c>
      <c r="B47" s="369"/>
      <c r="C47" s="369"/>
      <c r="D47" s="369"/>
      <c r="E47" s="369"/>
      <c r="F47" s="369"/>
    </row>
    <row r="48" spans="1:7">
      <c r="A48" s="373" t="s">
        <v>411</v>
      </c>
      <c r="B48" s="369"/>
      <c r="C48" s="369"/>
      <c r="D48" s="369"/>
      <c r="E48" s="369"/>
      <c r="F48" s="369"/>
    </row>
    <row r="49" spans="1:7">
      <c r="A49" s="369"/>
      <c r="B49" s="369"/>
      <c r="C49" s="369"/>
      <c r="D49" s="369"/>
      <c r="E49" s="369"/>
      <c r="F49" s="369"/>
      <c r="G49" s="369"/>
    </row>
    <row r="50" spans="1:7">
      <c r="A50" s="369" t="s">
        <v>478</v>
      </c>
      <c r="B50" s="369"/>
      <c r="C50" s="369"/>
      <c r="D50" s="369"/>
      <c r="E50" s="369"/>
      <c r="F50" s="369"/>
      <c r="G50" s="369"/>
    </row>
    <row r="51" spans="1:7">
      <c r="A51" s="369" t="s">
        <v>479</v>
      </c>
      <c r="B51" s="369"/>
      <c r="C51" s="369"/>
      <c r="D51" s="369"/>
      <c r="E51" s="369"/>
      <c r="F51" s="369"/>
      <c r="G51" s="369"/>
    </row>
    <row r="52" spans="1:7">
      <c r="A52" s="369" t="s">
        <v>480</v>
      </c>
      <c r="B52" s="369"/>
      <c r="C52" s="369"/>
      <c r="D52" s="369"/>
      <c r="E52" s="369"/>
      <c r="F52" s="369"/>
      <c r="G52" s="369"/>
    </row>
    <row r="53" spans="1:7">
      <c r="A53" s="369" t="s">
        <v>481</v>
      </c>
      <c r="B53" s="369"/>
      <c r="C53" s="369"/>
      <c r="D53" s="369"/>
      <c r="E53" s="369"/>
      <c r="F53" s="369"/>
      <c r="G53" s="369"/>
    </row>
    <row r="54" spans="1:7">
      <c r="A54" s="369" t="s">
        <v>482</v>
      </c>
      <c r="B54" s="369"/>
      <c r="C54" s="369"/>
      <c r="D54" s="369"/>
      <c r="E54" s="369"/>
      <c r="F54" s="369"/>
      <c r="G54" s="369"/>
    </row>
    <row r="55" spans="1:7">
      <c r="A55" s="369"/>
      <c r="B55" s="369"/>
      <c r="C55" s="369"/>
      <c r="D55" s="369"/>
      <c r="E55" s="369"/>
      <c r="F55" s="369"/>
      <c r="G55" s="369"/>
    </row>
    <row r="56" spans="1:7">
      <c r="A56" s="373" t="s">
        <v>420</v>
      </c>
      <c r="B56" s="369"/>
      <c r="C56" s="369"/>
      <c r="D56" s="369"/>
      <c r="E56" s="369"/>
      <c r="F56" s="369"/>
    </row>
    <row r="57" spans="1:7">
      <c r="A57" s="373" t="s">
        <v>421</v>
      </c>
      <c r="B57" s="369"/>
      <c r="C57" s="369"/>
      <c r="D57" s="369"/>
      <c r="E57" s="369"/>
      <c r="F57" s="369"/>
    </row>
    <row r="58" spans="1:7">
      <c r="A58" s="373" t="s">
        <v>422</v>
      </c>
      <c r="B58" s="369"/>
      <c r="C58" s="369"/>
      <c r="D58" s="369"/>
      <c r="E58" s="369"/>
      <c r="F58" s="369"/>
    </row>
    <row r="59" spans="1:7">
      <c r="A59" s="373"/>
      <c r="B59" s="369"/>
      <c r="C59" s="369"/>
      <c r="D59" s="369"/>
      <c r="E59" s="369"/>
      <c r="F59" s="369"/>
    </row>
    <row r="60" spans="1:7">
      <c r="A60" s="369" t="s">
        <v>561</v>
      </c>
      <c r="B60" s="369"/>
      <c r="C60" s="369"/>
      <c r="D60" s="369"/>
      <c r="E60" s="369"/>
      <c r="F60" s="369"/>
      <c r="G60" s="369"/>
    </row>
    <row r="61" spans="1:7">
      <c r="A61" s="369" t="s">
        <v>562</v>
      </c>
      <c r="B61" s="369"/>
      <c r="C61" s="369"/>
      <c r="D61" s="369"/>
      <c r="E61" s="369"/>
      <c r="F61" s="369"/>
      <c r="G61" s="369"/>
    </row>
    <row r="62" spans="1:7">
      <c r="A62" s="369" t="s">
        <v>563</v>
      </c>
      <c r="B62" s="369"/>
      <c r="C62" s="369"/>
      <c r="D62" s="369"/>
      <c r="E62" s="369"/>
      <c r="F62" s="369"/>
      <c r="G62" s="369"/>
    </row>
    <row r="63" spans="1:7">
      <c r="A63" s="369" t="s">
        <v>564</v>
      </c>
      <c r="B63" s="369"/>
      <c r="C63" s="369"/>
      <c r="D63" s="369"/>
      <c r="E63" s="369"/>
      <c r="F63" s="369"/>
      <c r="G63" s="369"/>
    </row>
    <row r="64" spans="1:7">
      <c r="A64" s="369" t="s">
        <v>565</v>
      </c>
      <c r="B64" s="369"/>
      <c r="C64" s="369"/>
      <c r="D64" s="369"/>
      <c r="E64" s="369"/>
      <c r="F64" s="369"/>
      <c r="G64" s="369"/>
    </row>
    <row r="66" spans="1:6">
      <c r="A66" s="373" t="s">
        <v>528</v>
      </c>
      <c r="B66" s="369"/>
      <c r="C66" s="369"/>
      <c r="D66" s="369"/>
      <c r="E66" s="369"/>
      <c r="F66" s="369"/>
    </row>
    <row r="67" spans="1:6">
      <c r="A67" s="373" t="s">
        <v>529</v>
      </c>
      <c r="B67" s="369"/>
      <c r="C67" s="369"/>
      <c r="D67" s="369"/>
      <c r="E67" s="369"/>
      <c r="F67" s="369"/>
    </row>
    <row r="68" spans="1:6">
      <c r="A68" s="373" t="s">
        <v>530</v>
      </c>
      <c r="B68" s="369"/>
      <c r="C68" s="369"/>
      <c r="D68" s="369"/>
      <c r="E68" s="369"/>
      <c r="F68" s="369"/>
    </row>
    <row r="69" spans="1:6">
      <c r="A69" s="373" t="s">
        <v>531</v>
      </c>
      <c r="B69" s="369"/>
      <c r="C69" s="369"/>
      <c r="D69" s="369"/>
      <c r="E69" s="369"/>
      <c r="F69" s="369"/>
    </row>
    <row r="70" spans="1:6">
      <c r="A70" s="373" t="s">
        <v>532</v>
      </c>
      <c r="B70" s="369"/>
      <c r="C70" s="369"/>
      <c r="D70" s="369"/>
      <c r="E70" s="369"/>
      <c r="F70" s="369"/>
    </row>
    <row r="71" spans="1:6">
      <c r="A71" s="369"/>
    </row>
    <row r="72" spans="1:6">
      <c r="A72" s="369" t="s">
        <v>449</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566</v>
      </c>
      <c r="B3" s="368"/>
      <c r="C3" s="368"/>
      <c r="D3" s="368"/>
      <c r="E3" s="368"/>
      <c r="F3" s="368"/>
      <c r="G3" s="368"/>
    </row>
    <row r="4" spans="1:7">
      <c r="A4" s="368" t="s">
        <v>567</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394</v>
      </c>
    </row>
    <row r="8" spans="1:7">
      <c r="A8" s="369" t="str">
        <f>CONCATENATE("estimated ",inputPrYr!D9," 'total expenditures' exceed your ",inputPrYr!D9,"")</f>
        <v>estimated 2014 'total expenditures' exceed your 2014</v>
      </c>
    </row>
    <row r="9" spans="1:7">
      <c r="A9" s="372" t="s">
        <v>568</v>
      </c>
    </row>
    <row r="10" spans="1:7">
      <c r="A10" s="369"/>
    </row>
    <row r="11" spans="1:7">
      <c r="A11" s="369" t="s">
        <v>569</v>
      </c>
    </row>
    <row r="12" spans="1:7">
      <c r="A12" s="369" t="s">
        <v>570</v>
      </c>
    </row>
    <row r="13" spans="1:7">
      <c r="A13" s="369" t="s">
        <v>571</v>
      </c>
    </row>
    <row r="14" spans="1:7">
      <c r="A14" s="369"/>
    </row>
    <row r="15" spans="1:7">
      <c r="A15" s="370" t="s">
        <v>572</v>
      </c>
    </row>
    <row r="16" spans="1:7">
      <c r="A16" s="368"/>
      <c r="B16" s="368"/>
      <c r="C16" s="368"/>
      <c r="D16" s="368"/>
      <c r="E16" s="368"/>
      <c r="F16" s="368"/>
      <c r="G16" s="368"/>
    </row>
    <row r="17" spans="1:8">
      <c r="A17" s="375" t="s">
        <v>573</v>
      </c>
      <c r="B17" s="367"/>
      <c r="C17" s="367"/>
      <c r="D17" s="367"/>
      <c r="E17" s="367"/>
      <c r="F17" s="367"/>
      <c r="G17" s="367"/>
      <c r="H17" s="367"/>
    </row>
    <row r="18" spans="1:8">
      <c r="A18" s="369" t="s">
        <v>574</v>
      </c>
      <c r="B18" s="376"/>
      <c r="C18" s="376"/>
      <c r="D18" s="376"/>
      <c r="E18" s="376"/>
      <c r="F18" s="376"/>
      <c r="G18" s="376"/>
    </row>
    <row r="19" spans="1:8">
      <c r="A19" s="369" t="s">
        <v>575</v>
      </c>
    </row>
    <row r="20" spans="1:8">
      <c r="A20" s="369" t="s">
        <v>576</v>
      </c>
    </row>
    <row r="22" spans="1:8">
      <c r="A22" s="370" t="s">
        <v>577</v>
      </c>
    </row>
    <row r="24" spans="1:8">
      <c r="A24" s="369" t="s">
        <v>578</v>
      </c>
    </row>
    <row r="25" spans="1:8">
      <c r="A25" s="369" t="s">
        <v>579</v>
      </c>
    </row>
    <row r="26" spans="1:8">
      <c r="A26" s="369" t="s">
        <v>580</v>
      </c>
    </row>
    <row r="28" spans="1:8">
      <c r="A28" s="370" t="s">
        <v>581</v>
      </c>
    </row>
    <row r="30" spans="1:8">
      <c r="A30" t="s">
        <v>582</v>
      </c>
    </row>
    <row r="31" spans="1:8">
      <c r="A31" t="s">
        <v>583</v>
      </c>
    </row>
    <row r="32" spans="1:8">
      <c r="A32" t="s">
        <v>584</v>
      </c>
    </row>
    <row r="33" spans="1:1">
      <c r="A33" s="369"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69" t="s">
        <v>598</v>
      </c>
    </row>
    <row r="50" spans="1:1">
      <c r="A50" s="369" t="s">
        <v>599</v>
      </c>
    </row>
    <row r="52" spans="1:1">
      <c r="A52" t="s">
        <v>449</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50" t="s">
        <v>641</v>
      </c>
      <c r="C6" s="855"/>
      <c r="D6" s="855"/>
      <c r="E6" s="855"/>
      <c r="F6" s="855"/>
      <c r="G6" s="855"/>
      <c r="H6" s="855"/>
      <c r="I6" s="855"/>
      <c r="J6" s="855"/>
      <c r="K6" s="855"/>
      <c r="L6" s="391"/>
    </row>
    <row r="7" spans="1:12" ht="40.5" customHeight="1">
      <c r="A7" s="389"/>
      <c r="B7" s="864" t="s">
        <v>642</v>
      </c>
      <c r="C7" s="865"/>
      <c r="D7" s="865"/>
      <c r="E7" s="865"/>
      <c r="F7" s="865"/>
      <c r="G7" s="865"/>
      <c r="H7" s="865"/>
      <c r="I7" s="865"/>
      <c r="J7" s="865"/>
      <c r="K7" s="865"/>
      <c r="L7" s="389"/>
    </row>
    <row r="8" spans="1:12">
      <c r="A8" s="389"/>
      <c r="B8" s="858" t="s">
        <v>643</v>
      </c>
      <c r="C8" s="858"/>
      <c r="D8" s="858"/>
      <c r="E8" s="858"/>
      <c r="F8" s="858"/>
      <c r="G8" s="858"/>
      <c r="H8" s="858"/>
      <c r="I8" s="858"/>
      <c r="J8" s="858"/>
      <c r="K8" s="858"/>
      <c r="L8" s="389"/>
    </row>
    <row r="9" spans="1:12">
      <c r="A9" s="389"/>
      <c r="L9" s="389"/>
    </row>
    <row r="10" spans="1:12">
      <c r="A10" s="389"/>
      <c r="B10" s="858" t="s">
        <v>644</v>
      </c>
      <c r="C10" s="858"/>
      <c r="D10" s="858"/>
      <c r="E10" s="858"/>
      <c r="F10" s="858"/>
      <c r="G10" s="858"/>
      <c r="H10" s="858"/>
      <c r="I10" s="858"/>
      <c r="J10" s="858"/>
      <c r="K10" s="858"/>
      <c r="L10" s="389"/>
    </row>
    <row r="11" spans="1:12">
      <c r="A11" s="389"/>
      <c r="B11" s="392"/>
      <c r="C11" s="392"/>
      <c r="D11" s="392"/>
      <c r="E11" s="392"/>
      <c r="F11" s="392"/>
      <c r="G11" s="392"/>
      <c r="H11" s="392"/>
      <c r="I11" s="392"/>
      <c r="J11" s="392"/>
      <c r="K11" s="392"/>
      <c r="L11" s="389"/>
    </row>
    <row r="12" spans="1:12" ht="32.25" customHeight="1">
      <c r="A12" s="389"/>
      <c r="B12" s="851" t="s">
        <v>645</v>
      </c>
      <c r="C12" s="851"/>
      <c r="D12" s="851"/>
      <c r="E12" s="851"/>
      <c r="F12" s="851"/>
      <c r="G12" s="851"/>
      <c r="H12" s="851"/>
      <c r="I12" s="851"/>
      <c r="J12" s="851"/>
      <c r="K12" s="851"/>
      <c r="L12" s="389"/>
    </row>
    <row r="13" spans="1:12">
      <c r="A13" s="389"/>
      <c r="L13" s="389"/>
    </row>
    <row r="14" spans="1:12">
      <c r="A14" s="389"/>
      <c r="B14" s="393" t="s">
        <v>646</v>
      </c>
      <c r="L14" s="389"/>
    </row>
    <row r="15" spans="1:12">
      <c r="A15" s="389"/>
      <c r="L15" s="389"/>
    </row>
    <row r="16" spans="1:12">
      <c r="A16" s="389"/>
      <c r="B16" s="390" t="s">
        <v>647</v>
      </c>
      <c r="L16" s="389"/>
    </row>
    <row r="17" spans="1:12">
      <c r="A17" s="389"/>
      <c r="B17" s="390" t="s">
        <v>648</v>
      </c>
      <c r="L17" s="389"/>
    </row>
    <row r="18" spans="1:12">
      <c r="A18" s="389"/>
      <c r="L18" s="389"/>
    </row>
    <row r="19" spans="1:12">
      <c r="A19" s="389"/>
      <c r="B19" s="393" t="s">
        <v>649</v>
      </c>
      <c r="L19" s="389"/>
    </row>
    <row r="20" spans="1:12">
      <c r="A20" s="389"/>
      <c r="B20" s="393"/>
      <c r="L20" s="389"/>
    </row>
    <row r="21" spans="1:12">
      <c r="A21" s="389"/>
      <c r="B21" s="390" t="s">
        <v>650</v>
      </c>
      <c r="L21" s="389"/>
    </row>
    <row r="22" spans="1:12">
      <c r="A22" s="389"/>
      <c r="L22" s="389"/>
    </row>
    <row r="23" spans="1:12">
      <c r="A23" s="389"/>
      <c r="B23" s="390" t="s">
        <v>651</v>
      </c>
      <c r="E23" s="390" t="s">
        <v>652</v>
      </c>
      <c r="F23" s="847">
        <v>133685008</v>
      </c>
      <c r="G23" s="847"/>
      <c r="L23" s="389"/>
    </row>
    <row r="24" spans="1:12">
      <c r="A24" s="389"/>
      <c r="L24" s="389"/>
    </row>
    <row r="25" spans="1:12">
      <c r="A25" s="389"/>
      <c r="C25" s="857">
        <f>F23</f>
        <v>133685008</v>
      </c>
      <c r="D25" s="857"/>
      <c r="E25" s="390" t="s">
        <v>653</v>
      </c>
      <c r="F25" s="394">
        <v>1000</v>
      </c>
      <c r="G25" s="394" t="s">
        <v>652</v>
      </c>
      <c r="H25" s="395">
        <f>F23/F25</f>
        <v>133685.008</v>
      </c>
      <c r="L25" s="389"/>
    </row>
    <row r="26" spans="1:12" ht="15" thickBot="1">
      <c r="A26" s="389"/>
      <c r="L26" s="389"/>
    </row>
    <row r="27" spans="1:12">
      <c r="A27" s="389"/>
      <c r="B27" s="396" t="s">
        <v>646</v>
      </c>
      <c r="C27" s="397"/>
      <c r="D27" s="397"/>
      <c r="E27" s="397"/>
      <c r="F27" s="397"/>
      <c r="G27" s="397"/>
      <c r="H27" s="397"/>
      <c r="I27" s="397"/>
      <c r="J27" s="397"/>
      <c r="K27" s="398"/>
      <c r="L27" s="389"/>
    </row>
    <row r="28" spans="1:12">
      <c r="A28" s="389"/>
      <c r="B28" s="399">
        <f>F23</f>
        <v>133685008</v>
      </c>
      <c r="C28" s="400" t="s">
        <v>654</v>
      </c>
      <c r="D28" s="400"/>
      <c r="E28" s="400" t="s">
        <v>653</v>
      </c>
      <c r="F28" s="401">
        <v>1000</v>
      </c>
      <c r="G28" s="401" t="s">
        <v>652</v>
      </c>
      <c r="H28" s="402">
        <f>B28/F28</f>
        <v>133685.008</v>
      </c>
      <c r="I28" s="400" t="s">
        <v>655</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49" t="s">
        <v>642</v>
      </c>
      <c r="C30" s="849"/>
      <c r="D30" s="849"/>
      <c r="E30" s="849"/>
      <c r="F30" s="849"/>
      <c r="G30" s="849"/>
      <c r="H30" s="849"/>
      <c r="I30" s="849"/>
      <c r="J30" s="849"/>
      <c r="K30" s="849"/>
      <c r="L30" s="389"/>
    </row>
    <row r="31" spans="1:12">
      <c r="A31" s="389"/>
      <c r="B31" s="858" t="s">
        <v>656</v>
      </c>
      <c r="C31" s="858"/>
      <c r="D31" s="858"/>
      <c r="E31" s="858"/>
      <c r="F31" s="858"/>
      <c r="G31" s="858"/>
      <c r="H31" s="858"/>
      <c r="I31" s="858"/>
      <c r="J31" s="858"/>
      <c r="K31" s="858"/>
      <c r="L31" s="389"/>
    </row>
    <row r="32" spans="1:12">
      <c r="A32" s="389"/>
      <c r="L32" s="389"/>
    </row>
    <row r="33" spans="1:12">
      <c r="A33" s="389"/>
      <c r="B33" s="858" t="s">
        <v>657</v>
      </c>
      <c r="C33" s="858"/>
      <c r="D33" s="858"/>
      <c r="E33" s="858"/>
      <c r="F33" s="858"/>
      <c r="G33" s="858"/>
      <c r="H33" s="858"/>
      <c r="I33" s="858"/>
      <c r="J33" s="858"/>
      <c r="K33" s="858"/>
      <c r="L33" s="389"/>
    </row>
    <row r="34" spans="1:12">
      <c r="A34" s="389"/>
      <c r="L34" s="389"/>
    </row>
    <row r="35" spans="1:12" ht="89.25" customHeight="1">
      <c r="A35" s="389"/>
      <c r="B35" s="851" t="s">
        <v>658</v>
      </c>
      <c r="C35" s="846"/>
      <c r="D35" s="846"/>
      <c r="E35" s="846"/>
      <c r="F35" s="846"/>
      <c r="G35" s="846"/>
      <c r="H35" s="846"/>
      <c r="I35" s="846"/>
      <c r="J35" s="846"/>
      <c r="K35" s="846"/>
      <c r="L35" s="389"/>
    </row>
    <row r="36" spans="1:12">
      <c r="A36" s="389"/>
      <c r="L36" s="389"/>
    </row>
    <row r="37" spans="1:12">
      <c r="A37" s="389"/>
      <c r="B37" s="393" t="s">
        <v>659</v>
      </c>
      <c r="L37" s="389"/>
    </row>
    <row r="38" spans="1:12">
      <c r="A38" s="389"/>
      <c r="L38" s="389"/>
    </row>
    <row r="39" spans="1:12">
      <c r="A39" s="389"/>
      <c r="B39" s="390" t="s">
        <v>660</v>
      </c>
      <c r="L39" s="389"/>
    </row>
    <row r="40" spans="1:12">
      <c r="A40" s="389"/>
      <c r="L40" s="389"/>
    </row>
    <row r="41" spans="1:12">
      <c r="A41" s="389"/>
      <c r="C41" s="859">
        <v>3120000</v>
      </c>
      <c r="D41" s="859"/>
      <c r="E41" s="390" t="s">
        <v>653</v>
      </c>
      <c r="F41" s="394">
        <v>1000</v>
      </c>
      <c r="G41" s="394" t="s">
        <v>652</v>
      </c>
      <c r="H41" s="407">
        <f>C41/F41</f>
        <v>3120</v>
      </c>
      <c r="L41" s="389"/>
    </row>
    <row r="42" spans="1:12">
      <c r="A42" s="389"/>
      <c r="L42" s="389"/>
    </row>
    <row r="43" spans="1:12">
      <c r="A43" s="389"/>
      <c r="B43" s="390" t="s">
        <v>661</v>
      </c>
      <c r="L43" s="389"/>
    </row>
    <row r="44" spans="1:12">
      <c r="A44" s="389"/>
      <c r="L44" s="389"/>
    </row>
    <row r="45" spans="1:12">
      <c r="A45" s="389"/>
      <c r="B45" s="390" t="s">
        <v>662</v>
      </c>
      <c r="L45" s="389"/>
    </row>
    <row r="46" spans="1:12" ht="15" thickBot="1">
      <c r="A46" s="389"/>
      <c r="L46" s="389"/>
    </row>
    <row r="47" spans="1:12">
      <c r="A47" s="389"/>
      <c r="B47" s="408" t="s">
        <v>646</v>
      </c>
      <c r="C47" s="397"/>
      <c r="D47" s="397"/>
      <c r="E47" s="397"/>
      <c r="F47" s="397"/>
      <c r="G47" s="397"/>
      <c r="H47" s="397"/>
      <c r="I47" s="397"/>
      <c r="J47" s="397"/>
      <c r="K47" s="398"/>
      <c r="L47" s="389"/>
    </row>
    <row r="48" spans="1:12">
      <c r="A48" s="389"/>
      <c r="B48" s="847">
        <v>133685008</v>
      </c>
      <c r="C48" s="847"/>
      <c r="D48" s="400" t="s">
        <v>663</v>
      </c>
      <c r="E48" s="400" t="s">
        <v>653</v>
      </c>
      <c r="F48" s="401">
        <v>1000</v>
      </c>
      <c r="G48" s="401" t="s">
        <v>652</v>
      </c>
      <c r="H48" s="402">
        <f>B48/F48</f>
        <v>133685.008</v>
      </c>
      <c r="I48" s="400" t="s">
        <v>664</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665</v>
      </c>
      <c r="D50" s="400"/>
      <c r="E50" s="400" t="s">
        <v>653</v>
      </c>
      <c r="F50" s="402">
        <f>H48</f>
        <v>133685.008</v>
      </c>
      <c r="G50" s="860" t="s">
        <v>666</v>
      </c>
      <c r="H50" s="861"/>
      <c r="I50" s="401" t="s">
        <v>652</v>
      </c>
      <c r="J50" s="411">
        <f>B50/F50</f>
        <v>52.869002334203401</v>
      </c>
      <c r="K50" s="403"/>
      <c r="L50" s="389"/>
    </row>
    <row r="51" spans="1:24" ht="15" thickBot="1">
      <c r="A51" s="389"/>
      <c r="B51" s="404"/>
      <c r="C51" s="405"/>
      <c r="D51" s="405"/>
      <c r="E51" s="405"/>
      <c r="F51" s="405"/>
      <c r="G51" s="405"/>
      <c r="H51" s="405"/>
      <c r="I51" s="862" t="s">
        <v>667</v>
      </c>
      <c r="J51" s="862"/>
      <c r="K51" s="863"/>
      <c r="L51" s="389"/>
      <c r="O51" s="412"/>
    </row>
    <row r="52" spans="1:24" ht="40.5" customHeight="1">
      <c r="A52" s="389"/>
      <c r="B52" s="849" t="s">
        <v>642</v>
      </c>
      <c r="C52" s="849"/>
      <c r="D52" s="849"/>
      <c r="E52" s="849"/>
      <c r="F52" s="849"/>
      <c r="G52" s="849"/>
      <c r="H52" s="849"/>
      <c r="I52" s="849"/>
      <c r="J52" s="849"/>
      <c r="K52" s="849"/>
      <c r="L52" s="389"/>
    </row>
    <row r="53" spans="1:24">
      <c r="A53" s="389"/>
      <c r="B53" s="858" t="s">
        <v>668</v>
      </c>
      <c r="C53" s="858"/>
      <c r="D53" s="858"/>
      <c r="E53" s="858"/>
      <c r="F53" s="858"/>
      <c r="G53" s="858"/>
      <c r="H53" s="858"/>
      <c r="I53" s="858"/>
      <c r="J53" s="858"/>
      <c r="K53" s="858"/>
      <c r="L53" s="389"/>
    </row>
    <row r="54" spans="1:24">
      <c r="A54" s="389"/>
      <c r="B54" s="392"/>
      <c r="C54" s="392"/>
      <c r="D54" s="392"/>
      <c r="E54" s="392"/>
      <c r="F54" s="392"/>
      <c r="G54" s="392"/>
      <c r="H54" s="392"/>
      <c r="I54" s="392"/>
      <c r="J54" s="392"/>
      <c r="K54" s="392"/>
      <c r="L54" s="389"/>
    </row>
    <row r="55" spans="1:24">
      <c r="A55" s="389"/>
      <c r="B55" s="850" t="s">
        <v>669</v>
      </c>
      <c r="C55" s="850"/>
      <c r="D55" s="850"/>
      <c r="E55" s="850"/>
      <c r="F55" s="850"/>
      <c r="G55" s="850"/>
      <c r="H55" s="850"/>
      <c r="I55" s="850"/>
      <c r="J55" s="850"/>
      <c r="K55" s="850"/>
      <c r="L55" s="389"/>
    </row>
    <row r="56" spans="1:24" ht="15" customHeight="1">
      <c r="A56" s="389"/>
      <c r="L56" s="389"/>
    </row>
    <row r="57" spans="1:24" ht="74.25" customHeight="1">
      <c r="A57" s="389"/>
      <c r="B57" s="851" t="s">
        <v>670</v>
      </c>
      <c r="C57" s="846"/>
      <c r="D57" s="846"/>
      <c r="E57" s="846"/>
      <c r="F57" s="846"/>
      <c r="G57" s="846"/>
      <c r="H57" s="846"/>
      <c r="I57" s="846"/>
      <c r="J57" s="846"/>
      <c r="K57" s="846"/>
      <c r="L57" s="389"/>
      <c r="M57" s="413"/>
      <c r="N57" s="414"/>
      <c r="O57" s="414"/>
      <c r="P57" s="414"/>
      <c r="Q57" s="414"/>
      <c r="R57" s="414"/>
      <c r="S57" s="414"/>
      <c r="T57" s="414"/>
      <c r="U57" s="414"/>
      <c r="V57" s="414"/>
      <c r="W57" s="414"/>
      <c r="X57" s="414"/>
    </row>
    <row r="58" spans="1:24" ht="15" customHeight="1">
      <c r="A58" s="389"/>
      <c r="B58" s="851"/>
      <c r="C58" s="846"/>
      <c r="D58" s="846"/>
      <c r="E58" s="846"/>
      <c r="F58" s="846"/>
      <c r="G58" s="846"/>
      <c r="H58" s="846"/>
      <c r="I58" s="846"/>
      <c r="J58" s="846"/>
      <c r="K58" s="846"/>
      <c r="L58" s="389"/>
      <c r="M58" s="413"/>
      <c r="N58" s="414"/>
      <c r="O58" s="414"/>
      <c r="P58" s="414"/>
      <c r="Q58" s="414"/>
      <c r="R58" s="414"/>
      <c r="S58" s="414"/>
      <c r="T58" s="414"/>
      <c r="U58" s="414"/>
      <c r="V58" s="414"/>
      <c r="W58" s="414"/>
      <c r="X58" s="414"/>
    </row>
    <row r="59" spans="1:24">
      <c r="A59" s="389"/>
      <c r="B59" s="393" t="s">
        <v>659</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671</v>
      </c>
      <c r="L61" s="389"/>
      <c r="M61" s="414"/>
      <c r="N61" s="414"/>
      <c r="O61" s="414"/>
      <c r="P61" s="414"/>
      <c r="Q61" s="414"/>
      <c r="R61" s="414"/>
      <c r="S61" s="414"/>
      <c r="T61" s="414"/>
      <c r="U61" s="414"/>
      <c r="V61" s="414"/>
      <c r="W61" s="414"/>
      <c r="X61" s="414"/>
    </row>
    <row r="62" spans="1:24">
      <c r="A62" s="389"/>
      <c r="B62" s="390" t="s">
        <v>672</v>
      </c>
      <c r="L62" s="389"/>
      <c r="M62" s="414"/>
      <c r="N62" s="414"/>
      <c r="O62" s="414"/>
      <c r="P62" s="414"/>
      <c r="Q62" s="414"/>
      <c r="R62" s="414"/>
      <c r="S62" s="414"/>
      <c r="T62" s="414"/>
      <c r="U62" s="414"/>
      <c r="V62" s="414"/>
      <c r="W62" s="414"/>
      <c r="X62" s="414"/>
    </row>
    <row r="63" spans="1:24">
      <c r="A63" s="389"/>
      <c r="B63" s="390" t="s">
        <v>673</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674</v>
      </c>
      <c r="L65" s="389"/>
      <c r="M65" s="414"/>
      <c r="N65" s="414"/>
      <c r="O65" s="414"/>
      <c r="P65" s="414"/>
      <c r="Q65" s="414"/>
      <c r="R65" s="414"/>
      <c r="S65" s="414"/>
      <c r="T65" s="414"/>
      <c r="U65" s="414"/>
      <c r="V65" s="414"/>
      <c r="W65" s="414"/>
      <c r="X65" s="414"/>
    </row>
    <row r="66" spans="1:24">
      <c r="A66" s="389"/>
      <c r="B66" s="390" t="s">
        <v>675</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676</v>
      </c>
      <c r="L68" s="389"/>
      <c r="M68" s="415"/>
      <c r="N68" s="416"/>
      <c r="O68" s="416"/>
      <c r="P68" s="416"/>
      <c r="Q68" s="416"/>
      <c r="R68" s="416"/>
      <c r="S68" s="416"/>
      <c r="T68" s="416"/>
      <c r="U68" s="416"/>
      <c r="V68" s="416"/>
      <c r="W68" s="416"/>
      <c r="X68" s="414"/>
    </row>
    <row r="69" spans="1:24">
      <c r="A69" s="389"/>
      <c r="B69" s="390" t="s">
        <v>677</v>
      </c>
      <c r="L69" s="389"/>
      <c r="M69" s="414"/>
      <c r="N69" s="414"/>
      <c r="O69" s="414"/>
      <c r="P69" s="414"/>
      <c r="Q69" s="414"/>
      <c r="R69" s="414"/>
      <c r="S69" s="414"/>
      <c r="T69" s="414"/>
      <c r="U69" s="414"/>
      <c r="V69" s="414"/>
      <c r="W69" s="414"/>
      <c r="X69" s="414"/>
    </row>
    <row r="70" spans="1:24">
      <c r="A70" s="389"/>
      <c r="B70" s="390" t="s">
        <v>678</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646</v>
      </c>
      <c r="C72" s="397"/>
      <c r="D72" s="397"/>
      <c r="E72" s="397"/>
      <c r="F72" s="397"/>
      <c r="G72" s="397"/>
      <c r="H72" s="397"/>
      <c r="I72" s="397"/>
      <c r="J72" s="397"/>
      <c r="K72" s="398"/>
      <c r="L72" s="417"/>
    </row>
    <row r="73" spans="1:24">
      <c r="A73" s="389"/>
      <c r="B73" s="409"/>
      <c r="C73" s="400" t="s">
        <v>654</v>
      </c>
      <c r="D73" s="400"/>
      <c r="E73" s="400"/>
      <c r="F73" s="400"/>
      <c r="G73" s="400"/>
      <c r="H73" s="400"/>
      <c r="I73" s="400"/>
      <c r="J73" s="400"/>
      <c r="K73" s="403"/>
      <c r="L73" s="417"/>
    </row>
    <row r="74" spans="1:24">
      <c r="A74" s="389"/>
      <c r="B74" s="409" t="s">
        <v>679</v>
      </c>
      <c r="C74" s="847">
        <v>133685008</v>
      </c>
      <c r="D74" s="847"/>
      <c r="E74" s="401" t="s">
        <v>653</v>
      </c>
      <c r="F74" s="401">
        <v>1000</v>
      </c>
      <c r="G74" s="401" t="s">
        <v>652</v>
      </c>
      <c r="H74" s="418">
        <f>C74/F74</f>
        <v>133685.008</v>
      </c>
      <c r="I74" s="400" t="s">
        <v>680</v>
      </c>
      <c r="J74" s="400"/>
      <c r="K74" s="403"/>
      <c r="L74" s="417"/>
    </row>
    <row r="75" spans="1:24">
      <c r="A75" s="389"/>
      <c r="B75" s="409"/>
      <c r="C75" s="400"/>
      <c r="D75" s="400"/>
      <c r="E75" s="401"/>
      <c r="F75" s="400"/>
      <c r="G75" s="400"/>
      <c r="H75" s="400"/>
      <c r="I75" s="400"/>
      <c r="J75" s="400"/>
      <c r="K75" s="403"/>
      <c r="L75" s="417"/>
    </row>
    <row r="76" spans="1:24">
      <c r="A76" s="389"/>
      <c r="B76" s="409"/>
      <c r="C76" s="400" t="s">
        <v>681</v>
      </c>
      <c r="D76" s="400"/>
      <c r="E76" s="401"/>
      <c r="F76" s="400" t="s">
        <v>680</v>
      </c>
      <c r="G76" s="400"/>
      <c r="H76" s="400"/>
      <c r="I76" s="400"/>
      <c r="J76" s="400"/>
      <c r="K76" s="403"/>
      <c r="L76" s="417"/>
    </row>
    <row r="77" spans="1:24">
      <c r="A77" s="389"/>
      <c r="B77" s="409" t="s">
        <v>682</v>
      </c>
      <c r="C77" s="847">
        <v>5000</v>
      </c>
      <c r="D77" s="847"/>
      <c r="E77" s="401" t="s">
        <v>653</v>
      </c>
      <c r="F77" s="418">
        <f>H74</f>
        <v>133685.008</v>
      </c>
      <c r="G77" s="401" t="s">
        <v>652</v>
      </c>
      <c r="H77" s="411">
        <f>C77/F77</f>
        <v>3.740135169083432E-2</v>
      </c>
      <c r="I77" s="400" t="s">
        <v>683</v>
      </c>
      <c r="J77" s="400"/>
      <c r="K77" s="403"/>
      <c r="L77" s="417"/>
    </row>
    <row r="78" spans="1:24">
      <c r="A78" s="389"/>
      <c r="B78" s="409"/>
      <c r="C78" s="400"/>
      <c r="D78" s="400"/>
      <c r="E78" s="401"/>
      <c r="F78" s="400"/>
      <c r="G78" s="400"/>
      <c r="H78" s="400"/>
      <c r="I78" s="400"/>
      <c r="J78" s="400"/>
      <c r="K78" s="403"/>
      <c r="L78" s="417"/>
    </row>
    <row r="79" spans="1:24">
      <c r="A79" s="389"/>
      <c r="B79" s="419"/>
      <c r="C79" s="420" t="s">
        <v>684</v>
      </c>
      <c r="D79" s="420"/>
      <c r="E79" s="421"/>
      <c r="F79" s="420"/>
      <c r="G79" s="420"/>
      <c r="H79" s="420"/>
      <c r="I79" s="420"/>
      <c r="J79" s="420"/>
      <c r="K79" s="422"/>
      <c r="L79" s="417"/>
    </row>
    <row r="80" spans="1:24">
      <c r="A80" s="389"/>
      <c r="B80" s="409" t="s">
        <v>685</v>
      </c>
      <c r="C80" s="847">
        <v>100000</v>
      </c>
      <c r="D80" s="847"/>
      <c r="E80" s="401" t="s">
        <v>245</v>
      </c>
      <c r="F80" s="401">
        <v>0.115</v>
      </c>
      <c r="G80" s="401" t="s">
        <v>652</v>
      </c>
      <c r="H80" s="418">
        <f>C80*F80</f>
        <v>11500</v>
      </c>
      <c r="I80" s="400" t="s">
        <v>686</v>
      </c>
      <c r="J80" s="400"/>
      <c r="K80" s="403"/>
      <c r="L80" s="417"/>
    </row>
    <row r="81" spans="1:12">
      <c r="A81" s="389"/>
      <c r="B81" s="409"/>
      <c r="C81" s="400"/>
      <c r="D81" s="400"/>
      <c r="E81" s="401"/>
      <c r="F81" s="400"/>
      <c r="G81" s="400"/>
      <c r="H81" s="400"/>
      <c r="I81" s="400"/>
      <c r="J81" s="400"/>
      <c r="K81" s="403"/>
      <c r="L81" s="417"/>
    </row>
    <row r="82" spans="1:12">
      <c r="A82" s="389"/>
      <c r="B82" s="419"/>
      <c r="C82" s="420" t="s">
        <v>687</v>
      </c>
      <c r="D82" s="420"/>
      <c r="E82" s="421"/>
      <c r="F82" s="420" t="s">
        <v>683</v>
      </c>
      <c r="G82" s="420"/>
      <c r="H82" s="420"/>
      <c r="I82" s="420"/>
      <c r="J82" s="420" t="s">
        <v>688</v>
      </c>
      <c r="K82" s="422"/>
      <c r="L82" s="417"/>
    </row>
    <row r="83" spans="1:12">
      <c r="A83" s="389"/>
      <c r="B83" s="409" t="s">
        <v>689</v>
      </c>
      <c r="C83" s="848">
        <f>H80</f>
        <v>11500</v>
      </c>
      <c r="D83" s="848"/>
      <c r="E83" s="401" t="s">
        <v>245</v>
      </c>
      <c r="F83" s="411">
        <f>H77</f>
        <v>3.740135169083432E-2</v>
      </c>
      <c r="G83" s="401" t="s">
        <v>653</v>
      </c>
      <c r="H83" s="401">
        <v>1000</v>
      </c>
      <c r="I83" s="401" t="s">
        <v>652</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49" t="s">
        <v>642</v>
      </c>
      <c r="C85" s="849"/>
      <c r="D85" s="849"/>
      <c r="E85" s="849"/>
      <c r="F85" s="849"/>
      <c r="G85" s="849"/>
      <c r="H85" s="849"/>
      <c r="I85" s="849"/>
      <c r="J85" s="849"/>
      <c r="K85" s="849"/>
      <c r="L85" s="389"/>
    </row>
    <row r="86" spans="1:12">
      <c r="A86" s="389"/>
      <c r="B86" s="850" t="s">
        <v>690</v>
      </c>
      <c r="C86" s="850"/>
      <c r="D86" s="850"/>
      <c r="E86" s="850"/>
      <c r="F86" s="850"/>
      <c r="G86" s="850"/>
      <c r="H86" s="850"/>
      <c r="I86" s="850"/>
      <c r="J86" s="850"/>
      <c r="K86" s="850"/>
      <c r="L86" s="389"/>
    </row>
    <row r="87" spans="1:12">
      <c r="A87" s="389"/>
      <c r="B87" s="428"/>
      <c r="C87" s="428"/>
      <c r="D87" s="428"/>
      <c r="E87" s="428"/>
      <c r="F87" s="428"/>
      <c r="G87" s="428"/>
      <c r="H87" s="428"/>
      <c r="I87" s="428"/>
      <c r="J87" s="428"/>
      <c r="K87" s="428"/>
      <c r="L87" s="389"/>
    </row>
    <row r="88" spans="1:12">
      <c r="A88" s="389"/>
      <c r="B88" s="850" t="s">
        <v>691</v>
      </c>
      <c r="C88" s="850"/>
      <c r="D88" s="850"/>
      <c r="E88" s="850"/>
      <c r="F88" s="850"/>
      <c r="G88" s="850"/>
      <c r="H88" s="850"/>
      <c r="I88" s="850"/>
      <c r="J88" s="850"/>
      <c r="K88" s="850"/>
      <c r="L88" s="389"/>
    </row>
    <row r="89" spans="1:12">
      <c r="A89" s="389"/>
      <c r="B89" s="429"/>
      <c r="C89" s="429"/>
      <c r="D89" s="429"/>
      <c r="E89" s="429"/>
      <c r="F89" s="429"/>
      <c r="G89" s="429"/>
      <c r="H89" s="429"/>
      <c r="I89" s="429"/>
      <c r="J89" s="429"/>
      <c r="K89" s="429"/>
      <c r="L89" s="389"/>
    </row>
    <row r="90" spans="1:12" ht="45" customHeight="1">
      <c r="A90" s="389"/>
      <c r="B90" s="851" t="s">
        <v>692</v>
      </c>
      <c r="C90" s="851"/>
      <c r="D90" s="851"/>
      <c r="E90" s="851"/>
      <c r="F90" s="851"/>
      <c r="G90" s="851"/>
      <c r="H90" s="851"/>
      <c r="I90" s="851"/>
      <c r="J90" s="851"/>
      <c r="K90" s="851"/>
      <c r="L90" s="389"/>
    </row>
    <row r="91" spans="1:12" ht="15" customHeight="1" thickBot="1">
      <c r="A91" s="389"/>
      <c r="L91" s="389"/>
    </row>
    <row r="92" spans="1:12" ht="15" customHeight="1">
      <c r="A92" s="389"/>
      <c r="B92" s="430" t="s">
        <v>646</v>
      </c>
      <c r="C92" s="431"/>
      <c r="D92" s="431"/>
      <c r="E92" s="431"/>
      <c r="F92" s="431"/>
      <c r="G92" s="431"/>
      <c r="H92" s="431"/>
      <c r="I92" s="431"/>
      <c r="J92" s="431"/>
      <c r="K92" s="432"/>
      <c r="L92" s="389"/>
    </row>
    <row r="93" spans="1:12" ht="15" customHeight="1">
      <c r="A93" s="389"/>
      <c r="B93" s="433"/>
      <c r="C93" s="434" t="s">
        <v>654</v>
      </c>
      <c r="D93" s="434"/>
      <c r="E93" s="434"/>
      <c r="F93" s="434"/>
      <c r="G93" s="434"/>
      <c r="H93" s="434"/>
      <c r="I93" s="434"/>
      <c r="J93" s="434"/>
      <c r="K93" s="435"/>
      <c r="L93" s="389"/>
    </row>
    <row r="94" spans="1:12" ht="15" customHeight="1">
      <c r="A94" s="389"/>
      <c r="B94" s="433" t="s">
        <v>679</v>
      </c>
      <c r="C94" s="847">
        <v>133685008</v>
      </c>
      <c r="D94" s="847"/>
      <c r="E94" s="401" t="s">
        <v>653</v>
      </c>
      <c r="F94" s="401">
        <v>1000</v>
      </c>
      <c r="G94" s="401" t="s">
        <v>652</v>
      </c>
      <c r="H94" s="418">
        <f>C94/F94</f>
        <v>133685.008</v>
      </c>
      <c r="I94" s="434" t="s">
        <v>680</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681</v>
      </c>
      <c r="D96" s="434"/>
      <c r="E96" s="401"/>
      <c r="F96" s="434" t="s">
        <v>680</v>
      </c>
      <c r="G96" s="434"/>
      <c r="H96" s="434"/>
      <c r="I96" s="434"/>
      <c r="J96" s="434"/>
      <c r="K96" s="435"/>
      <c r="L96" s="389"/>
    </row>
    <row r="97" spans="1:12" ht="15" customHeight="1">
      <c r="A97" s="389"/>
      <c r="B97" s="433" t="s">
        <v>682</v>
      </c>
      <c r="C97" s="847">
        <v>50000</v>
      </c>
      <c r="D97" s="847"/>
      <c r="E97" s="401" t="s">
        <v>653</v>
      </c>
      <c r="F97" s="418">
        <f>H94</f>
        <v>133685.008</v>
      </c>
      <c r="G97" s="401" t="s">
        <v>652</v>
      </c>
      <c r="H97" s="411">
        <f>C97/F97</f>
        <v>0.37401351690834322</v>
      </c>
      <c r="I97" s="434" t="s">
        <v>683</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693</v>
      </c>
      <c r="D99" s="437"/>
      <c r="E99" s="421"/>
      <c r="F99" s="437"/>
      <c r="G99" s="437"/>
      <c r="H99" s="437"/>
      <c r="I99" s="437"/>
      <c r="J99" s="437"/>
      <c r="K99" s="438"/>
      <c r="L99" s="389"/>
    </row>
    <row r="100" spans="1:12" ht="15" customHeight="1">
      <c r="A100" s="389"/>
      <c r="B100" s="433" t="s">
        <v>685</v>
      </c>
      <c r="C100" s="847">
        <v>2500000</v>
      </c>
      <c r="D100" s="847"/>
      <c r="E100" s="401" t="s">
        <v>245</v>
      </c>
      <c r="F100" s="439">
        <v>0.3</v>
      </c>
      <c r="G100" s="401" t="s">
        <v>652</v>
      </c>
      <c r="H100" s="418">
        <f>C100*F100</f>
        <v>750000</v>
      </c>
      <c r="I100" s="434" t="s">
        <v>686</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687</v>
      </c>
      <c r="D102" s="437"/>
      <c r="E102" s="421"/>
      <c r="F102" s="437" t="s">
        <v>683</v>
      </c>
      <c r="G102" s="437"/>
      <c r="H102" s="437"/>
      <c r="I102" s="437"/>
      <c r="J102" s="437" t="s">
        <v>688</v>
      </c>
      <c r="K102" s="438"/>
      <c r="L102" s="389"/>
    </row>
    <row r="103" spans="1:12" ht="15" customHeight="1">
      <c r="A103" s="389"/>
      <c r="B103" s="433" t="s">
        <v>689</v>
      </c>
      <c r="C103" s="848">
        <f>H100</f>
        <v>750000</v>
      </c>
      <c r="D103" s="848"/>
      <c r="E103" s="401" t="s">
        <v>245</v>
      </c>
      <c r="F103" s="411">
        <f>H97</f>
        <v>0.37401351690834322</v>
      </c>
      <c r="G103" s="401" t="s">
        <v>653</v>
      </c>
      <c r="H103" s="401">
        <v>1000</v>
      </c>
      <c r="I103" s="401" t="s">
        <v>652</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49" t="s">
        <v>642</v>
      </c>
      <c r="C105" s="853"/>
      <c r="D105" s="853"/>
      <c r="E105" s="853"/>
      <c r="F105" s="853"/>
      <c r="G105" s="853"/>
      <c r="H105" s="853"/>
      <c r="I105" s="853"/>
      <c r="J105" s="853"/>
      <c r="K105" s="853"/>
      <c r="L105" s="389"/>
    </row>
    <row r="106" spans="1:12" ht="15" customHeight="1">
      <c r="A106" s="389"/>
      <c r="B106" s="854" t="s">
        <v>694</v>
      </c>
      <c r="C106" s="855"/>
      <c r="D106" s="855"/>
      <c r="E106" s="855"/>
      <c r="F106" s="855"/>
      <c r="G106" s="855"/>
      <c r="H106" s="855"/>
      <c r="I106" s="855"/>
      <c r="J106" s="855"/>
      <c r="K106" s="855"/>
      <c r="L106" s="389"/>
    </row>
    <row r="107" spans="1:12" ht="15" customHeight="1">
      <c r="A107" s="389"/>
      <c r="B107" s="434"/>
      <c r="C107" s="442"/>
      <c r="D107" s="442"/>
      <c r="E107" s="401"/>
      <c r="F107" s="411"/>
      <c r="G107" s="401"/>
      <c r="H107" s="401"/>
      <c r="I107" s="401"/>
      <c r="J107" s="423"/>
      <c r="K107" s="434"/>
      <c r="L107" s="389"/>
    </row>
    <row r="108" spans="1:12" ht="15" customHeight="1">
      <c r="A108" s="389"/>
      <c r="B108" s="854" t="s">
        <v>695</v>
      </c>
      <c r="C108" s="856"/>
      <c r="D108" s="856"/>
      <c r="E108" s="856"/>
      <c r="F108" s="856"/>
      <c r="G108" s="856"/>
      <c r="H108" s="856"/>
      <c r="I108" s="856"/>
      <c r="J108" s="856"/>
      <c r="K108" s="856"/>
      <c r="L108" s="389"/>
    </row>
    <row r="109" spans="1:12" ht="15" customHeight="1">
      <c r="A109" s="389"/>
      <c r="B109" s="434"/>
      <c r="C109" s="442"/>
      <c r="D109" s="442"/>
      <c r="E109" s="401"/>
      <c r="F109" s="411"/>
      <c r="G109" s="401"/>
      <c r="H109" s="401"/>
      <c r="I109" s="401"/>
      <c r="J109" s="423"/>
      <c r="K109" s="434"/>
      <c r="L109" s="389"/>
    </row>
    <row r="110" spans="1:12" ht="59.25" customHeight="1">
      <c r="A110" s="389"/>
      <c r="B110" s="845" t="s">
        <v>696</v>
      </c>
      <c r="C110" s="846"/>
      <c r="D110" s="846"/>
      <c r="E110" s="846"/>
      <c r="F110" s="846"/>
      <c r="G110" s="846"/>
      <c r="H110" s="846"/>
      <c r="I110" s="846"/>
      <c r="J110" s="846"/>
      <c r="K110" s="846"/>
      <c r="L110" s="389"/>
    </row>
    <row r="111" spans="1:12" ht="15" thickBot="1">
      <c r="A111" s="389"/>
      <c r="B111" s="392"/>
      <c r="C111" s="392"/>
      <c r="D111" s="392"/>
      <c r="E111" s="392"/>
      <c r="F111" s="392"/>
      <c r="G111" s="392"/>
      <c r="H111" s="392"/>
      <c r="I111" s="392"/>
      <c r="J111" s="392"/>
      <c r="K111" s="392"/>
      <c r="L111" s="443"/>
    </row>
    <row r="112" spans="1:12">
      <c r="A112" s="389"/>
      <c r="B112" s="396" t="s">
        <v>646</v>
      </c>
      <c r="C112" s="397"/>
      <c r="D112" s="397"/>
      <c r="E112" s="397"/>
      <c r="F112" s="397"/>
      <c r="G112" s="397"/>
      <c r="H112" s="397"/>
      <c r="I112" s="397"/>
      <c r="J112" s="397"/>
      <c r="K112" s="398"/>
      <c r="L112" s="389"/>
    </row>
    <row r="113" spans="1:12">
      <c r="A113" s="389"/>
      <c r="B113" s="409"/>
      <c r="C113" s="400" t="s">
        <v>654</v>
      </c>
      <c r="D113" s="400"/>
      <c r="E113" s="400"/>
      <c r="F113" s="400"/>
      <c r="G113" s="400"/>
      <c r="H113" s="400"/>
      <c r="I113" s="400"/>
      <c r="J113" s="400"/>
      <c r="K113" s="403"/>
      <c r="L113" s="389"/>
    </row>
    <row r="114" spans="1:12">
      <c r="A114" s="389"/>
      <c r="B114" s="409" t="s">
        <v>679</v>
      </c>
      <c r="C114" s="847">
        <v>133685008</v>
      </c>
      <c r="D114" s="847"/>
      <c r="E114" s="401" t="s">
        <v>653</v>
      </c>
      <c r="F114" s="401">
        <v>1000</v>
      </c>
      <c r="G114" s="401" t="s">
        <v>652</v>
      </c>
      <c r="H114" s="418">
        <f>C114/F114</f>
        <v>133685.008</v>
      </c>
      <c r="I114" s="400" t="s">
        <v>680</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681</v>
      </c>
      <c r="D116" s="400"/>
      <c r="E116" s="401"/>
      <c r="F116" s="400" t="s">
        <v>680</v>
      </c>
      <c r="G116" s="400"/>
      <c r="H116" s="400"/>
      <c r="I116" s="400"/>
      <c r="J116" s="400"/>
      <c r="K116" s="403"/>
      <c r="L116" s="389"/>
    </row>
    <row r="117" spans="1:12">
      <c r="A117" s="389"/>
      <c r="B117" s="409" t="s">
        <v>682</v>
      </c>
      <c r="C117" s="847">
        <v>50000</v>
      </c>
      <c r="D117" s="847"/>
      <c r="E117" s="401" t="s">
        <v>653</v>
      </c>
      <c r="F117" s="418">
        <f>H114</f>
        <v>133685.008</v>
      </c>
      <c r="G117" s="401" t="s">
        <v>652</v>
      </c>
      <c r="H117" s="411">
        <f>C117/F117</f>
        <v>0.37401351690834322</v>
      </c>
      <c r="I117" s="400" t="s">
        <v>683</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693</v>
      </c>
      <c r="D119" s="420"/>
      <c r="E119" s="421"/>
      <c r="F119" s="420"/>
      <c r="G119" s="420"/>
      <c r="H119" s="420"/>
      <c r="I119" s="420"/>
      <c r="J119" s="420"/>
      <c r="K119" s="422"/>
      <c r="L119" s="389"/>
    </row>
    <row r="120" spans="1:12">
      <c r="A120" s="389"/>
      <c r="B120" s="409" t="s">
        <v>685</v>
      </c>
      <c r="C120" s="847">
        <v>2500000</v>
      </c>
      <c r="D120" s="847"/>
      <c r="E120" s="401" t="s">
        <v>245</v>
      </c>
      <c r="F120" s="439">
        <v>0.25</v>
      </c>
      <c r="G120" s="401" t="s">
        <v>652</v>
      </c>
      <c r="H120" s="418">
        <f>C120*F120</f>
        <v>625000</v>
      </c>
      <c r="I120" s="400" t="s">
        <v>686</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687</v>
      </c>
      <c r="D122" s="420"/>
      <c r="E122" s="421"/>
      <c r="F122" s="420" t="s">
        <v>683</v>
      </c>
      <c r="G122" s="420"/>
      <c r="H122" s="420"/>
      <c r="I122" s="420"/>
      <c r="J122" s="420" t="s">
        <v>688</v>
      </c>
      <c r="K122" s="422"/>
      <c r="L122" s="389"/>
    </row>
    <row r="123" spans="1:12">
      <c r="A123" s="389"/>
      <c r="B123" s="409" t="s">
        <v>689</v>
      </c>
      <c r="C123" s="848">
        <f>H120</f>
        <v>625000</v>
      </c>
      <c r="D123" s="848"/>
      <c r="E123" s="401" t="s">
        <v>245</v>
      </c>
      <c r="F123" s="411">
        <f>H117</f>
        <v>0.37401351690834322</v>
      </c>
      <c r="G123" s="401" t="s">
        <v>653</v>
      </c>
      <c r="H123" s="401">
        <v>1000</v>
      </c>
      <c r="I123" s="401" t="s">
        <v>652</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49" t="s">
        <v>642</v>
      </c>
      <c r="C125" s="849"/>
      <c r="D125" s="849"/>
      <c r="E125" s="849"/>
      <c r="F125" s="849"/>
      <c r="G125" s="849"/>
      <c r="H125" s="849"/>
      <c r="I125" s="849"/>
      <c r="J125" s="849"/>
      <c r="K125" s="849"/>
      <c r="L125" s="443"/>
    </row>
    <row r="126" spans="1:12">
      <c r="A126" s="389"/>
      <c r="B126" s="850" t="s">
        <v>697</v>
      </c>
      <c r="C126" s="850"/>
      <c r="D126" s="850"/>
      <c r="E126" s="850"/>
      <c r="F126" s="850"/>
      <c r="G126" s="850"/>
      <c r="H126" s="850"/>
      <c r="I126" s="850"/>
      <c r="J126" s="850"/>
      <c r="K126" s="850"/>
      <c r="L126" s="443"/>
    </row>
    <row r="127" spans="1:12">
      <c r="A127" s="389"/>
      <c r="B127" s="392"/>
      <c r="C127" s="392"/>
      <c r="D127" s="392"/>
      <c r="E127" s="392"/>
      <c r="F127" s="392"/>
      <c r="G127" s="392"/>
      <c r="H127" s="392"/>
      <c r="I127" s="392"/>
      <c r="J127" s="392"/>
      <c r="K127" s="392"/>
      <c r="L127" s="443"/>
    </row>
    <row r="128" spans="1:12">
      <c r="A128" s="389"/>
      <c r="B128" s="850" t="s">
        <v>698</v>
      </c>
      <c r="C128" s="850"/>
      <c r="D128" s="850"/>
      <c r="E128" s="850"/>
      <c r="F128" s="850"/>
      <c r="G128" s="850"/>
      <c r="H128" s="850"/>
      <c r="I128" s="850"/>
      <c r="J128" s="850"/>
      <c r="K128" s="850"/>
      <c r="L128" s="443"/>
    </row>
    <row r="129" spans="1:12">
      <c r="A129" s="389"/>
      <c r="B129" s="429"/>
      <c r="C129" s="429"/>
      <c r="D129" s="429"/>
      <c r="E129" s="429"/>
      <c r="F129" s="429"/>
      <c r="G129" s="429"/>
      <c r="H129" s="429"/>
      <c r="I129" s="429"/>
      <c r="J129" s="429"/>
      <c r="K129" s="429"/>
      <c r="L129" s="443"/>
    </row>
    <row r="130" spans="1:12" ht="74.25" customHeight="1">
      <c r="A130" s="389"/>
      <c r="B130" s="851" t="s">
        <v>699</v>
      </c>
      <c r="C130" s="851"/>
      <c r="D130" s="851"/>
      <c r="E130" s="851"/>
      <c r="F130" s="851"/>
      <c r="G130" s="851"/>
      <c r="H130" s="851"/>
      <c r="I130" s="851"/>
      <c r="J130" s="851"/>
      <c r="K130" s="851"/>
      <c r="L130" s="443"/>
    </row>
    <row r="131" spans="1:12" ht="15" thickBot="1">
      <c r="A131" s="389"/>
      <c r="L131" s="389"/>
    </row>
    <row r="132" spans="1:12">
      <c r="A132" s="389"/>
      <c r="B132" s="396" t="s">
        <v>646</v>
      </c>
      <c r="C132" s="397"/>
      <c r="D132" s="397"/>
      <c r="E132" s="397"/>
      <c r="F132" s="397"/>
      <c r="G132" s="397"/>
      <c r="H132" s="397"/>
      <c r="I132" s="397"/>
      <c r="J132" s="397"/>
      <c r="K132" s="398"/>
      <c r="L132" s="389"/>
    </row>
    <row r="133" spans="1:12">
      <c r="A133" s="389"/>
      <c r="B133" s="409"/>
      <c r="C133" s="852" t="s">
        <v>700</v>
      </c>
      <c r="D133" s="852"/>
      <c r="E133" s="400"/>
      <c r="F133" s="401" t="s">
        <v>701</v>
      </c>
      <c r="G133" s="400"/>
      <c r="H133" s="852" t="s">
        <v>686</v>
      </c>
      <c r="I133" s="852"/>
      <c r="J133" s="400"/>
      <c r="K133" s="403"/>
      <c r="L133" s="389"/>
    </row>
    <row r="134" spans="1:12">
      <c r="A134" s="389"/>
      <c r="B134" s="409" t="s">
        <v>679</v>
      </c>
      <c r="C134" s="847">
        <v>100000</v>
      </c>
      <c r="D134" s="847"/>
      <c r="E134" s="401" t="s">
        <v>245</v>
      </c>
      <c r="F134" s="401">
        <v>0.115</v>
      </c>
      <c r="G134" s="401" t="s">
        <v>652</v>
      </c>
      <c r="H134" s="839">
        <f>C134*F134</f>
        <v>11500</v>
      </c>
      <c r="I134" s="839"/>
      <c r="J134" s="400"/>
      <c r="K134" s="403"/>
      <c r="L134" s="389"/>
    </row>
    <row r="135" spans="1:12">
      <c r="A135" s="389"/>
      <c r="B135" s="409"/>
      <c r="C135" s="400"/>
      <c r="D135" s="400"/>
      <c r="E135" s="400"/>
      <c r="F135" s="400"/>
      <c r="G135" s="400"/>
      <c r="H135" s="400"/>
      <c r="I135" s="400"/>
      <c r="J135" s="400"/>
      <c r="K135" s="403"/>
      <c r="L135" s="389"/>
    </row>
    <row r="136" spans="1:12">
      <c r="A136" s="389"/>
      <c r="B136" s="419"/>
      <c r="C136" s="844" t="s">
        <v>686</v>
      </c>
      <c r="D136" s="844"/>
      <c r="E136" s="420"/>
      <c r="F136" s="421" t="s">
        <v>702</v>
      </c>
      <c r="G136" s="421"/>
      <c r="H136" s="420"/>
      <c r="I136" s="420"/>
      <c r="J136" s="420" t="s">
        <v>703</v>
      </c>
      <c r="K136" s="422"/>
      <c r="L136" s="389"/>
    </row>
    <row r="137" spans="1:12">
      <c r="A137" s="389"/>
      <c r="B137" s="409" t="s">
        <v>682</v>
      </c>
      <c r="C137" s="839">
        <f>H134</f>
        <v>11500</v>
      </c>
      <c r="D137" s="839"/>
      <c r="E137" s="401" t="s">
        <v>245</v>
      </c>
      <c r="F137" s="444">
        <v>52.869</v>
      </c>
      <c r="G137" s="401" t="s">
        <v>653</v>
      </c>
      <c r="H137" s="401">
        <v>1000</v>
      </c>
      <c r="I137" s="401" t="s">
        <v>652</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642</v>
      </c>
      <c r="C139" s="450"/>
      <c r="D139" s="450"/>
      <c r="E139" s="451"/>
      <c r="F139" s="452"/>
      <c r="G139" s="451"/>
      <c r="H139" s="451"/>
      <c r="I139" s="451"/>
      <c r="J139" s="453"/>
      <c r="K139" s="454"/>
      <c r="L139" s="389"/>
    </row>
    <row r="140" spans="1:12">
      <c r="A140" s="389"/>
      <c r="B140" s="455" t="s">
        <v>704</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705</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36" t="s">
        <v>706</v>
      </c>
      <c r="C144" s="837"/>
      <c r="D144" s="837"/>
      <c r="E144" s="837"/>
      <c r="F144" s="837"/>
      <c r="G144" s="837"/>
      <c r="H144" s="837"/>
      <c r="I144" s="837"/>
      <c r="J144" s="837"/>
      <c r="K144" s="838"/>
      <c r="L144" s="389"/>
    </row>
    <row r="145" spans="1:12" ht="15" thickBot="1">
      <c r="A145" s="389"/>
      <c r="B145" s="409"/>
      <c r="C145" s="418"/>
      <c r="D145" s="418"/>
      <c r="E145" s="401"/>
      <c r="F145" s="461"/>
      <c r="G145" s="401"/>
      <c r="H145" s="401"/>
      <c r="I145" s="401"/>
      <c r="J145" s="445"/>
      <c r="K145" s="403"/>
      <c r="L145" s="389"/>
    </row>
    <row r="146" spans="1:12">
      <c r="A146" s="389"/>
      <c r="B146" s="396" t="s">
        <v>646</v>
      </c>
      <c r="C146" s="462"/>
      <c r="D146" s="462"/>
      <c r="E146" s="463"/>
      <c r="F146" s="464"/>
      <c r="G146" s="463"/>
      <c r="H146" s="463"/>
      <c r="I146" s="463"/>
      <c r="J146" s="465"/>
      <c r="K146" s="398"/>
      <c r="L146" s="389"/>
    </row>
    <row r="147" spans="1:12">
      <c r="A147" s="389"/>
      <c r="B147" s="409"/>
      <c r="C147" s="839" t="s">
        <v>707</v>
      </c>
      <c r="D147" s="839"/>
      <c r="E147" s="401"/>
      <c r="F147" s="461" t="s">
        <v>708</v>
      </c>
      <c r="G147" s="401"/>
      <c r="H147" s="401"/>
      <c r="I147" s="401"/>
      <c r="J147" s="840" t="s">
        <v>709</v>
      </c>
      <c r="K147" s="841"/>
      <c r="L147" s="389"/>
    </row>
    <row r="148" spans="1:12">
      <c r="A148" s="389"/>
      <c r="B148" s="409"/>
      <c r="C148" s="842">
        <v>52.869</v>
      </c>
      <c r="D148" s="842"/>
      <c r="E148" s="401" t="s">
        <v>245</v>
      </c>
      <c r="F148" s="466">
        <v>133685008</v>
      </c>
      <c r="G148" s="467" t="s">
        <v>653</v>
      </c>
      <c r="H148" s="401">
        <v>1000</v>
      </c>
      <c r="I148" s="401" t="s">
        <v>652</v>
      </c>
      <c r="J148" s="839">
        <f>C148*(F148/1000)</f>
        <v>7067792.6879519997</v>
      </c>
      <c r="K148" s="843"/>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620</v>
      </c>
    </row>
    <row r="3" spans="1:1" ht="31.5">
      <c r="A3" s="481" t="s">
        <v>621</v>
      </c>
    </row>
    <row r="4" spans="1:1">
      <c r="A4" s="482" t="s">
        <v>622</v>
      </c>
    </row>
    <row r="7" spans="1:1" ht="31.5">
      <c r="A7" s="481" t="s">
        <v>623</v>
      </c>
    </row>
    <row r="8" spans="1:1">
      <c r="A8" s="482" t="s">
        <v>624</v>
      </c>
    </row>
    <row r="11" spans="1:1">
      <c r="A11" s="480" t="s">
        <v>625</v>
      </c>
    </row>
    <row r="12" spans="1:1">
      <c r="A12" s="482" t="s">
        <v>626</v>
      </c>
    </row>
    <row r="15" spans="1:1">
      <c r="A15" s="480" t="s">
        <v>627</v>
      </c>
    </row>
    <row r="16" spans="1:1">
      <c r="A16" s="482" t="s">
        <v>628</v>
      </c>
    </row>
    <row r="19" spans="1:1">
      <c r="A19" s="480" t="s">
        <v>629</v>
      </c>
    </row>
    <row r="20" spans="1:1">
      <c r="A20" s="482" t="s">
        <v>630</v>
      </c>
    </row>
    <row r="23" spans="1:1">
      <c r="A23" s="480" t="s">
        <v>631</v>
      </c>
    </row>
    <row r="24" spans="1:1">
      <c r="A24" s="482" t="s">
        <v>632</v>
      </c>
    </row>
    <row r="27" spans="1:1">
      <c r="A27" s="480" t="s">
        <v>633</v>
      </c>
    </row>
    <row r="28" spans="1:1">
      <c r="A28" s="482" t="s">
        <v>634</v>
      </c>
    </row>
    <row r="31" spans="1:1">
      <c r="A31" s="480" t="s">
        <v>635</v>
      </c>
    </row>
    <row r="32" spans="1:1">
      <c r="A32" s="482" t="s">
        <v>636</v>
      </c>
    </row>
    <row r="35" spans="1:1">
      <c r="A35" s="480" t="s">
        <v>637</v>
      </c>
    </row>
    <row r="36" spans="1:1">
      <c r="A36" s="482" t="s">
        <v>638</v>
      </c>
    </row>
    <row r="39" spans="1:1">
      <c r="A39" s="480" t="s">
        <v>639</v>
      </c>
    </row>
    <row r="40" spans="1:1">
      <c r="A40" s="482" t="s">
        <v>640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916</v>
      </c>
    </row>
    <row r="2" spans="1:1">
      <c r="A2" s="726" t="s">
        <v>917</v>
      </c>
    </row>
    <row r="4" spans="1:1">
      <c r="A4" s="543" t="s">
        <v>912</v>
      </c>
    </row>
    <row r="5" spans="1:1">
      <c r="A5" s="723" t="s">
        <v>883</v>
      </c>
    </row>
    <row r="6" spans="1:1">
      <c r="A6" s="723" t="s">
        <v>884</v>
      </c>
    </row>
    <row r="7" spans="1:1">
      <c r="A7" s="723" t="s">
        <v>885</v>
      </c>
    </row>
    <row r="8" spans="1:1">
      <c r="A8" s="723" t="s">
        <v>886</v>
      </c>
    </row>
    <row r="9" spans="1:1">
      <c r="A9" s="723" t="s">
        <v>887</v>
      </c>
    </row>
    <row r="10" spans="1:1">
      <c r="A10" s="723" t="s">
        <v>888</v>
      </c>
    </row>
    <row r="11" spans="1:1">
      <c r="A11" s="723" t="s">
        <v>889</v>
      </c>
    </row>
    <row r="12" spans="1:1">
      <c r="A12" s="723" t="s">
        <v>890</v>
      </c>
    </row>
    <row r="13" spans="1:1">
      <c r="A13" s="723" t="s">
        <v>891</v>
      </c>
    </row>
    <row r="14" spans="1:1">
      <c r="A14" s="723" t="s">
        <v>892</v>
      </c>
    </row>
    <row r="15" spans="1:1">
      <c r="A15" s="723" t="s">
        <v>893</v>
      </c>
    </row>
    <row r="16" spans="1:1">
      <c r="A16" s="723" t="s">
        <v>894</v>
      </c>
    </row>
    <row r="17" spans="1:1">
      <c r="A17" s="723" t="s">
        <v>895</v>
      </c>
    </row>
    <row r="18" spans="1:1">
      <c r="A18" s="723" t="s">
        <v>896</v>
      </c>
    </row>
    <row r="19" spans="1:1">
      <c r="A19" s="723" t="s">
        <v>897</v>
      </c>
    </row>
    <row r="20" spans="1:1">
      <c r="A20" s="723" t="s">
        <v>898</v>
      </c>
    </row>
    <row r="21" spans="1:1">
      <c r="A21" s="723" t="s">
        <v>899</v>
      </c>
    </row>
    <row r="22" spans="1:1">
      <c r="A22" s="723" t="s">
        <v>900</v>
      </c>
    </row>
    <row r="23" spans="1:1">
      <c r="A23" s="723" t="s">
        <v>901</v>
      </c>
    </row>
    <row r="24" spans="1:1">
      <c r="A24" s="723" t="s">
        <v>902</v>
      </c>
    </row>
    <row r="25" spans="1:1">
      <c r="A25" s="723" t="s">
        <v>903</v>
      </c>
    </row>
    <row r="26" spans="1:1">
      <c r="A26" s="723" t="s">
        <v>904</v>
      </c>
    </row>
    <row r="27" spans="1:1">
      <c r="A27" s="723" t="s">
        <v>905</v>
      </c>
    </row>
    <row r="28" spans="1:1">
      <c r="A28" s="723" t="s">
        <v>906</v>
      </c>
    </row>
    <row r="29" spans="1:1">
      <c r="A29" s="723" t="s">
        <v>907</v>
      </c>
    </row>
    <row r="30" spans="1:1">
      <c r="A30" s="723" t="s">
        <v>908</v>
      </c>
    </row>
    <row r="31" spans="1:1">
      <c r="A31" s="723" t="s">
        <v>909</v>
      </c>
    </row>
    <row r="32" spans="1:1">
      <c r="A32" s="723" t="s">
        <v>910</v>
      </c>
    </row>
    <row r="33" spans="1:1">
      <c r="A33" s="723" t="s">
        <v>911</v>
      </c>
    </row>
    <row r="36" spans="1:1">
      <c r="A36" s="543" t="s">
        <v>753</v>
      </c>
    </row>
    <row r="37" spans="1:1">
      <c r="A37" s="111" t="s">
        <v>754</v>
      </c>
    </row>
    <row r="38" spans="1:1">
      <c r="A38" s="111" t="s">
        <v>755</v>
      </c>
    </row>
    <row r="40" spans="1:1">
      <c r="A40" s="543" t="s">
        <v>750</v>
      </c>
    </row>
    <row r="41" spans="1:1">
      <c r="A41" s="524" t="s">
        <v>751</v>
      </c>
    </row>
    <row r="43" spans="1:1">
      <c r="A43" s="378" t="s">
        <v>723</v>
      </c>
    </row>
    <row r="44" spans="1:1">
      <c r="A44" s="524" t="s">
        <v>724</v>
      </c>
    </row>
    <row r="45" spans="1:1">
      <c r="A45" s="524" t="s">
        <v>725</v>
      </c>
    </row>
    <row r="46" spans="1:1" ht="31.5">
      <c r="A46" s="523" t="s">
        <v>726</v>
      </c>
    </row>
    <row r="47" spans="1:1">
      <c r="A47" s="524" t="s">
        <v>727</v>
      </c>
    </row>
    <row r="48" spans="1:1">
      <c r="A48" s="524" t="s">
        <v>728</v>
      </c>
    </row>
    <row r="49" spans="1:1">
      <c r="A49" s="524" t="s">
        <v>729</v>
      </c>
    </row>
    <row r="50" spans="1:1">
      <c r="A50" s="524" t="s">
        <v>730</v>
      </c>
    </row>
    <row r="51" spans="1:1">
      <c r="A51" s="524" t="s">
        <v>731</v>
      </c>
    </row>
    <row r="52" spans="1:1">
      <c r="A52" s="524" t="s">
        <v>732</v>
      </c>
    </row>
    <row r="53" spans="1:1">
      <c r="A53" s="524" t="s">
        <v>733</v>
      </c>
    </row>
    <row r="54" spans="1:1">
      <c r="A54" s="524" t="s">
        <v>734</v>
      </c>
    </row>
    <row r="55" spans="1:1">
      <c r="A55" s="524" t="s">
        <v>735</v>
      </c>
    </row>
    <row r="56" spans="1:1">
      <c r="A56" s="524" t="s">
        <v>736</v>
      </c>
    </row>
    <row r="57" spans="1:1">
      <c r="A57" s="524" t="s">
        <v>737</v>
      </c>
    </row>
    <row r="58" spans="1:1">
      <c r="A58" s="524" t="s">
        <v>738</v>
      </c>
    </row>
    <row r="59" spans="1:1">
      <c r="A59" s="524" t="s">
        <v>739</v>
      </c>
    </row>
    <row r="60" spans="1:1">
      <c r="A60" s="524" t="s">
        <v>740</v>
      </c>
    </row>
    <row r="61" spans="1:1">
      <c r="A61" s="524" t="s">
        <v>741</v>
      </c>
    </row>
    <row r="62" spans="1:1">
      <c r="A62" s="524" t="s">
        <v>742</v>
      </c>
    </row>
    <row r="63" spans="1:1">
      <c r="A63" s="524" t="s">
        <v>743</v>
      </c>
    </row>
    <row r="64" spans="1:1">
      <c r="A64" s="524" t="s">
        <v>744</v>
      </c>
    </row>
    <row r="65" spans="1:1">
      <c r="A65" s="524" t="s">
        <v>745</v>
      </c>
    </row>
    <row r="66" spans="1:1">
      <c r="A66" s="111" t="s">
        <v>749</v>
      </c>
    </row>
    <row r="68" spans="1:1">
      <c r="A68" s="378" t="s">
        <v>618</v>
      </c>
    </row>
    <row r="69" spans="1:1" ht="36" customHeight="1">
      <c r="A69" s="205" t="s">
        <v>619</v>
      </c>
    </row>
    <row r="71" spans="1:1">
      <c r="A71" s="378" t="s">
        <v>614</v>
      </c>
    </row>
    <row r="72" spans="1:1">
      <c r="A72" s="111" t="s">
        <v>615</v>
      </c>
    </row>
    <row r="73" spans="1:1">
      <c r="A73" s="111" t="s">
        <v>616</v>
      </c>
    </row>
    <row r="74" spans="1:1">
      <c r="A74" s="111" t="s">
        <v>617</v>
      </c>
    </row>
    <row r="76" spans="1:1">
      <c r="A76" s="378" t="s">
        <v>603</v>
      </c>
    </row>
    <row r="77" spans="1:1">
      <c r="A77" s="111" t="s">
        <v>613</v>
      </c>
    </row>
    <row r="79" spans="1:1">
      <c r="A79" s="377" t="s">
        <v>366</v>
      </c>
    </row>
    <row r="80" spans="1:1">
      <c r="A80" s="111" t="s">
        <v>367</v>
      </c>
    </row>
    <row r="81" spans="1:1">
      <c r="A81" s="111" t="s">
        <v>368</v>
      </c>
    </row>
    <row r="82" spans="1:1">
      <c r="A82" s="111" t="s">
        <v>389</v>
      </c>
    </row>
    <row r="83" spans="1:1">
      <c r="A83" s="111" t="s">
        <v>390</v>
      </c>
    </row>
    <row r="84" spans="1:1">
      <c r="A84" s="111" t="s">
        <v>391</v>
      </c>
    </row>
    <row r="85" spans="1:1">
      <c r="A85" s="111" t="s">
        <v>601</v>
      </c>
    </row>
    <row r="87" spans="1:1">
      <c r="A87" s="377" t="s">
        <v>306</v>
      </c>
    </row>
    <row r="88" spans="1:1">
      <c r="A88" s="111" t="s">
        <v>307</v>
      </c>
    </row>
    <row r="89" spans="1:1">
      <c r="A89" s="111" t="s">
        <v>308</v>
      </c>
    </row>
    <row r="90" spans="1:1">
      <c r="A90" s="111" t="s">
        <v>309</v>
      </c>
    </row>
    <row r="91" spans="1:1">
      <c r="A91" s="111" t="s">
        <v>310</v>
      </c>
    </row>
    <row r="92" spans="1:1">
      <c r="A92" s="111" t="s">
        <v>311</v>
      </c>
    </row>
    <row r="93" spans="1:1">
      <c r="A93" s="111" t="s">
        <v>312</v>
      </c>
    </row>
    <row r="94" spans="1:1">
      <c r="A94" s="111" t="s">
        <v>313</v>
      </c>
    </row>
    <row r="95" spans="1:1">
      <c r="A95" s="111" t="s">
        <v>315</v>
      </c>
    </row>
    <row r="96" spans="1:1">
      <c r="A96" s="111" t="s">
        <v>316</v>
      </c>
    </row>
    <row r="97" spans="1:1">
      <c r="A97" s="111" t="s">
        <v>332</v>
      </c>
    </row>
    <row r="98" spans="1:1">
      <c r="A98" s="111" t="s">
        <v>333</v>
      </c>
    </row>
    <row r="99" spans="1:1">
      <c r="A99" s="111" t="s">
        <v>334</v>
      </c>
    </row>
    <row r="100" spans="1:1">
      <c r="A100" s="111" t="s">
        <v>335</v>
      </c>
    </row>
    <row r="101" spans="1:1">
      <c r="A101" s="111" t="s">
        <v>349</v>
      </c>
    </row>
    <row r="102" spans="1:1">
      <c r="A102" s="111" t="s">
        <v>350</v>
      </c>
    </row>
    <row r="103" spans="1:1">
      <c r="A103" s="111" t="s">
        <v>362</v>
      </c>
    </row>
    <row r="104" spans="1:1">
      <c r="A104" s="355" t="s">
        <v>363</v>
      </c>
    </row>
    <row r="106" spans="1:1">
      <c r="A106" s="377" t="s">
        <v>303</v>
      </c>
    </row>
    <row r="107" spans="1:1">
      <c r="A107" s="111" t="s">
        <v>304</v>
      </c>
    </row>
    <row r="109" spans="1:1">
      <c r="A109" s="377" t="s">
        <v>301</v>
      </c>
    </row>
    <row r="110" spans="1:1">
      <c r="A110" s="111" t="s">
        <v>302</v>
      </c>
    </row>
    <row r="112" spans="1:1">
      <c r="A112" s="377" t="s">
        <v>297</v>
      </c>
    </row>
    <row r="113" spans="1:1">
      <c r="A113" s="111" t="s">
        <v>298</v>
      </c>
    </row>
    <row r="114" spans="1:1">
      <c r="A114" s="111" t="s">
        <v>299</v>
      </c>
    </row>
    <row r="115" spans="1:1">
      <c r="A115" s="111" t="s">
        <v>300</v>
      </c>
    </row>
    <row r="117" spans="1:1">
      <c r="A117" s="377" t="s">
        <v>294</v>
      </c>
    </row>
    <row r="118" spans="1:1">
      <c r="A118" s="111" t="s">
        <v>295</v>
      </c>
    </row>
    <row r="119" spans="1:1">
      <c r="A119" s="111" t="s">
        <v>296</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7" sqref="B7"/>
    </sheetView>
  </sheetViews>
  <sheetFormatPr defaultRowHeight="15.75"/>
  <cols>
    <col min="1" max="1" width="13.69921875" style="358" customWidth="1"/>
    <col min="2" max="2" width="16" style="358" bestFit="1" customWidth="1"/>
    <col min="3" max="16384" width="8.796875" style="358"/>
  </cols>
  <sheetData>
    <row r="1" spans="1:10">
      <c r="J1" s="552" t="s">
        <v>765</v>
      </c>
    </row>
    <row r="2" spans="1:10" ht="31.5" customHeight="1">
      <c r="A2" s="748" t="s">
        <v>374</v>
      </c>
      <c r="B2" s="749"/>
      <c r="C2" s="749"/>
      <c r="D2" s="749"/>
      <c r="E2" s="749"/>
      <c r="F2" s="749"/>
      <c r="J2" s="552" t="s">
        <v>766</v>
      </c>
    </row>
    <row r="3" spans="1:10">
      <c r="J3" s="552" t="s">
        <v>767</v>
      </c>
    </row>
    <row r="4" spans="1:10">
      <c r="A4" s="1" t="s">
        <v>777</v>
      </c>
      <c r="B4" s="553" t="s">
        <v>931</v>
      </c>
      <c r="J4" s="552" t="s">
        <v>768</v>
      </c>
    </row>
    <row r="5" spans="1:10">
      <c r="A5" s="1"/>
      <c r="B5" s="554"/>
      <c r="J5" s="552" t="s">
        <v>769</v>
      </c>
    </row>
    <row r="6" spans="1:10">
      <c r="A6" s="1" t="s">
        <v>778</v>
      </c>
      <c r="B6" s="553" t="s">
        <v>932</v>
      </c>
      <c r="J6" s="552" t="s">
        <v>770</v>
      </c>
    </row>
    <row r="7" spans="1:10">
      <c r="D7" s="359"/>
      <c r="J7" s="552" t="s">
        <v>771</v>
      </c>
    </row>
    <row r="8" spans="1:10">
      <c r="A8" s="204" t="s">
        <v>369</v>
      </c>
      <c r="B8" s="360" t="s">
        <v>930</v>
      </c>
      <c r="C8" s="361"/>
      <c r="D8" s="204" t="s">
        <v>764</v>
      </c>
      <c r="J8" s="552" t="s">
        <v>772</v>
      </c>
    </row>
    <row r="9" spans="1:10">
      <c r="A9" s="204"/>
      <c r="B9" s="362"/>
      <c r="C9" s="363"/>
      <c r="D9" s="555" t="str">
        <f ca="1">IF(B8="","",CONCATENATE("Latest date for notice to be published in your newspaper: ",G19," ",G23,", ",G24))</f>
        <v>Latest date for notice to be published in your newspaper: August 5, 2013</v>
      </c>
      <c r="J9" s="552" t="s">
        <v>773</v>
      </c>
    </row>
    <row r="10" spans="1:10">
      <c r="A10" s="204" t="s">
        <v>370</v>
      </c>
      <c r="B10" s="360" t="s">
        <v>925</v>
      </c>
      <c r="C10" s="364"/>
      <c r="D10" s="204"/>
      <c r="J10" s="552" t="s">
        <v>774</v>
      </c>
    </row>
    <row r="11" spans="1:10">
      <c r="A11" s="204"/>
      <c r="B11" s="204"/>
      <c r="C11" s="204"/>
      <c r="D11" s="204"/>
      <c r="J11" s="552" t="s">
        <v>775</v>
      </c>
    </row>
    <row r="12" spans="1:10">
      <c r="A12" s="204" t="s">
        <v>371</v>
      </c>
      <c r="B12" s="365" t="s">
        <v>926</v>
      </c>
      <c r="C12" s="365"/>
      <c r="D12" s="365"/>
      <c r="E12" s="366"/>
      <c r="J12" s="552" t="s">
        <v>776</v>
      </c>
    </row>
    <row r="13" spans="1:10">
      <c r="A13" s="204"/>
      <c r="B13" s="204"/>
      <c r="C13" s="204"/>
      <c r="D13" s="204"/>
    </row>
    <row r="14" spans="1:10">
      <c r="A14" s="204"/>
      <c r="B14" s="204"/>
      <c r="C14" s="204"/>
      <c r="D14" s="204"/>
    </row>
    <row r="15" spans="1:10">
      <c r="A15" s="204" t="s">
        <v>372</v>
      </c>
      <c r="B15" s="365" t="s">
        <v>919</v>
      </c>
      <c r="C15" s="365"/>
      <c r="D15" s="365"/>
      <c r="E15" s="366"/>
    </row>
    <row r="18" spans="1:7">
      <c r="A18" s="750" t="s">
        <v>375</v>
      </c>
      <c r="B18" s="750"/>
      <c r="C18" s="204"/>
      <c r="D18" s="204"/>
      <c r="E18" s="204"/>
    </row>
    <row r="19" spans="1:7">
      <c r="A19" s="204"/>
      <c r="B19" s="204"/>
      <c r="C19" s="204"/>
      <c r="D19" s="204"/>
      <c r="E19" s="204"/>
      <c r="G19" s="552" t="str">
        <f ca="1">IF(B8="","",INDIRECT(G20))</f>
        <v>August</v>
      </c>
    </row>
    <row r="20" spans="1:7">
      <c r="A20" s="204" t="s">
        <v>369</v>
      </c>
      <c r="B20" s="362" t="s">
        <v>373</v>
      </c>
      <c r="C20" s="204"/>
      <c r="D20" s="204"/>
      <c r="E20" s="204"/>
      <c r="G20" s="556" t="str">
        <f>IF(B8="","",CONCATENATE("J",G22))</f>
        <v>J8</v>
      </c>
    </row>
    <row r="21" spans="1:7">
      <c r="A21" s="204"/>
      <c r="B21" s="204"/>
      <c r="C21" s="204"/>
      <c r="D21" s="204"/>
      <c r="E21" s="204"/>
      <c r="G21" s="557">
        <f>B8-10</f>
        <v>41491</v>
      </c>
    </row>
    <row r="22" spans="1:7">
      <c r="A22" s="204" t="s">
        <v>370</v>
      </c>
      <c r="B22" s="204" t="s">
        <v>376</v>
      </c>
      <c r="C22" s="204"/>
      <c r="D22" s="204"/>
      <c r="E22" s="204"/>
      <c r="G22" s="558">
        <f>IF(B8="","",MONTH(G21))</f>
        <v>8</v>
      </c>
    </row>
    <row r="23" spans="1:7">
      <c r="A23" s="204"/>
      <c r="B23" s="204"/>
      <c r="C23" s="204"/>
      <c r="D23" s="204"/>
      <c r="E23" s="204"/>
      <c r="G23" s="559">
        <f>IF(B8="","",DAY(G21))</f>
        <v>5</v>
      </c>
    </row>
    <row r="24" spans="1:7">
      <c r="A24" s="204" t="s">
        <v>371</v>
      </c>
      <c r="B24" s="204" t="s">
        <v>377</v>
      </c>
      <c r="C24" s="204"/>
      <c r="D24" s="204"/>
      <c r="E24" s="204"/>
      <c r="G24" s="560">
        <f>IF(B8="","",YEAR(G21))</f>
        <v>2013</v>
      </c>
    </row>
    <row r="25" spans="1:7">
      <c r="A25" s="204"/>
      <c r="B25" s="204"/>
      <c r="C25" s="204"/>
      <c r="D25" s="204"/>
      <c r="E25" s="204"/>
    </row>
    <row r="26" spans="1:7">
      <c r="A26" s="204" t="s">
        <v>372</v>
      </c>
      <c r="B26" s="204" t="s">
        <v>378</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56"/>
  <sheetViews>
    <sheetView tabSelected="1" topLeftCell="A10" workbookViewId="0">
      <selection activeCell="A38" sqref="A38"/>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62" t="s">
        <v>18</v>
      </c>
      <c r="B1" s="762"/>
      <c r="C1" s="762"/>
      <c r="D1" s="762"/>
      <c r="E1" s="762"/>
      <c r="F1" s="762"/>
      <c r="G1" s="65">
        <f>inputPrYr!D9</f>
        <v>2014</v>
      </c>
    </row>
    <row r="2" spans="1:7" s="65" customFormat="1">
      <c r="B2" s="66"/>
      <c r="C2" s="66"/>
      <c r="D2" s="66"/>
      <c r="E2" s="66"/>
      <c r="F2" s="67"/>
    </row>
    <row r="3" spans="1:7" s="65" customFormat="1">
      <c r="A3" s="771" t="str">
        <f>CONCATENATE("To the Clerk of ",inputPrYr!D4,", State of Kansas")</f>
        <v>To the Clerk of Franklin County, State of Kansas</v>
      </c>
      <c r="B3" s="758"/>
      <c r="C3" s="758"/>
      <c r="D3" s="758"/>
      <c r="E3" s="758"/>
      <c r="F3" s="758"/>
    </row>
    <row r="4" spans="1:7" s="65" customFormat="1">
      <c r="A4" s="771" t="s">
        <v>98</v>
      </c>
      <c r="B4" s="773"/>
      <c r="C4" s="773"/>
      <c r="D4" s="773"/>
      <c r="E4" s="773"/>
      <c r="F4" s="773"/>
    </row>
    <row r="5" spans="1:7" s="65" customFormat="1">
      <c r="A5" s="774" t="str">
        <f>inputPrYr!D3</f>
        <v>Williamsburg Township</v>
      </c>
      <c r="B5" s="773"/>
      <c r="C5" s="773"/>
      <c r="D5" s="773"/>
      <c r="E5" s="773"/>
      <c r="F5" s="773"/>
    </row>
    <row r="6" spans="1:7" s="65" customFormat="1">
      <c r="A6" s="769" t="s">
        <v>96</v>
      </c>
      <c r="B6" s="770"/>
      <c r="C6" s="770"/>
      <c r="D6" s="770"/>
      <c r="E6" s="770"/>
      <c r="F6" s="770"/>
    </row>
    <row r="7" spans="1:7" s="65" customFormat="1" ht="15.75" customHeight="1">
      <c r="A7" s="771" t="s">
        <v>97</v>
      </c>
      <c r="B7" s="772"/>
      <c r="C7" s="772"/>
      <c r="D7" s="772"/>
      <c r="E7" s="772"/>
      <c r="F7" s="772"/>
    </row>
    <row r="8" spans="1:7" s="65" customFormat="1" ht="15.75" customHeight="1">
      <c r="A8" s="771" t="str">
        <f>CONCATENATE("maximum expenditures for the various funds for the year ",G1,"; and (3) the")</f>
        <v>maximum expenditures for the various funds for the year 2014; and (3) the</v>
      </c>
      <c r="B8" s="773"/>
      <c r="C8" s="773"/>
      <c r="D8" s="773"/>
      <c r="E8" s="773"/>
      <c r="F8" s="773"/>
    </row>
    <row r="9" spans="1:7" s="65" customFormat="1" ht="15.75" customHeight="1">
      <c r="A9" s="771" t="str">
        <f>CONCATENATE("Amount(s) of ",G1-1," Ad Valorem Tax are within statutory limitations for the ",G1," Budget.")</f>
        <v>Amount(s) of 2013 Ad Valorem Tax are within statutory limitations for the 2014 Budget.</v>
      </c>
      <c r="B9" s="773"/>
      <c r="C9" s="773"/>
      <c r="D9" s="773"/>
      <c r="E9" s="773"/>
      <c r="F9" s="773"/>
    </row>
    <row r="10" spans="1:7" s="65" customFormat="1" ht="15.75" customHeight="1">
      <c r="D10" s="69"/>
      <c r="E10" s="69"/>
      <c r="F10" s="69"/>
    </row>
    <row r="11" spans="1:7" s="65" customFormat="1">
      <c r="C11" s="70"/>
      <c r="D11" s="766" t="str">
        <f>CONCATENATE("",G1," Adopted Budget")</f>
        <v>2014 Adopted Budget</v>
      </c>
      <c r="E11" s="767"/>
      <c r="F11" s="768"/>
    </row>
    <row r="12" spans="1:7" s="65" customFormat="1">
      <c r="A12" s="71"/>
      <c r="C12" s="69"/>
      <c r="D12" s="72" t="s">
        <v>233</v>
      </c>
      <c r="E12" s="763" t="str">
        <f>CONCATENATE("Amount of ",G1-1," Ad Valorem Tax")</f>
        <v>Amount of 2013 Ad Valorem Tax</v>
      </c>
      <c r="F12" s="73" t="s">
        <v>234</v>
      </c>
    </row>
    <row r="13" spans="1:7" s="65" customFormat="1">
      <c r="C13" s="73" t="s">
        <v>235</v>
      </c>
      <c r="D13" s="488" t="s">
        <v>166</v>
      </c>
      <c r="E13" s="764"/>
      <c r="F13" s="75" t="s">
        <v>236</v>
      </c>
    </row>
    <row r="14" spans="1:7" s="65" customFormat="1">
      <c r="A14" s="76" t="s">
        <v>237</v>
      </c>
      <c r="B14" s="77"/>
      <c r="C14" s="78" t="s">
        <v>238</v>
      </c>
      <c r="D14" s="489" t="s">
        <v>710</v>
      </c>
      <c r="E14" s="765"/>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756</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5000</v>
      </c>
      <c r="E21" s="561">
        <f>IF(gen!$E$57&lt;&gt;0,gen!$E$57,0)</f>
        <v>3814</v>
      </c>
      <c r="F21" s="562">
        <v>0.746</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IF(AND('DebtSvs-Library'!E40=0,$B$39&gt;=0)," ",IF(AND(E22&gt;0,$B$39=0)," ",IF(AND(E22&gt;0,$B$39&gt;0),ROUND(E22/$B$39*1000,3))))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IF(AND('DebtSvs-Library'!E80=0,$B$39&gt;=0)," ",IF(AND(E23&gt;0,$B$39=0)," ",IF(AND(E23&gt;0,$B$39&gt;0),ROUND(E23/$B$39*1000,3))))</f>
        <v xml:space="preserve"> </v>
      </c>
    </row>
    <row r="24" spans="1:6" s="65" customFormat="1">
      <c r="A24" s="89" t="str">
        <f>IF(inputPrYr!$B23&gt;"  ",inputPrYr!$B23,"  ")</f>
        <v xml:space="preserve">  </v>
      </c>
      <c r="B24" s="90" t="str">
        <f>IF(inputPrYr!C23&gt;0,inputPrYr!C23,"  ")</f>
        <v xml:space="preserve">  </v>
      </c>
      <c r="C24" s="91" t="str">
        <f>IF(road!C67&gt;0,road!C67,"  ")</f>
        <v xml:space="preserve">  </v>
      </c>
      <c r="D24" s="561" t="str">
        <f>IF(road!$E$43&lt;&gt;0,road!$E$43,"  ")</f>
        <v xml:space="preserve">  </v>
      </c>
      <c r="E24" s="561" t="str">
        <f>IF(road!$E$50&lt;&gt;0,road!$E$50,"  ")</f>
        <v xml:space="preserve">  </v>
      </c>
      <c r="F24" s="562" t="str">
        <f>IF(AND(road!E50=0,$B$36&gt;=0)," ",IF(AND(E24&gt;0,$B$36=0)," ",IF(AND(E24&gt;0,$B$36&gt;0),ROUND(E24/$B$36*1000,3))))</f>
        <v xml:space="preserve"> </v>
      </c>
    </row>
    <row r="25" spans="1:6" s="65" customFormat="1">
      <c r="A25" s="89" t="str">
        <f>IF(inputPrYr!$B24&gt;"  ",inputPrYr!$B24,"  ")</f>
        <v xml:space="preserve">  </v>
      </c>
      <c r="B25" s="90" t="str">
        <f>IF(inputPrYr!C24&gt;0,inputPrYr!C24,"  ")</f>
        <v xml:space="preserve">  </v>
      </c>
      <c r="C25" s="91" t="str">
        <f>IF('SpecRoad&amp;Noxious'!C81&gt;0,'SpecRoad&amp;Noxious'!C81,"  ")</f>
        <v xml:space="preserve">  </v>
      </c>
      <c r="D25" s="561" t="str">
        <f>IF('SpecRoad&amp;Noxious'!$E$33&lt;&gt;0,'SpecRoad&amp;Noxious'!$E$33,"  ")</f>
        <v xml:space="preserve">  </v>
      </c>
      <c r="E25" s="561" t="str">
        <f>IF('SpecRoad&amp;Noxious'!$E$40&lt;&gt;0,'SpecRoad&amp;Noxious'!$E$40,"  ")</f>
        <v xml:space="preserve">  </v>
      </c>
      <c r="F25" s="562" t="str">
        <f>IF(AND('SpecRoad&amp;Noxious'!E40=0,$B$36&gt;=0)," ",IF(AND(E25&gt;0,$B$36=0)," ",IF(AND(E25&gt;0,$B$36&gt;0),ROUND(E25/$B$36*1000,3))))</f>
        <v xml:space="preserve"> </v>
      </c>
    </row>
    <row r="26" spans="1:6" s="65" customFormat="1">
      <c r="A26" s="89" t="str">
        <f>IF(inputPrYr!$B25&gt;"  ",inputPrYr!$B25,"  ")</f>
        <v xml:space="preserve">  </v>
      </c>
      <c r="B26" s="90" t="str">
        <f>IF(inputPrYr!C25&gt;0,inputPrYr!C25,"  ")</f>
        <v xml:space="preserve">  </v>
      </c>
      <c r="C26" s="91" t="str">
        <f>IF('SpecRoad&amp;Noxious'!C81&gt;0,'SpecRoad&amp;Noxious'!C81,"  ")</f>
        <v xml:space="preserve">  </v>
      </c>
      <c r="D26" s="561" t="str">
        <f>IF('SpecRoad&amp;Noxious'!$E$73&lt;&gt;0,'SpecRoad&amp;Noxious'!$E$73,"  ")</f>
        <v xml:space="preserve">  </v>
      </c>
      <c r="E26" s="561" t="str">
        <f>IF('SpecRoad&amp;Noxious'!$E$80&lt;&gt;0,'SpecRoad&amp;Noxious'!$E$80,"  ")</f>
        <v xml:space="preserve">  </v>
      </c>
      <c r="F26" s="562" t="str">
        <f>IF(AND('SpecRoad&amp;Noxious'!E80=0,$B$36&gt;=0)," ",IF(AND(E26&gt;0,$B$36=0)," ",IF(AND(E26&gt;0,$B$36&gt;0),ROUND(E26/$B$36*1000,3))))</f>
        <v xml:space="preserve"> </v>
      </c>
    </row>
    <row r="27" spans="1:6" s="65" customFormat="1">
      <c r="A27" s="93" t="str">
        <f>IF(inputPrYr!$B37&gt;"  ",inputPrYr!$B37,"  ")</f>
        <v xml:space="preserve">  </v>
      </c>
      <c r="B27" s="94"/>
      <c r="C27" s="95" t="str">
        <f>IF(nolevypage14!$C$65&gt;0,nolevypage14!$C$65,"  ")</f>
        <v xml:space="preserve">  </v>
      </c>
      <c r="D27" s="561" t="str">
        <f>IF(nolevypage14!$E$28&lt;&gt;0,nolevypage14!$E$28,"  ")</f>
        <v xml:space="preserve">  </v>
      </c>
      <c r="E27" s="561"/>
      <c r="F27" s="562"/>
    </row>
    <row r="28" spans="1:6" s="65" customFormat="1">
      <c r="A28" s="93" t="str">
        <f>IF(inputPrYr!$B38&gt;"  ",inputPrYr!$B38,"  ")</f>
        <v xml:space="preserve">  </v>
      </c>
      <c r="B28" s="94"/>
      <c r="C28" s="95" t="str">
        <f>IF(nolevypage14!$C$65&gt;0,nolevypage14!$C$65,"  ")</f>
        <v xml:space="preserve">  </v>
      </c>
      <c r="D28" s="561" t="str">
        <f>IF(nolevypage14!$E$59&lt;&gt;0,nolevypage14!$E$59,"  ")</f>
        <v xml:space="preserve">  </v>
      </c>
      <c r="E28" s="561"/>
      <c r="F28" s="562"/>
    </row>
    <row r="29" spans="1:6" s="65" customFormat="1">
      <c r="A29" s="93" t="str">
        <f>IF(inputPrYr!B41&gt;"",nonbud!A3,"")</f>
        <v/>
      </c>
      <c r="B29" s="96"/>
      <c r="C29" s="95" t="str">
        <f>IF(nonbud!F33&gt;0,nonbud!F33,"  ")</f>
        <v xml:space="preserve">  </v>
      </c>
      <c r="D29" s="561"/>
      <c r="E29" s="561"/>
      <c r="F29" s="562"/>
    </row>
    <row r="30" spans="1:6" s="65" customFormat="1">
      <c r="A30" s="79"/>
      <c r="B30" s="94"/>
      <c r="C30" s="95" t="str">
        <f>IF(road!C67&gt;0,road!C67,"  ")</f>
        <v xml:space="preserve">  </v>
      </c>
      <c r="D30" s="563"/>
      <c r="E30" s="563"/>
      <c r="F30" s="562"/>
    </row>
    <row r="31" spans="1:6" s="65" customFormat="1" ht="16.5" thickBot="1">
      <c r="A31" s="97" t="s">
        <v>244</v>
      </c>
      <c r="B31" s="88"/>
      <c r="C31" s="98" t="s">
        <v>245</v>
      </c>
      <c r="D31" s="564">
        <f>SUM(D21:D30)</f>
        <v>5000</v>
      </c>
      <c r="E31" s="564">
        <f>SUM(E21:E30)</f>
        <v>3814</v>
      </c>
      <c r="F31" s="565">
        <v>0.746</v>
      </c>
    </row>
    <row r="32" spans="1:6" s="65" customFormat="1" ht="16.5" thickTop="1">
      <c r="A32" s="84" t="s">
        <v>109</v>
      </c>
      <c r="B32" s="80"/>
      <c r="C32" s="95">
        <f>summ!C27</f>
        <v>9</v>
      </c>
    </row>
    <row r="33" spans="1:7" s="65" customFormat="1">
      <c r="A33" s="79" t="s">
        <v>162</v>
      </c>
      <c r="B33" s="80"/>
      <c r="C33" s="95" t="str">
        <f>IF(nhood!C40&gt;0,nhood!C40,"")</f>
        <v/>
      </c>
      <c r="D33" s="99" t="s">
        <v>102</v>
      </c>
      <c r="E33" s="100" t="str">
        <f>IF(E31&gt;computation!J34,"Yes","No")</f>
        <v>Yes</v>
      </c>
    </row>
    <row r="34" spans="1:7" s="65" customFormat="1">
      <c r="A34" s="84" t="s">
        <v>101</v>
      </c>
      <c r="B34" s="80"/>
      <c r="C34" s="95" t="str">
        <f>IF(Resolution!D50&gt;0,Resolution!D50,"")</f>
        <v/>
      </c>
      <c r="D34" s="101"/>
      <c r="E34" s="102"/>
    </row>
    <row r="35" spans="1:7" s="65" customFormat="1">
      <c r="A35" s="79" t="s">
        <v>46</v>
      </c>
      <c r="B35" s="751" t="s">
        <v>72</v>
      </c>
      <c r="C35" s="752"/>
      <c r="D35" s="104"/>
      <c r="F35" s="71" t="s">
        <v>246</v>
      </c>
    </row>
    <row r="36" spans="1:7" s="65" customFormat="1">
      <c r="A36" s="79" t="str">
        <f>inputPrYr!D3</f>
        <v>Williamsburg Township</v>
      </c>
      <c r="B36" s="753">
        <v>3926293</v>
      </c>
      <c r="C36" s="754"/>
      <c r="D36" s="105"/>
      <c r="F36" s="71"/>
    </row>
    <row r="37" spans="1:7" s="65" customFormat="1">
      <c r="A37" s="79" t="str">
        <f>inputPrYr!D6</f>
        <v>Williamsburg City</v>
      </c>
      <c r="B37" s="753">
        <v>1188311</v>
      </c>
      <c r="C37" s="761"/>
      <c r="D37" s="105"/>
      <c r="F37" s="71"/>
    </row>
    <row r="38" spans="1:7" s="65" customFormat="1">
      <c r="A38" s="79"/>
      <c r="B38" s="753"/>
      <c r="C38" s="761"/>
      <c r="D38" s="105"/>
      <c r="F38" s="71"/>
    </row>
    <row r="39" spans="1:7" s="65" customFormat="1">
      <c r="A39" s="79" t="s">
        <v>171</v>
      </c>
      <c r="B39" s="759">
        <f>SUM(B36:C38)</f>
        <v>5114604</v>
      </c>
      <c r="C39" s="760"/>
      <c r="D39" s="105"/>
      <c r="F39" s="71"/>
    </row>
    <row r="40" spans="1:7" s="65" customFormat="1">
      <c r="A40" s="106"/>
      <c r="B40" s="755" t="str">
        <f>CONCATENATE("Nov. 1, ",G1-1," Valuation")</f>
        <v>Nov. 1, 2013 Valuation</v>
      </c>
      <c r="C40" s="756"/>
      <c r="D40" s="104"/>
      <c r="F40" s="71"/>
    </row>
    <row r="41" spans="1:7" s="65" customFormat="1">
      <c r="A41" s="106" t="s">
        <v>247</v>
      </c>
      <c r="D41" s="70"/>
      <c r="F41" s="71"/>
    </row>
    <row r="42" spans="1:7" s="65" customFormat="1">
      <c r="A42" s="108" t="s">
        <v>919</v>
      </c>
      <c r="D42" s="104"/>
      <c r="E42" s="70"/>
      <c r="F42" s="70"/>
    </row>
    <row r="43" spans="1:7" s="65" customFormat="1">
      <c r="A43" s="109"/>
      <c r="B43" s="69"/>
    </row>
    <row r="44" spans="1:7" s="65" customFormat="1">
      <c r="A44" s="106" t="s">
        <v>91</v>
      </c>
      <c r="D44" s="70" t="s">
        <v>780</v>
      </c>
      <c r="E44" s="70"/>
      <c r="F44" s="70"/>
    </row>
    <row r="45" spans="1:7" s="65" customFormat="1">
      <c r="A45" s="108" t="s">
        <v>920</v>
      </c>
      <c r="C45" s="71"/>
      <c r="D45" s="70"/>
      <c r="E45" s="70"/>
      <c r="F45" s="70"/>
    </row>
    <row r="46" spans="1:7" s="65" customFormat="1">
      <c r="A46" s="109" t="s">
        <v>921</v>
      </c>
      <c r="B46" s="71"/>
      <c r="D46" s="70" t="s">
        <v>780</v>
      </c>
      <c r="E46" s="69"/>
      <c r="F46" s="69"/>
    </row>
    <row r="47" spans="1:7">
      <c r="A47" s="106" t="s">
        <v>779</v>
      </c>
      <c r="B47" s="69"/>
      <c r="C47" s="65"/>
      <c r="D47" s="70"/>
      <c r="E47" s="70"/>
      <c r="F47" s="70"/>
      <c r="G47" s="110"/>
    </row>
    <row r="48" spans="1:7">
      <c r="A48" s="108"/>
      <c r="B48" s="69"/>
      <c r="C48" s="65"/>
      <c r="D48" s="70" t="s">
        <v>780</v>
      </c>
      <c r="E48" s="69"/>
      <c r="F48" s="69"/>
      <c r="G48" s="110"/>
    </row>
    <row r="49" spans="1:7">
      <c r="A49" s="69"/>
      <c r="B49" s="65"/>
      <c r="C49" s="65"/>
      <c r="D49" s="70"/>
      <c r="E49" s="70"/>
      <c r="F49" s="70"/>
      <c r="G49" s="110"/>
    </row>
    <row r="50" spans="1:7">
      <c r="A50" s="474" t="s">
        <v>95</v>
      </c>
      <c r="B50" s="112">
        <f>G1-1</f>
        <v>2013</v>
      </c>
      <c r="C50" s="65"/>
      <c r="D50" s="70" t="s">
        <v>780</v>
      </c>
      <c r="E50" s="69"/>
      <c r="F50" s="69"/>
      <c r="G50" s="110"/>
    </row>
    <row r="51" spans="1:7">
      <c r="A51" s="65"/>
      <c r="B51" s="65"/>
      <c r="C51" s="65"/>
      <c r="D51" s="70"/>
      <c r="E51" s="106"/>
      <c r="F51" s="70"/>
      <c r="G51" s="110"/>
    </row>
    <row r="52" spans="1:7">
      <c r="A52" s="473"/>
      <c r="B52" s="65"/>
      <c r="C52" s="65"/>
      <c r="D52" s="70" t="s">
        <v>780</v>
      </c>
      <c r="E52" s="70"/>
      <c r="F52" s="70"/>
      <c r="G52" s="110"/>
    </row>
    <row r="53" spans="1:7">
      <c r="A53" s="68" t="s">
        <v>249</v>
      </c>
      <c r="B53" s="65"/>
      <c r="C53" s="65"/>
      <c r="D53" s="757" t="s">
        <v>248</v>
      </c>
      <c r="E53" s="758"/>
      <c r="F53" s="758"/>
    </row>
    <row r="54" spans="1:7">
      <c r="A54" s="540"/>
      <c r="B54" s="541"/>
      <c r="C54" s="541"/>
      <c r="D54" s="541"/>
      <c r="E54" s="541"/>
      <c r="F54" s="541"/>
    </row>
    <row r="55" spans="1:7">
      <c r="A55" s="540"/>
      <c r="B55" s="541"/>
      <c r="C55" s="541"/>
      <c r="D55" s="541"/>
      <c r="E55" s="541"/>
      <c r="F55" s="541"/>
    </row>
    <row r="56" spans="1:7">
      <c r="A56" s="540"/>
      <c r="B56" s="541"/>
      <c r="C56" s="541"/>
      <c r="D56" s="542"/>
      <c r="E56" s="539"/>
      <c r="F56" s="541"/>
    </row>
  </sheetData>
  <sheetProtection sheet="1" objects="1" scenarios="1"/>
  <mergeCells count="17">
    <mergeCell ref="A1:F1"/>
    <mergeCell ref="E12:E14"/>
    <mergeCell ref="D11:F11"/>
    <mergeCell ref="A6:F6"/>
    <mergeCell ref="A7:F7"/>
    <mergeCell ref="A4:F4"/>
    <mergeCell ref="A5:F5"/>
    <mergeCell ref="A8:F8"/>
    <mergeCell ref="A9:F9"/>
    <mergeCell ref="A3:F3"/>
    <mergeCell ref="B35:C35"/>
    <mergeCell ref="B36:C36"/>
    <mergeCell ref="B40:C40"/>
    <mergeCell ref="D53:F53"/>
    <mergeCell ref="B39:C39"/>
    <mergeCell ref="B37:C37"/>
    <mergeCell ref="B38:C38"/>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80"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workbookViewId="0">
      <selection activeCell="J33" sqref="J33"/>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Williamsburg Township</v>
      </c>
      <c r="D1" s="65"/>
      <c r="E1" s="65"/>
      <c r="F1" s="65"/>
      <c r="G1" s="65"/>
      <c r="H1" s="65"/>
      <c r="I1" s="65"/>
      <c r="J1" s="65">
        <f>inputPrYr!D9</f>
        <v>2014</v>
      </c>
    </row>
    <row r="2" spans="1:10">
      <c r="A2" s="65"/>
      <c r="B2" s="65"/>
      <c r="C2" s="65"/>
      <c r="D2" s="65"/>
      <c r="E2" s="65"/>
      <c r="F2" s="65"/>
      <c r="G2" s="65"/>
      <c r="H2" s="65"/>
      <c r="I2" s="65"/>
      <c r="J2" s="65"/>
    </row>
    <row r="3" spans="1:10">
      <c r="A3" s="776" t="str">
        <f>CONCATENATE("Computation to Determine Limit for ",J1,"")</f>
        <v>Computation to Determine Limit for 2014</v>
      </c>
      <c r="B3" s="762"/>
      <c r="C3" s="762"/>
      <c r="D3" s="762"/>
      <c r="E3" s="762"/>
      <c r="F3" s="762"/>
      <c r="G3" s="762"/>
      <c r="H3" s="762"/>
      <c r="I3" s="762"/>
      <c r="J3" s="762"/>
    </row>
    <row r="4" spans="1:10">
      <c r="A4" s="65"/>
      <c r="B4" s="65"/>
      <c r="C4" s="65"/>
      <c r="D4" s="65"/>
      <c r="E4" s="762"/>
      <c r="F4" s="762"/>
      <c r="G4" s="762"/>
      <c r="H4" s="64"/>
      <c r="I4" s="65"/>
      <c r="J4" s="252" t="s">
        <v>28</v>
      </c>
    </row>
    <row r="5" spans="1:10">
      <c r="A5" s="253" t="s">
        <v>29</v>
      </c>
      <c r="B5" s="65" t="str">
        <f>CONCATENATE("Total Tax Levy Amount in ",J1-1,"")</f>
        <v>Total Tax Levy Amount in 2013</v>
      </c>
      <c r="C5" s="65"/>
      <c r="D5" s="65"/>
      <c r="E5" s="186"/>
      <c r="F5" s="186"/>
      <c r="G5" s="186"/>
      <c r="H5" s="254" t="s">
        <v>263</v>
      </c>
      <c r="I5" s="186" t="s">
        <v>250</v>
      </c>
      <c r="J5" s="255">
        <f>inputPrYr!E32</f>
        <v>0</v>
      </c>
    </row>
    <row r="6" spans="1:10">
      <c r="A6" s="253" t="s">
        <v>30</v>
      </c>
      <c r="B6" s="65" t="str">
        <f>CONCATENATE("Debt Service Levy in ",J1-1,"")</f>
        <v>Debt Service Levy in 2013</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0</v>
      </c>
    </row>
    <row r="8" spans="1:10">
      <c r="A8" s="65"/>
      <c r="B8" s="65"/>
      <c r="C8" s="65"/>
      <c r="D8" s="65"/>
      <c r="E8" s="186"/>
      <c r="F8" s="186"/>
      <c r="G8" s="186"/>
      <c r="H8" s="186"/>
      <c r="I8" s="186"/>
      <c r="J8" s="186"/>
    </row>
    <row r="9" spans="1:10">
      <c r="A9" s="65"/>
      <c r="B9" s="155" t="str">
        <f>CONCATENATE("",J1-1," Valuation Information for Valuation Adjustments:")</f>
        <v>2013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2013:</v>
      </c>
      <c r="C11" s="65"/>
      <c r="D11" s="65"/>
      <c r="E11" s="254"/>
      <c r="F11" s="254" t="s">
        <v>263</v>
      </c>
      <c r="G11" s="231">
        <f>inputOth!E16</f>
        <v>6732</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2013:</v>
      </c>
      <c r="C13" s="65"/>
      <c r="D13" s="65"/>
      <c r="E13" s="254"/>
      <c r="F13" s="254"/>
      <c r="G13" s="258"/>
      <c r="H13" s="258"/>
      <c r="I13" s="186"/>
      <c r="J13" s="186"/>
    </row>
    <row r="14" spans="1:10">
      <c r="A14" s="65"/>
      <c r="B14" s="65" t="s">
        <v>35</v>
      </c>
      <c r="C14" s="65" t="str">
        <f>CONCATENATE("Personal Property ",J1-1,"")</f>
        <v>Personal Property 2013</v>
      </c>
      <c r="D14" s="253" t="s">
        <v>263</v>
      </c>
      <c r="E14" s="231">
        <f>inputOth!E21</f>
        <v>87483</v>
      </c>
      <c r="F14" s="254"/>
      <c r="G14" s="186"/>
      <c r="H14" s="186"/>
      <c r="I14" s="258"/>
      <c r="J14" s="186"/>
    </row>
    <row r="15" spans="1:10">
      <c r="A15" s="253"/>
      <c r="B15" s="65" t="s">
        <v>36</v>
      </c>
      <c r="C15" s="65" t="str">
        <f>CONCATENATE("Personal Property ",J1-2,"")</f>
        <v>Personal Property 2012</v>
      </c>
      <c r="D15" s="253" t="s">
        <v>31</v>
      </c>
      <c r="E15" s="257">
        <f>inputOth!E31</f>
        <v>320242</v>
      </c>
      <c r="F15" s="254"/>
      <c r="G15" s="258"/>
      <c r="H15" s="258"/>
      <c r="I15" s="186"/>
      <c r="J15" s="186"/>
    </row>
    <row r="16" spans="1:10">
      <c r="A16" s="253"/>
      <c r="B16" s="65" t="s">
        <v>37</v>
      </c>
      <c r="C16" s="65" t="s">
        <v>56</v>
      </c>
      <c r="D16" s="65"/>
      <c r="E16" s="186"/>
      <c r="F16" s="186" t="s">
        <v>263</v>
      </c>
      <c r="G16" s="231">
        <f>IF(E14&gt;E15,E14-E15,0)</f>
        <v>0</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2013:</v>
      </c>
      <c r="C18" s="65"/>
      <c r="D18" s="65"/>
      <c r="E18" s="186"/>
      <c r="F18" s="254" t="s">
        <v>263</v>
      </c>
      <c r="G18" s="231">
        <f>inputOth!E26</f>
        <v>33006</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39738</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1,2013</v>
      </c>
      <c r="C22" s="65"/>
      <c r="D22" s="65"/>
      <c r="E22" s="231">
        <f>inputOth!E11</f>
        <v>5107956</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5068218</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7.8406256400178516E-3</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0</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0</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2014</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0</v>
      </c>
    </row>
    <row r="35" spans="1:10" ht="16.5" thickTop="1">
      <c r="A35" s="65"/>
      <c r="B35" s="65"/>
      <c r="C35" s="65"/>
      <c r="D35" s="65"/>
      <c r="E35" s="65"/>
      <c r="F35" s="65"/>
      <c r="G35" s="65"/>
      <c r="H35" s="65"/>
      <c r="I35" s="65"/>
      <c r="J35" s="65"/>
    </row>
    <row r="36" spans="1:10" s="263" customFormat="1" ht="18.75">
      <c r="A36" s="775" t="str">
        <f>CONCATENATE("If the ",J1," budget includes tax levies exceeding the total on line 14, you must")</f>
        <v>If the 2014 budget includes tax levies exceeding the total on line 14, you must</v>
      </c>
      <c r="B36" s="775"/>
      <c r="C36" s="775"/>
      <c r="D36" s="775"/>
      <c r="E36" s="775"/>
      <c r="F36" s="775"/>
      <c r="G36" s="775"/>
      <c r="H36" s="775"/>
      <c r="I36" s="775"/>
      <c r="J36" s="775"/>
    </row>
    <row r="37" spans="1:10" s="263" customFormat="1" ht="18.75">
      <c r="A37" s="775" t="s">
        <v>61</v>
      </c>
      <c r="B37" s="775"/>
      <c r="C37" s="775"/>
      <c r="D37" s="775"/>
      <c r="E37" s="775"/>
      <c r="F37" s="775"/>
      <c r="G37" s="775"/>
      <c r="H37" s="775"/>
      <c r="I37" s="775"/>
      <c r="J37" s="775"/>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Williamsburg Township</v>
      </c>
      <c r="C1" s="65"/>
      <c r="D1" s="65"/>
      <c r="E1" s="65"/>
      <c r="F1" s="65"/>
      <c r="G1" s="65"/>
      <c r="H1" s="65"/>
      <c r="I1" s="65"/>
      <c r="J1" s="65"/>
      <c r="K1" s="215">
        <f>inputPrYr!D9</f>
        <v>2014</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77" t="s">
        <v>757</v>
      </c>
      <c r="C6" s="758"/>
      <c r="D6" s="758"/>
      <c r="E6" s="758"/>
      <c r="F6" s="758"/>
      <c r="G6" s="758"/>
      <c r="H6" s="758"/>
      <c r="I6" s="758"/>
      <c r="J6" s="758"/>
      <c r="K6" s="758"/>
    </row>
    <row r="7" spans="1:11" ht="16.5">
      <c r="A7" s="65"/>
      <c r="B7" s="762"/>
      <c r="C7" s="778"/>
      <c r="D7" s="778"/>
      <c r="E7" s="778"/>
      <c r="F7" s="778"/>
      <c r="G7" s="778"/>
      <c r="H7" s="778"/>
      <c r="I7" s="778"/>
      <c r="J7" s="778"/>
      <c r="K7" s="778"/>
    </row>
    <row r="8" spans="1:11">
      <c r="A8" s="65"/>
      <c r="B8" s="65"/>
      <c r="C8" s="217"/>
      <c r="D8" s="217"/>
      <c r="E8" s="217"/>
      <c r="F8" s="217"/>
      <c r="G8" s="218"/>
      <c r="H8" s="66"/>
      <c r="I8" s="66"/>
      <c r="J8" s="65"/>
      <c r="K8" s="65"/>
    </row>
    <row r="9" spans="1:11" ht="21" customHeight="1">
      <c r="A9" s="65"/>
      <c r="B9" s="239" t="s">
        <v>758</v>
      </c>
      <c r="C9" s="219"/>
      <c r="D9" s="546" t="s">
        <v>759</v>
      </c>
      <c r="E9" s="779" t="str">
        <f>CONCATENATE("Budget Tax Levy Rate for ",K1-1,"")</f>
        <v>Budget Tax Levy Rate for 2013</v>
      </c>
      <c r="F9" s="82"/>
      <c r="G9" s="781" t="str">
        <f>CONCATENATE("Allocation for Year ",K1,"")</f>
        <v>Allocation for Year 2014</v>
      </c>
      <c r="H9" s="782"/>
      <c r="I9" s="782"/>
      <c r="J9" s="783"/>
      <c r="K9" s="200"/>
    </row>
    <row r="10" spans="1:11">
      <c r="A10" s="65"/>
      <c r="B10" s="545" t="str">
        <f>CONCATENATE("for ",K1-1,"")</f>
        <v>for 2013</v>
      </c>
      <c r="C10" s="221"/>
      <c r="D10" s="116" t="str">
        <f>CONCATENATE("Amount for ",K1,"")</f>
        <v>Amount for 2014</v>
      </c>
      <c r="E10" s="780"/>
      <c r="F10" s="78"/>
      <c r="G10" s="78" t="s">
        <v>26</v>
      </c>
      <c r="H10" s="78"/>
      <c r="I10" s="78" t="s">
        <v>27</v>
      </c>
      <c r="J10" s="82" t="s">
        <v>69</v>
      </c>
      <c r="K10" s="200"/>
    </row>
    <row r="11" spans="1:11">
      <c r="A11" s="65"/>
      <c r="B11" s="89" t="str">
        <f>inputPrYr!B20</f>
        <v>General</v>
      </c>
      <c r="C11" s="222"/>
      <c r="D11" s="89" t="str">
        <f>IF(inputPrYr!E20&gt;0,inputPrYr!E20,"  ")</f>
        <v xml:space="preserve">  </v>
      </c>
      <c r="E11" s="223" t="str">
        <f>IF(inputOth!D37&gt;0,inputOth!D37,"  ")</f>
        <v xml:space="preserve">  </v>
      </c>
      <c r="F11" s="224"/>
      <c r="G11" s="89">
        <f>IF(inputPrYr!E20=0,0,G25-SUM(G12:G22))</f>
        <v>0</v>
      </c>
      <c r="H11" s="225"/>
      <c r="I11" s="89">
        <f>IF(inputPrYr!E20=0,0,I27-SUM(I12:I22))</f>
        <v>0</v>
      </c>
      <c r="J11" s="89">
        <f>IF(inputPrYr!E20=0,0,J29-SUM(J12:J22))</f>
        <v>0</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Fire Protection</v>
      </c>
      <c r="C17" s="222"/>
      <c r="D17" s="89" t="str">
        <f>IF(inputPrYr!E26&gt;0,inputPrYr!E26,"  ")</f>
        <v xml:space="preserve">  </v>
      </c>
      <c r="E17" s="223" t="str">
        <f>IF(inputOth!D43&gt;0,inputOth!D43,"  ")</f>
        <v xml:space="preserve">  </v>
      </c>
      <c r="F17" s="224"/>
      <c r="G17" s="89">
        <f>IF(inputPrYr!E26=0,0,ROUND(D17*$G$31,0))</f>
        <v>0</v>
      </c>
      <c r="H17" s="225"/>
      <c r="I17" s="89">
        <f>IF(inputPrYr!$E$26=0,0,ROUND($D$17*$I$33,0))</f>
        <v>0</v>
      </c>
      <c r="J17" s="89">
        <f>IF(inputPrYr!E26=0,0,ROUND($D17*$J$35,0))</f>
        <v>0</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0</v>
      </c>
      <c r="E23" s="228">
        <f>SUM(E11:E22)</f>
        <v>0</v>
      </c>
      <c r="F23" s="229"/>
      <c r="G23" s="227">
        <f t="shared" si="0"/>
        <v>0</v>
      </c>
      <c r="H23" s="227"/>
      <c r="I23" s="227">
        <f t="shared" si="0"/>
        <v>0</v>
      </c>
      <c r="J23" s="227">
        <f t="shared" si="0"/>
        <v>0</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0</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0</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0</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0</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0</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2014</v>
      </c>
    </row>
    <row r="2" spans="1:6">
      <c r="A2" s="118" t="str">
        <f>inputPrYr!D3</f>
        <v>Williamsburg Township</v>
      </c>
      <c r="B2" s="118"/>
      <c r="C2" s="65"/>
      <c r="D2" s="65"/>
      <c r="E2" s="200"/>
      <c r="F2" s="65"/>
    </row>
    <row r="3" spans="1:6">
      <c r="A3" s="214"/>
      <c r="B3" s="118"/>
      <c r="C3" s="65"/>
      <c r="D3" s="65"/>
      <c r="E3" s="200"/>
      <c r="F3" s="65"/>
    </row>
    <row r="4" spans="1:6">
      <c r="A4" s="214"/>
      <c r="B4" s="65"/>
      <c r="C4" s="65"/>
      <c r="D4" s="65"/>
      <c r="E4" s="200"/>
      <c r="F4" s="65"/>
    </row>
    <row r="5" spans="1:6" ht="15" customHeight="1">
      <c r="A5" s="762" t="s">
        <v>110</v>
      </c>
      <c r="B5" s="762"/>
      <c r="C5" s="762"/>
      <c r="D5" s="762"/>
      <c r="E5" s="762"/>
      <c r="F5" s="762"/>
    </row>
    <row r="6" spans="1:6" ht="14.25" customHeight="1">
      <c r="A6" s="64"/>
      <c r="B6" s="238"/>
      <c r="C6" s="238"/>
      <c r="D6" s="238"/>
      <c r="E6" s="238"/>
      <c r="F6" s="238"/>
    </row>
    <row r="7" spans="1:6" ht="15" customHeight="1">
      <c r="A7" s="239" t="s">
        <v>239</v>
      </c>
      <c r="B7" s="239" t="s">
        <v>609</v>
      </c>
      <c r="C7" s="240" t="s">
        <v>280</v>
      </c>
      <c r="D7" s="240" t="s">
        <v>111</v>
      </c>
      <c r="E7" s="239" t="s">
        <v>112</v>
      </c>
      <c r="F7" s="239" t="s">
        <v>113</v>
      </c>
    </row>
    <row r="8" spans="1:6" ht="15" customHeight="1">
      <c r="A8" s="241" t="s">
        <v>610</v>
      </c>
      <c r="B8" s="241" t="s">
        <v>611</v>
      </c>
      <c r="C8" s="242" t="s">
        <v>114</v>
      </c>
      <c r="D8" s="242" t="s">
        <v>114</v>
      </c>
      <c r="E8" s="242" t="s">
        <v>114</v>
      </c>
      <c r="F8" s="242" t="s">
        <v>115</v>
      </c>
    </row>
    <row r="9" spans="1:6" s="245" customFormat="1" ht="15" customHeight="1" thickBot="1">
      <c r="A9" s="243" t="s">
        <v>116</v>
      </c>
      <c r="B9" s="244" t="s">
        <v>117</v>
      </c>
      <c r="C9" s="244">
        <f>F1-2</f>
        <v>2012</v>
      </c>
      <c r="D9" s="244">
        <f>F1-1</f>
        <v>2013</v>
      </c>
      <c r="E9" s="244">
        <f>F1</f>
        <v>2014</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608</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612</v>
      </c>
      <c r="B32" s="380" t="str">
        <f>CONCATENATE("Adjustments are required only if the transfer is being made in ",D9," and/or ",E9," from a non-budgeted fund.")</f>
        <v>Adjustments are required only if the transfer is being made in 2013 and/or 2014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2012-07-19T18:32:29Z</cp:lastPrinted>
  <dcterms:created xsi:type="dcterms:W3CDTF">1998-08-26T16:30:41Z</dcterms:created>
  <dcterms:modified xsi:type="dcterms:W3CDTF">2013-11-04T21:45:29Z</dcterms:modified>
</cp:coreProperties>
</file>