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C35"/>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J6" i="14"/>
  <c r="A26" i="2"/>
  <c r="D43" i="7"/>
  <c r="C43"/>
  <c r="C74" s="1"/>
  <c r="D23"/>
  <c r="E13"/>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D13"/>
  <c r="D27"/>
  <c r="D29" s="1"/>
  <c r="E33" i="12" s="1"/>
  <c r="C13" i="21"/>
  <c r="C11"/>
  <c r="C23" i="7"/>
  <c r="C24" s="1"/>
  <c r="C39"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s="1"/>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C40"/>
  <c r="C43" s="1"/>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D21" i="4"/>
  <c r="G30" s="1"/>
  <c r="G14" s="1"/>
  <c r="G13"/>
  <c r="C22" i="7"/>
  <c r="C93" i="9"/>
  <c r="G18" i="4"/>
  <c r="E50" i="9" s="1"/>
  <c r="G20" i="4"/>
  <c r="E50" i="10" s="1"/>
  <c r="G19" i="4"/>
  <c r="E10" i="10" s="1"/>
  <c r="G15" i="4"/>
  <c r="E10" i="8" s="1"/>
  <c r="G17" i="4"/>
  <c r="E10" i="9" s="1"/>
  <c r="G16" i="4"/>
  <c r="E50" i="8" s="1"/>
  <c r="C39" i="12"/>
  <c r="C57" i="6"/>
  <c r="C50" i="7"/>
  <c r="K27" i="12"/>
  <c r="K40"/>
  <c r="K28"/>
  <c r="K32"/>
  <c r="K41"/>
  <c r="K29" i="24"/>
  <c r="K30"/>
  <c r="A43" i="20"/>
  <c r="D58" i="7"/>
  <c r="G22" i="31"/>
  <c r="G20" s="1"/>
  <c r="G24"/>
  <c r="B15" i="3"/>
  <c r="B77" i="9"/>
  <c r="G16" i="14"/>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8" i="4"/>
  <c r="E52" i="9" s="1"/>
  <c r="J17" i="4"/>
  <c r="E12" i="9" s="1"/>
  <c r="J20" i="4"/>
  <c r="E52" i="10" s="1"/>
  <c r="C34" i="35"/>
  <c r="D32"/>
  <c r="D93"/>
  <c r="C72"/>
  <c r="C19" i="8"/>
  <c r="C34" i="10"/>
  <c r="C74"/>
  <c r="E70" i="35"/>
  <c r="E73" s="1"/>
  <c r="E40" i="7"/>
  <c r="E43" s="1"/>
  <c r="F32" i="12"/>
  <c r="G86" i="35" s="1"/>
  <c r="K35" i="12"/>
  <c r="K25"/>
  <c r="K42"/>
  <c r="K34"/>
  <c r="K21"/>
  <c r="N42"/>
  <c r="G14"/>
  <c r="C14"/>
  <c r="H15"/>
  <c r="B12"/>
  <c r="G84" i="35"/>
  <c r="E6" i="17"/>
  <c r="E16"/>
  <c r="E29"/>
  <c r="E30"/>
  <c r="D32"/>
  <c r="E37"/>
  <c r="E47"/>
  <c r="E60"/>
  <c r="E61"/>
  <c r="D63"/>
  <c r="D46" i="10"/>
  <c r="D61"/>
  <c r="D74" s="1"/>
  <c r="C95"/>
  <c r="C93"/>
  <c r="D6"/>
  <c r="D46" i="9"/>
  <c r="D61"/>
  <c r="D74" s="1"/>
  <c r="C95"/>
  <c r="C95" i="8"/>
  <c r="D46"/>
  <c r="C93"/>
  <c r="D6"/>
  <c r="D95" i="35"/>
  <c r="D46"/>
  <c r="C96"/>
  <c r="C59"/>
  <c r="D6"/>
  <c r="C94"/>
  <c r="C5" i="7"/>
  <c r="E5" i="17"/>
  <c r="E36" s="1"/>
  <c r="E5" i="10"/>
  <c r="E45" s="1"/>
  <c r="E5" i="9"/>
  <c r="E45" s="1"/>
  <c r="E5" i="8"/>
  <c r="E45" s="1"/>
  <c r="E39" i="10"/>
  <c r="E39" i="9"/>
  <c r="E39" i="35"/>
  <c r="G46"/>
  <c r="G46" i="9"/>
  <c r="G63" i="6"/>
  <c r="G86" i="9"/>
  <c r="G56" i="7"/>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N27" i="12"/>
  <c r="N35" s="1"/>
  <c r="G46" i="8"/>
  <c r="G46" i="10"/>
  <c r="G86" i="8"/>
  <c r="G86" i="10"/>
  <c r="E16" i="22"/>
  <c r="H84" i="9"/>
  <c r="H76"/>
  <c r="G71"/>
  <c r="H45"/>
  <c r="H36"/>
  <c r="G31"/>
  <c r="H54" i="7"/>
  <c r="H46"/>
  <c r="G41"/>
  <c r="H83" i="9"/>
  <c r="H75"/>
  <c r="G68"/>
  <c r="H44"/>
  <c r="H35"/>
  <c r="G28"/>
  <c r="H56" i="7"/>
  <c r="H48"/>
  <c r="H43"/>
  <c r="B5" i="22"/>
  <c r="I32" i="4"/>
  <c r="I15" s="1"/>
  <c r="I13"/>
  <c r="E51" i="35"/>
  <c r="G18" i="34" s="1"/>
  <c r="G9" i="4"/>
  <c r="J34"/>
  <c r="J15" s="1"/>
  <c r="B46" i="34"/>
  <c r="H78" i="35"/>
  <c r="H75"/>
  <c r="D45"/>
  <c r="H33"/>
  <c r="G28"/>
  <c r="E5"/>
  <c r="H86"/>
  <c r="H84"/>
  <c r="C80"/>
  <c r="H74"/>
  <c r="G68"/>
  <c r="H46"/>
  <c r="E45"/>
  <c r="H44"/>
  <c r="H39"/>
  <c r="H36"/>
  <c r="B35"/>
  <c r="E15" i="34"/>
  <c r="E22" s="1"/>
  <c r="B9" i="3"/>
  <c r="C51"/>
  <c r="F11" i="21"/>
  <c r="C5" i="22"/>
  <c r="B35" i="9"/>
  <c r="B13" i="14"/>
  <c r="B3" i="22"/>
  <c r="B45" i="7"/>
  <c r="B8" i="3"/>
  <c r="B5" i="14"/>
  <c r="B9"/>
  <c r="C15"/>
  <c r="B32"/>
  <c r="E50" i="35"/>
  <c r="J14" i="4"/>
  <c r="E12" i="7" s="1"/>
  <c r="J12" i="4"/>
  <c r="E12" i="35" s="1"/>
  <c r="J13" i="4"/>
  <c r="E52" i="35" s="1"/>
  <c r="G19" i="34" s="1"/>
  <c r="I12" i="4"/>
  <c r="E11" i="35" s="1"/>
  <c r="I14" i="4"/>
  <c r="E11" i="7" s="1"/>
  <c r="G17" i="34"/>
  <c r="B35" i="10"/>
  <c r="G19" i="31"/>
  <c r="D9" l="1"/>
  <c r="C42" i="7"/>
  <c r="G20" i="14"/>
  <c r="N23" i="12"/>
  <c r="G55" i="6"/>
  <c r="C72"/>
  <c r="C18" i="12"/>
  <c r="C51" i="6"/>
  <c r="C73" s="1"/>
  <c r="C49"/>
  <c r="C27" i="21"/>
  <c r="C29" s="1"/>
  <c r="C33" i="12" s="1"/>
  <c r="C44" i="7"/>
  <c r="G48"/>
  <c r="C21" i="12"/>
  <c r="D6" i="6"/>
  <c r="E43" i="12"/>
  <c r="D95" i="9"/>
  <c r="B78" s="1"/>
  <c r="G73"/>
  <c r="E72" i="35"/>
  <c r="F76"/>
  <c r="G20" i="12"/>
  <c r="E23" i="3"/>
  <c r="D21" i="9"/>
  <c r="D34" s="1"/>
  <c r="E6" s="1"/>
  <c r="D19"/>
  <c r="G73" i="10"/>
  <c r="E46"/>
  <c r="D95"/>
  <c r="E47" i="7"/>
  <c r="G21" i="12"/>
  <c r="E42" i="7"/>
  <c r="D16" i="22"/>
  <c r="C40" i="9"/>
  <c r="E28" i="34"/>
  <c r="B37" i="8"/>
  <c r="B77" i="35"/>
  <c r="B77" i="8"/>
  <c r="B37" i="35"/>
  <c r="D74" i="7"/>
  <c r="B47" s="1"/>
  <c r="D32" i="12"/>
  <c r="E12" i="8"/>
  <c r="J11" i="4"/>
  <c r="J21" s="1"/>
  <c r="E11" i="8"/>
  <c r="I11" i="4"/>
  <c r="E10" i="7"/>
  <c r="G11" i="4"/>
  <c r="D27" i="6"/>
  <c r="D46" s="1"/>
  <c r="D50" s="1"/>
  <c r="D49" s="1"/>
  <c r="D25"/>
  <c r="E20" i="35"/>
  <c r="G34" s="1"/>
  <c r="E60" i="8"/>
  <c r="E20"/>
  <c r="E60" i="10"/>
  <c r="G74" s="1"/>
  <c r="E20" i="9"/>
  <c r="E20" i="10"/>
  <c r="G34" s="1"/>
  <c r="E60" i="9"/>
  <c r="E19" i="35"/>
  <c r="G74" i="8"/>
  <c r="G34"/>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E21" s="1"/>
  <c r="E46"/>
  <c r="D95"/>
  <c r="B78" s="1"/>
  <c r="G73"/>
  <c r="D21" i="10"/>
  <c r="D34" s="1"/>
  <c r="D19"/>
  <c r="D61" i="35"/>
  <c r="D74" s="1"/>
  <c r="D59"/>
  <c r="G24" i="14"/>
  <c r="G26" s="1"/>
  <c r="J28" s="1"/>
  <c r="J30" s="1"/>
  <c r="G34" i="9"/>
  <c r="G74"/>
  <c r="D21" i="35"/>
  <c r="D34" s="1"/>
  <c r="D19"/>
  <c r="E23" i="7"/>
  <c r="E60" i="35"/>
  <c r="E77"/>
  <c r="F46" i="7"/>
  <c r="E24" i="3"/>
  <c r="E46" i="9"/>
  <c r="E61" s="1"/>
  <c r="D5" i="7"/>
  <c r="D5" i="10"/>
  <c r="D45" s="1"/>
  <c r="D5" i="8"/>
  <c r="D45" s="1"/>
  <c r="D5" i="17"/>
  <c r="D36" s="1"/>
  <c r="C5" i="8"/>
  <c r="C45" s="1"/>
  <c r="C5" i="9"/>
  <c r="C45" s="1"/>
  <c r="C5" i="10"/>
  <c r="C45" s="1"/>
  <c r="C9" i="21"/>
  <c r="E9"/>
  <c r="B32" s="1"/>
  <c r="C80" i="10"/>
  <c r="C40"/>
  <c r="G32" i="12" l="1"/>
  <c r="G34" s="1"/>
  <c r="C32"/>
  <c r="C34" s="1"/>
  <c r="C75" i="7"/>
  <c r="D6"/>
  <c r="D24" s="1"/>
  <c r="D72" i="6"/>
  <c r="B54" s="1"/>
  <c r="E21" i="9"/>
  <c r="D93"/>
  <c r="B38" s="1"/>
  <c r="G33"/>
  <c r="E61" i="8"/>
  <c r="D51" i="6"/>
  <c r="D73" s="1"/>
  <c r="B55" s="1"/>
  <c r="E18" i="12"/>
  <c r="E32" s="1"/>
  <c r="E34" s="1"/>
  <c r="E38" i="8"/>
  <c r="E40" s="1"/>
  <c r="I22" i="12" s="1"/>
  <c r="G43" i="8" s="1"/>
  <c r="E12" i="6"/>
  <c r="E11"/>
  <c r="I21" i="4"/>
  <c r="G21"/>
  <c r="E10" i="6"/>
  <c r="G74" i="35"/>
  <c r="E59"/>
  <c r="H22" i="12"/>
  <c r="G35" i="8"/>
  <c r="K35" s="1"/>
  <c r="F25" i="3"/>
  <c r="G44" i="7"/>
  <c r="G33" i="35"/>
  <c r="E6"/>
  <c r="E21" s="1"/>
  <c r="E38" s="1"/>
  <c r="E40" s="1"/>
  <c r="D94"/>
  <c r="B38" s="1"/>
  <c r="D96"/>
  <c r="B78" s="1"/>
  <c r="G73"/>
  <c r="E46"/>
  <c r="E61" s="1"/>
  <c r="E78" s="1"/>
  <c r="E6" i="10"/>
  <c r="E21" s="1"/>
  <c r="E38" s="1"/>
  <c r="E40" s="1"/>
  <c r="G33"/>
  <c r="D93"/>
  <c r="B38" s="1"/>
  <c r="G36" i="8"/>
  <c r="G39" s="1"/>
  <c r="E38" i="9"/>
  <c r="E40" s="1"/>
  <c r="E35" i="3"/>
  <c r="E78" i="10"/>
  <c r="E80" s="1"/>
  <c r="E78" i="8"/>
  <c r="E80" s="1"/>
  <c r="E78" i="9"/>
  <c r="E80" s="1"/>
  <c r="E6" i="6" l="1"/>
  <c r="D44" i="7"/>
  <c r="D39"/>
  <c r="E19" i="8"/>
  <c r="G50" i="6"/>
  <c r="G25" i="3"/>
  <c r="E26" i="6"/>
  <c r="G51" s="1"/>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G43" i="7" l="1"/>
  <c r="D75"/>
  <c r="B48" s="1"/>
  <c r="E6"/>
  <c r="E24" s="1"/>
  <c r="E48" s="1"/>
  <c r="E50" s="1"/>
  <c r="G45" s="1"/>
  <c r="E27" i="6"/>
  <c r="E55" s="1"/>
  <c r="E57" s="1"/>
  <c r="G52" s="1"/>
  <c r="K52" s="1"/>
  <c r="G15" i="34"/>
  <c r="G22" s="1"/>
  <c r="I20" i="12"/>
  <c r="F23" i="3"/>
  <c r="H20" i="12"/>
  <c r="G23" i="3"/>
  <c r="K75" i="9"/>
  <c r="G76"/>
  <c r="G79" s="1"/>
  <c r="K35"/>
  <c r="G36"/>
  <c r="G39" s="1"/>
  <c r="K75" i="10"/>
  <c r="G76"/>
  <c r="G79" s="1"/>
  <c r="K75" i="8"/>
  <c r="G76"/>
  <c r="G79" s="1"/>
  <c r="G36" i="10"/>
  <c r="G39" s="1"/>
  <c r="G75" i="35"/>
  <c r="E22" i="7" l="1"/>
  <c r="F24" i="3"/>
  <c r="G24" s="1"/>
  <c r="E39" i="7"/>
  <c r="H21" i="12"/>
  <c r="I21" s="1"/>
  <c r="G53" i="7" s="1"/>
  <c r="E25" i="6"/>
  <c r="G53"/>
  <c r="G56" s="1"/>
  <c r="H18" i="12"/>
  <c r="I18" s="1"/>
  <c r="G60" i="6" s="1"/>
  <c r="E46"/>
  <c r="F21" i="3"/>
  <c r="K45" i="7"/>
  <c r="G46"/>
  <c r="G49" s="1"/>
  <c r="E23" i="34"/>
  <c r="D24"/>
  <c r="K75" i="35"/>
  <c r="G76"/>
  <c r="G79" s="1"/>
  <c r="G83"/>
  <c r="G29" i="34"/>
  <c r="E30" s="1"/>
  <c r="D31" s="1"/>
  <c r="I32" i="12" l="1"/>
  <c r="G85" i="9" s="1"/>
  <c r="G21" i="3"/>
  <c r="G35" s="1"/>
  <c r="E44" i="6"/>
  <c r="H32" i="12"/>
  <c r="N34" s="1"/>
  <c r="N36" s="1"/>
  <c r="N29" s="1"/>
  <c r="K29" s="1"/>
  <c r="F35" i="3"/>
  <c r="F37" s="1"/>
  <c r="I88" i="35" s="1"/>
  <c r="F33" i="34"/>
  <c r="F80" i="35" s="1"/>
  <c r="G85" i="10" l="1"/>
  <c r="N30" i="12"/>
  <c r="K30" s="1"/>
  <c r="G62" i="6"/>
  <c r="G45" i="8"/>
  <c r="G45" i="9"/>
  <c r="G55" i="7"/>
  <c r="G45" i="35"/>
  <c r="G85"/>
  <c r="N40" i="12"/>
  <c r="G45" i="10"/>
  <c r="G85" i="8"/>
  <c r="I88" i="9"/>
  <c r="I48" i="8"/>
  <c r="I88" i="10"/>
  <c r="I58" i="7"/>
  <c r="I48" i="10"/>
  <c r="I88" i="8"/>
  <c r="I48" i="35"/>
  <c r="I65" i="6"/>
  <c r="I48" i="9"/>
</calcChain>
</file>

<file path=xl/sharedStrings.xml><?xml version="1.0" encoding="utf-8"?>
<sst xmlns="http://schemas.openxmlformats.org/spreadsheetml/2006/main" count="1591" uniqueCount="963">
  <si>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</si>
  <si>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</si>
  <si>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</si>
  <si>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</si>
  <si>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</si>
  <si>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</si>
  <si>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</si>
  <si>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</si>
  <si>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</si>
  <si>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</si>
  <si>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</si>
  <si>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</si>
  <si>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</si>
  <si>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</si>
  <si>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</si>
  <si>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</si>
  <si>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</si>
  <si>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</si>
  <si>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</si>
  <si>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</si>
  <si>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</si>
  <si>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</si>
  <si>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</si>
  <si>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</si>
  <si>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</si>
  <si>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</si>
  <si>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</si>
  <si>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</si>
  <si>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</si>
  <si>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</si>
  <si>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</si>
  <si>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</si>
  <si>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</si>
  <si>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</si>
  <si>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</si>
  <si>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</si>
  <si>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</si>
  <si>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</si>
  <si>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</si>
  <si>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</si>
  <si>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</si>
  <si>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</si>
  <si>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</si>
  <si>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</si>
  <si>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</si>
  <si>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</si>
  <si>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</si>
  <si>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</si>
  <si>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</si>
  <si>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</si>
  <si>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</si>
  <si>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</si>
  <si>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</si>
  <si>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</si>
  <si>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</si>
  <si>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</si>
  <si>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</si>
  <si>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</si>
  <si>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</si>
  <si>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</si>
  <si>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</si>
  <si>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</si>
  <si>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</si>
  <si>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</si>
  <si>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</si>
  <si>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</si>
  <si>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</si>
  <si>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</si>
  <si>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</si>
  <si>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</si>
  <si>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</si>
  <si>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</si>
  <si>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</si>
  <si>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</si>
  <si>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</si>
  <si>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</si>
  <si>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</si>
  <si>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</si>
  <si>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</si>
  <si>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</si>
  <si>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</si>
  <si>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</si>
  <si>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</si>
  <si>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</si>
  <si>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</si>
  <si>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</si>
  <si>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</si>
  <si>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</si>
  <si>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</si>
  <si>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</si>
  <si>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</si>
  <si>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</si>
  <si>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</si>
  <si>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</si>
  <si>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</si>
  <si>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</si>
  <si>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</si>
  <si>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</si>
  <si>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</si>
  <si>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</si>
  <si>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</si>
  <si>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</si>
  <si>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</si>
  <si>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</si>
  <si>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</si>
  <si>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</si>
  <si>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</si>
  <si>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</si>
  <si>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</si>
  <si>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</si>
  <si>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</si>
  <si>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</si>
  <si>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</si>
  <si>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</si>
  <si>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</si>
  <si>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</si>
  <si>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</si>
  <si>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</si>
  <si>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</si>
  <si>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</si>
  <si>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</si>
  <si>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</si>
  <si>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</si>
  <si>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</si>
  <si>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</si>
  <si>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</si>
  <si>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</si>
  <si>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</si>
  <si>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</si>
  <si>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</si>
  <si>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</si>
  <si>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</si>
  <si>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</si>
  <si>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</si>
  <si>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</si>
  <si>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</si>
  <si>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</si>
  <si>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</si>
  <si>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</si>
  <si>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</si>
  <si>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</si>
  <si>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</si>
  <si>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</si>
  <si>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</si>
  <si>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</si>
  <si>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</si>
  <si>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</si>
  <si>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</si>
  <si>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</si>
  <si>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</si>
  <si>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</si>
  <si>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</si>
  <si>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</si>
  <si>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</si>
  <si>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</si>
  <si>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</si>
  <si>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</si>
  <si>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</si>
  <si>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</si>
  <si>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</si>
  <si>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</si>
  <si>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</si>
  <si>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</si>
  <si>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</si>
  <si>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</si>
  <si>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</si>
  <si>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</si>
  <si>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</si>
  <si>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</si>
  <si>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</si>
  <si>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</si>
  <si>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</si>
  <si>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</si>
  <si>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</si>
  <si>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</si>
  <si>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</si>
  <si>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</si>
  <si>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</si>
  <si>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</si>
  <si>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</si>
  <si>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</si>
  <si>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</si>
  <si>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</si>
  <si>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</si>
  <si>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</si>
  <si>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</si>
  <si>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</si>
  <si>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</si>
  <si>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</si>
  <si>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</si>
  <si>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</si>
  <si>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</si>
  <si>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</si>
  <si>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</si>
  <si>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</si>
  <si>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</si>
  <si>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</si>
  <si>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</si>
  <si>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</si>
  <si>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</si>
  <si>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</si>
  <si>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</si>
  <si>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</si>
  <si>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</si>
  <si>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</si>
  <si>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</si>
  <si>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</si>
  <si>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</si>
  <si>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</si>
  <si>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</si>
  <si>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</si>
  <si>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</si>
  <si>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</si>
  <si>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</si>
  <si>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</si>
  <si>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</si>
  <si>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</si>
  <si>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</si>
  <si>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</si>
  <si>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</si>
  <si>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</si>
  <si>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</si>
  <si>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</si>
  <si>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</si>
  <si>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</si>
  <si>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</si>
  <si>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</si>
  <si>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</si>
  <si>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</si>
  <si>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</si>
  <si>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</si>
  <si>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</si>
  <si>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</si>
  <si>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</si>
  <si>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</si>
  <si>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</si>
  <si>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</si>
  <si>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</si>
  <si>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</si>
  <si>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</si>
  <si>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</si>
  <si>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</si>
  <si>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</si>
  <si>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</si>
  <si>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</si>
  <si>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</si>
  <si>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</si>
  <si>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</si>
  <si>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</si>
  <si>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</si>
  <si>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</si>
  <si>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</si>
  <si>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</si>
  <si>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</si>
  <si>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</si>
  <si>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</si>
  <si>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</si>
  <si>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</si>
  <si>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</si>
  <si>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</si>
  <si>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</si>
  <si>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</si>
  <si>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</si>
  <si>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</si>
  <si>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</si>
  <si>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</si>
  <si>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</si>
  <si>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</si>
  <si>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</si>
  <si>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</si>
  <si>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</si>
  <si>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</si>
  <si>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</si>
  <si>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</si>
  <si>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</si>
  <si>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</si>
  <si>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</si>
  <si>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</si>
  <si>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</si>
  <si>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</si>
  <si>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</si>
  <si>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</si>
  <si>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</si>
  <si>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</si>
  <si>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</si>
  <si>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</si>
  <si>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</si>
  <si>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</si>
  <si>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</si>
  <si>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</si>
  <si>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</si>
  <si>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</si>
  <si>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</si>
  <si>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</si>
  <si>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</si>
  <si>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</si>
  <si>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</si>
  <si>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</si>
  <si>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</si>
  <si>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</si>
  <si>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</si>
  <si>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</si>
  <si>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</si>
  <si>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</si>
  <si>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</si>
  <si>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</si>
  <si>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</si>
  <si>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</si>
  <si>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</si>
  <si>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</si>
  <si>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</si>
  <si>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</si>
  <si>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</si>
  <si>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</si>
  <si>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</si>
  <si>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</si>
  <si>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</si>
  <si>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</si>
  <si>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</si>
  <si>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</si>
  <si>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</si>
  <si>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</si>
  <si>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</si>
  <si>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</si>
  <si>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</si>
  <si>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</si>
  <si>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</si>
  <si>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</si>
  <si>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</si>
  <si>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</si>
  <si>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</si>
  <si>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</si>
  <si>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</si>
  <si>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</si>
  <si>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</si>
  <si>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</si>
  <si>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</si>
  <si>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</si>
  <si>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</si>
  <si>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</si>
  <si>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</si>
  <si>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</si>
  <si>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</si>
  <si>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</si>
  <si>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</si>
  <si>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</si>
  <si>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</si>
  <si>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</si>
  <si>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</si>
  <si>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</si>
  <si>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</si>
  <si>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</si>
  <si>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</si>
  <si>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</si>
  <si>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</si>
  <si>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</si>
  <si>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</si>
  <si>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</si>
  <si>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</si>
  <si>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</si>
  <si>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</si>
  <si>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</si>
  <si>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</si>
  <si>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</si>
  <si>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</si>
  <si>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</si>
  <si>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</si>
  <si>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</si>
  <si>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</si>
  <si>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</si>
  <si>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</si>
  <si>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</si>
  <si>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</si>
  <si>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</si>
  <si>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</si>
  <si>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</si>
  <si>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</si>
  <si>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</si>
  <si>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</si>
  <si>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</si>
  <si>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</si>
  <si>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</si>
  <si>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</si>
  <si>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</si>
  <si>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</si>
  <si>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</si>
  <si>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</si>
  <si>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</si>
  <si>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</si>
  <si>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</si>
  <si>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</si>
  <si>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</si>
  <si>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</si>
  <si>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</si>
  <si>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</si>
  <si>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</si>
  <si>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</si>
  <si>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</si>
  <si>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</si>
  <si>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</si>
  <si>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</si>
  <si>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</si>
  <si>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</si>
  <si>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</si>
  <si>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</si>
  <si>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</si>
  <si>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</si>
  <si>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</si>
  <si>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</si>
  <si>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</si>
  <si>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</si>
  <si>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</si>
  <si>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</si>
  <si>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</si>
  <si>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</si>
  <si>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</si>
  <si>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</si>
  <si>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</si>
  <si>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</si>
  <si>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</si>
  <si>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</si>
  <si>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</si>
  <si>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</si>
  <si>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</si>
  <si>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</si>
  <si>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</si>
  <si>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</si>
  <si>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</si>
  <si>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</si>
  <si>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</si>
  <si>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</si>
  <si>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</si>
  <si>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</si>
  <si>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</si>
  <si>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</si>
  <si>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</si>
  <si>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</si>
  <si>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</si>
  <si>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</si>
  <si>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</si>
  <si>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</si>
  <si>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</si>
  <si>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</si>
  <si>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</si>
  <si>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</si>
  <si>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</si>
  <si>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</si>
  <si>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</si>
  <si>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</si>
  <si>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</si>
  <si>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</si>
  <si>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</si>
  <si>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</si>
  <si>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</si>
  <si>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</si>
  <si>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</si>
  <si>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</si>
  <si>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</si>
  <si>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</si>
  <si>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</si>
  <si>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</si>
  <si>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</si>
  <si>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</si>
  <si>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</si>
  <si>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</si>
  <si>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</si>
  <si>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</si>
  <si>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</si>
  <si>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</si>
  <si>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</si>
  <si>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</si>
  <si>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</si>
  <si>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</si>
  <si>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</si>
  <si>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</si>
  <si>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</si>
  <si>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</si>
  <si>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</si>
  <si>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</si>
  <si>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</si>
  <si>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</si>
  <si>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</si>
  <si>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</si>
  <si>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</si>
  <si>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</si>
  <si>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</si>
  <si>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</si>
  <si>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</si>
  <si>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</si>
  <si>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</si>
  <si>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</si>
  <si>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</si>
  <si>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</si>
  <si>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</si>
  <si>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</si>
  <si>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</si>
  <si>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</si>
  <si>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</si>
  <si>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</si>
  <si>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</si>
  <si>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</si>
  <si>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</si>
  <si>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</si>
  <si>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</si>
  <si>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</si>
  <si>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</si>
  <si>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</si>
  <si>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</si>
  <si>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</si>
  <si>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</si>
  <si>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</si>
  <si>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</si>
  <si>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</si>
  <si>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</si>
  <si>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</si>
  <si>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</si>
  <si>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</si>
  <si>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</si>
  <si>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</si>
  <si>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</si>
  <si>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</si>
  <si>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</si>
  <si>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</si>
  <si>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</si>
  <si>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</si>
  <si>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</si>
  <si>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</si>
  <si>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</si>
  <si>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</si>
  <si>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</si>
  <si>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</si>
  <si>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</si>
  <si>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</si>
  <si>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</si>
  <si>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</si>
  <si>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</si>
  <si>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</si>
  <si>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</si>
  <si>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</si>
  <si>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</si>
  <si>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</si>
  <si>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</si>
  <si>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</si>
  <si>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</si>
  <si>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</si>
  <si>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</si>
  <si>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</si>
  <si>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</si>
  <si>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</si>
  <si>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</si>
  <si>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</si>
  <si>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</si>
  <si>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</si>
  <si>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</si>
  <si>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</si>
  <si>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</si>
  <si>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</si>
  <si>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</si>
  <si>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</si>
  <si>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</si>
  <si>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</si>
  <si>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</si>
  <si>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</si>
  <si>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</si>
  <si>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</si>
  <si>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</si>
  <si>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</si>
  <si>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</si>
  <si>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</si>
  <si>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</si>
  <si>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</si>
  <si>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</si>
  <si>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</si>
  <si>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</si>
  <si>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</si>
  <si>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</si>
  <si>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</si>
  <si>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</si>
  <si>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</si>
  <si>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</si>
  <si>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</si>
  <si>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</si>
  <si>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</si>
  <si>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</si>
  <si>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</si>
  <si>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</si>
  <si>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</si>
  <si>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</si>
  <si>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</si>
  <si>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</si>
  <si>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</si>
  <si>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</si>
  <si>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</si>
  <si>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</si>
  <si>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</si>
  <si>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</si>
  <si>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</si>
  <si>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</si>
  <si>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</si>
  <si>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</si>
  <si>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</si>
  <si>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</si>
  <si>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</si>
  <si>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</si>
  <si>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</si>
  <si>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</si>
  <si>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</si>
  <si>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</si>
  <si>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</si>
  <si>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</si>
  <si>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</si>
  <si>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</si>
  <si>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</si>
  <si>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</si>
  <si>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</si>
  <si>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</si>
  <si>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</si>
  <si>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</si>
  <si>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</si>
  <si>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</si>
  <si>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</si>
  <si>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</si>
  <si>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</si>
  <si>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</si>
  <si>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</si>
  <si>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</si>
  <si>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</si>
  <si>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</si>
  <si>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</si>
  <si>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</si>
  <si>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</si>
  <si>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</si>
  <si>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</si>
  <si>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</si>
  <si>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</si>
  <si>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</si>
  <si>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</si>
  <si>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</si>
  <si>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</si>
  <si>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</si>
  <si>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</si>
  <si>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</si>
  <si>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</si>
  <si>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</si>
  <si>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</si>
  <si>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</si>
  <si>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</si>
  <si>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</si>
  <si>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</si>
  <si>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</si>
  <si>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</si>
  <si>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</si>
  <si>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</si>
  <si>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</si>
  <si>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</si>
  <si>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</si>
  <si>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</si>
  <si>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</si>
  <si>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</si>
  <si>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</si>
  <si>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</si>
  <si>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</si>
  <si>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</si>
  <si>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</si>
  <si>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</si>
  <si>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</si>
  <si>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</si>
  <si>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</si>
  <si>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</si>
  <si>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</si>
  <si>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</si>
  <si>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</si>
  <si>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</si>
  <si>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</si>
  <si>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</si>
  <si>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</si>
  <si>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</si>
  <si>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</si>
  <si>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</si>
  <si>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</si>
  <si>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</si>
  <si>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</si>
  <si>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</si>
  <si>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</si>
  <si>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</si>
  <si>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</si>
  <si>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</si>
  <si>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</si>
  <si>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</si>
  <si>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</si>
  <si>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</si>
  <si>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</si>
  <si>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</si>
  <si>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</si>
  <si>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</si>
  <si>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</si>
  <si>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</si>
  <si>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</si>
  <si>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</si>
  <si>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</si>
  <si>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</si>
  <si>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</si>
  <si>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</si>
  <si>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</si>
  <si>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</si>
  <si>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</si>
  <si>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</si>
  <si>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</si>
  <si>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</si>
  <si>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</si>
  <si>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</si>
  <si>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</si>
  <si>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</si>
  <si>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</si>
  <si>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</si>
  <si>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</si>
  <si>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</si>
  <si>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</si>
  <si>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</si>
  <si>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</si>
  <si>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</si>
  <si>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</si>
  <si>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</si>
  <si>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</si>
  <si>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</si>
  <si>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</si>
  <si>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</si>
  <si>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</si>
  <si>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</si>
  <si>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</si>
  <si>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</si>
  <si>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</si>
  <si>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</si>
  <si>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</si>
  <si>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</si>
  <si>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</si>
  <si>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</si>
  <si>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</si>
  <si>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</si>
  <si>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</si>
  <si>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</si>
  <si>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</si>
  <si>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</si>
  <si>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</si>
  <si>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</si>
  <si>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</si>
  <si>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</si>
  <si>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</si>
  <si>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</si>
  <si>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</si>
  <si>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</si>
  <si>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</si>
  <si>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</si>
  <si>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</si>
  <si>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</si>
  <si>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</si>
  <si>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</si>
  <si>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</si>
  <si>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</si>
  <si>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</si>
  <si>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</si>
  <si>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</si>
  <si>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</si>
  <si>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</si>
  <si>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</si>
  <si>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</si>
  <si>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</si>
  <si>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</si>
  <si>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</si>
  <si>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</si>
  <si>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</si>
  <si>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</si>
  <si>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</si>
  <si>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</si>
  <si>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</si>
  <si>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</si>
  <si>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</si>
  <si>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</si>
  <si>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</si>
  <si>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</si>
  <si>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</si>
  <si>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</si>
  <si>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</si>
  <si>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</si>
  <si>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</si>
  <si>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</si>
  <si>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</si>
  <si>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</si>
  <si>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</si>
  <si>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</si>
  <si>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</si>
  <si>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</si>
  <si>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</si>
  <si>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</si>
  <si>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</si>
  <si>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</si>
  <si>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</si>
  <si>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</si>
  <si>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</si>
  <si>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</si>
  <si>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</si>
  <si>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</si>
  <si>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</si>
  <si>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</si>
  <si>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</si>
  <si>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</si>
  <si>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</si>
  <si>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</si>
  <si>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</si>
  <si>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</si>
  <si>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</si>
  <si>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</si>
  <si>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</si>
  <si>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</si>
  <si>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</si>
  <si>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</si>
  <si>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</si>
  <si>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</si>
  <si>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</si>
  <si>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</si>
  <si>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</si>
  <si>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</si>
  <si>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</si>
  <si>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</si>
  <si>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</si>
  <si>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</si>
  <si>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</si>
  <si>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</si>
  <si>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</si>
  <si>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</si>
  <si>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</si>
  <si>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</si>
  <si>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</si>
  <si>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</si>
  <si>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</si>
  <si>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</si>
  <si>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</si>
  <si>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</si>
  <si>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</si>
  <si>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</si>
  <si>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</si>
  <si>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</si>
  <si>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</si>
  <si>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</si>
  <si>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</si>
  <si>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</si>
  <si>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</si>
  <si>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</si>
  <si>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</si>
  <si>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</si>
  <si>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</si>
  <si>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</si>
  <si>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</si>
  <si>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</si>
  <si>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</si>
  <si>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</si>
  <si>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</si>
  <si>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</si>
  <si>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</si>
  <si>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</si>
  <si>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</si>
  <si>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</si>
  <si>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</si>
  <si>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</si>
  <si>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</si>
  <si>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</si>
  <si>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</si>
  <si>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</si>
  <si>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</si>
  <si>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</si>
  <si>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</si>
  <si>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</si>
  <si>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</si>
  <si>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</si>
  <si>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</si>
  <si>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</si>
  <si>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</si>
  <si>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</si>
  <si>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</si>
  <si>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</si>
  <si>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</si>
  <si>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</si>
  <si>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</si>
  <si>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</si>
  <si>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</si>
  <si>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</si>
  <si>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</si>
  <si>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</si>
  <si>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</si>
  <si>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</si>
  <si>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</si>
  <si>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</si>
  <si>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</si>
  <si>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</si>
  <si>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</si>
  <si>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</si>
  <si>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</si>
  <si>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</si>
  <si>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</si>
  <si>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</si>
  <si>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</si>
  <si>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</si>
  <si>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</si>
  <si>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</si>
  <si>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</si>
  <si>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</si>
  <si>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</si>
  <si>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</si>
  <si>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</si>
  <si>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</si>
  <si>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</si>
  <si>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</si>
  <si>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</si>
  <si>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</si>
  <si>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</si>
  <si>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</si>
  <si>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</si>
  <si>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</si>
  <si>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</si>
  <si>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</si>
  <si>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</si>
  <si>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</si>
  <si>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</si>
  <si>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</si>
  <si>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</si>
  <si>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</si>
  <si>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</si>
  <si>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</si>
  <si>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</si>
  <si>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</si>
  <si>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</si>
  <si>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</si>
  <si>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</si>
  <si>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</si>
  <si>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</si>
  <si>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</si>
  <si>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</si>
  <si>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</si>
  <si>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Lincoln Township </t>
  </si>
  <si>
    <t xml:space="preserve">Supplies </t>
  </si>
  <si>
    <t xml:space="preserve">Equipment </t>
  </si>
  <si>
    <t>Buildings Maintenance</t>
  </si>
  <si>
    <t>Cemetary</t>
  </si>
  <si>
    <t xml:space="preserve">Professional Fees </t>
  </si>
  <si>
    <t>Publication</t>
  </si>
  <si>
    <t>FEDLAND</t>
  </si>
  <si>
    <t>John Cooper</t>
  </si>
  <si>
    <t>Treasurer</t>
  </si>
  <si>
    <t>Lincoln Township Hall, 110 Trumble Rd., Burns</t>
  </si>
  <si>
    <t>Fuel</t>
  </si>
  <si>
    <t>Contract Labor</t>
  </si>
  <si>
    <t xml:space="preserve">Equipment/Repairs </t>
  </si>
  <si>
    <t xml:space="preserve">Utilities / Building </t>
  </si>
  <si>
    <t xml:space="preserve">Weed </t>
  </si>
  <si>
    <t>Cemetery</t>
  </si>
  <si>
    <t>NONE</t>
  </si>
  <si>
    <t>6:00 PM</t>
  </si>
  <si>
    <t>John Cooper's Residence at 66 NW 85th, El Dorado</t>
  </si>
  <si>
    <t>RESOLUTION NO. 2013-1</t>
  </si>
  <si>
    <t>Carroll Walters, Trustee</t>
  </si>
  <si>
    <t>John Cooper, Treasurer</t>
  </si>
  <si>
    <t>Barry Black, Clerk</t>
  </si>
  <si>
    <t>August 19, 2013</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</si>
</sst>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amily val="3"/>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Lincoln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426720</xdr:colOff>
      <xdr:row>21</xdr:row>
      <xdr:rowOff>95631</xdr:rowOff>
    </xdr:to>
    <xdr:pic>
      <xdr:nvPicPr>
        <xdr:cNvPr id="2" name="Picture 1" descr="Lincoln proof.tif"/>
        <xdr:cNvPicPr>
          <a:picLocks noChangeAspect="1"/>
        </xdr:cNvPicPr>
      </xdr:nvPicPr>
      <xdr:blipFill>
        <a:blip xmlns:r="http://schemas.openxmlformats.org/officeDocument/2006/relationships" r:embed="rId1" cstate="print"/>
        <a:stretch>
          <a:fillRect/>
        </a:stretch>
      </xdr:blipFill>
      <xdr:spPr>
        <a:xfrm>
          <a:off x="0" y="0"/>
          <a:ext cx="4617720" cy="4296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Lincoln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174</v>
      </c>
    </row>
    <row r="3" spans="1:1" ht="34.5" customHeight="1">
      <c r="A3" s="746" t="s">
        <v>926</v>
      </c>
    </row>
    <row r="4" spans="1:1">
      <c r="A4" s="337"/>
    </row>
    <row r="5" spans="1:1" ht="52.5" customHeight="1">
      <c r="A5" s="334" t="s">
        <v>312</v>
      </c>
    </row>
    <row r="6" spans="1:1">
      <c r="A6" s="334"/>
    </row>
    <row r="7" spans="1:1" ht="34.5" customHeight="1">
      <c r="A7" s="334" t="s">
        <v>841</v>
      </c>
    </row>
    <row r="8" spans="1:1">
      <c r="A8" s="334"/>
    </row>
    <row r="9" spans="1:1">
      <c r="A9" s="334" t="s">
        <v>166</v>
      </c>
    </row>
    <row r="12" spans="1:1">
      <c r="A12" s="335" t="s">
        <v>209</v>
      </c>
    </row>
    <row r="13" spans="1:1">
      <c r="A13" s="335"/>
    </row>
    <row r="14" spans="1:1" ht="18.75" customHeight="1">
      <c r="A14" s="337" t="s">
        <v>211</v>
      </c>
    </row>
    <row r="16" spans="1:1" ht="39" customHeight="1">
      <c r="A16" s="338" t="s">
        <v>343</v>
      </c>
    </row>
    <row r="17" spans="1:1" ht="9.75" customHeight="1">
      <c r="A17" s="338"/>
    </row>
    <row r="20" spans="1:1">
      <c r="A20" s="335" t="s">
        <v>167</v>
      </c>
    </row>
    <row r="22" spans="1:1" ht="34.5" customHeight="1">
      <c r="A22" s="334" t="s">
        <v>212</v>
      </c>
    </row>
    <row r="23" spans="1:1" ht="9.75" customHeight="1">
      <c r="A23" s="334"/>
    </row>
    <row r="24" spans="1:1">
      <c r="A24" s="339" t="s">
        <v>168</v>
      </c>
    </row>
    <row r="25" spans="1:1">
      <c r="A25" s="334"/>
    </row>
    <row r="26" spans="1:1" ht="17.25" customHeight="1">
      <c r="A26" s="340" t="s">
        <v>169</v>
      </c>
    </row>
    <row r="27" spans="1:1" ht="17.25" customHeight="1">
      <c r="A27" s="341"/>
    </row>
    <row r="28" spans="1:1" ht="87.75" customHeight="1">
      <c r="A28" s="342" t="s">
        <v>190</v>
      </c>
    </row>
    <row r="30" spans="1:1">
      <c r="A30" s="343" t="s">
        <v>170</v>
      </c>
    </row>
    <row r="32" spans="1:1">
      <c r="A32" s="121" t="s">
        <v>210</v>
      </c>
    </row>
    <row r="34" spans="1:1">
      <c r="A34" s="334" t="s">
        <v>171</v>
      </c>
    </row>
    <row r="37" spans="1:1">
      <c r="A37" s="335" t="s">
        <v>172</v>
      </c>
    </row>
    <row r="39" spans="1:1" ht="68.25" customHeight="1">
      <c r="A39" s="334" t="s">
        <v>913</v>
      </c>
    </row>
    <row r="40" spans="1:1" ht="32.25" customHeight="1">
      <c r="A40" s="732" t="s">
        <v>842</v>
      </c>
    </row>
    <row r="41" spans="1:1" ht="51.75" customHeight="1">
      <c r="A41" s="733" t="s">
        <v>843</v>
      </c>
    </row>
    <row r="42" spans="1:1" ht="88.5" customHeight="1">
      <c r="A42" s="733" t="s">
        <v>845</v>
      </c>
    </row>
    <row r="43" spans="1:1" ht="10.5" customHeight="1">
      <c r="A43" s="334"/>
    </row>
    <row r="44" spans="1:1" ht="65.25" customHeight="1">
      <c r="A44" s="334" t="s">
        <v>709</v>
      </c>
    </row>
    <row r="45" spans="1:1" ht="59.25" customHeight="1">
      <c r="A45" s="334" t="s">
        <v>173</v>
      </c>
    </row>
    <row r="46" spans="1:1" ht="84.75" customHeight="1">
      <c r="A46" s="334" t="s">
        <v>249</v>
      </c>
    </row>
    <row r="47" spans="1:1" ht="12" customHeight="1">
      <c r="A47" s="334"/>
    </row>
    <row r="48" spans="1:1" ht="67.5" customHeight="1">
      <c r="A48" s="734" t="s">
        <v>846</v>
      </c>
    </row>
    <row r="49" spans="1:1" ht="69.95" customHeight="1">
      <c r="A49" s="365" t="s">
        <v>581</v>
      </c>
    </row>
    <row r="50" spans="1:1" ht="54" customHeight="1">
      <c r="A50" s="735" t="s">
        <v>847</v>
      </c>
    </row>
    <row r="51" spans="1:1" ht="12" customHeight="1">
      <c r="A51" s="334"/>
    </row>
    <row r="52" spans="1:1" ht="68.25" customHeight="1">
      <c r="A52" s="334" t="s">
        <v>582</v>
      </c>
    </row>
    <row r="53" spans="1:1" ht="74.25" customHeight="1">
      <c r="A53" s="334" t="s">
        <v>583</v>
      </c>
    </row>
    <row r="54" spans="1:1" ht="45" customHeight="1">
      <c r="A54" s="334" t="s">
        <v>848</v>
      </c>
    </row>
    <row r="55" spans="1:1" ht="72" customHeight="1">
      <c r="A55" s="732" t="s">
        <v>849</v>
      </c>
    </row>
    <row r="56" spans="1:1" ht="15.75" customHeight="1"/>
    <row r="57" spans="1:1" ht="80.25" customHeight="1">
      <c r="A57" s="334" t="s">
        <v>584</v>
      </c>
    </row>
    <row r="58" spans="1:1" ht="40.5" customHeight="1">
      <c r="A58" s="334" t="s">
        <v>585</v>
      </c>
    </row>
    <row r="59" spans="1:1" ht="45" customHeight="1">
      <c r="A59" s="334" t="s">
        <v>586</v>
      </c>
    </row>
    <row r="60" spans="1:1">
      <c r="A60" s="334"/>
    </row>
    <row r="61" spans="1:1" ht="68.25" customHeight="1">
      <c r="A61" s="732" t="s">
        <v>850</v>
      </c>
    </row>
    <row r="62" spans="1:1">
      <c r="A62" s="334"/>
    </row>
    <row r="63" spans="1:1" ht="40.5" customHeight="1">
      <c r="A63" s="334" t="s">
        <v>587</v>
      </c>
    </row>
    <row r="64" spans="1:1" ht="34.5" customHeight="1">
      <c r="A64" s="334" t="s">
        <v>595</v>
      </c>
    </row>
    <row r="65" spans="1:1" ht="77.25" customHeight="1">
      <c r="A65" s="334" t="s">
        <v>596</v>
      </c>
    </row>
    <row r="66" spans="1:1" ht="41.25" customHeight="1">
      <c r="A66" s="334" t="s">
        <v>593</v>
      </c>
    </row>
    <row r="67" spans="1:1" ht="41.25" customHeight="1">
      <c r="A67" s="334" t="s">
        <v>594</v>
      </c>
    </row>
    <row r="68" spans="1:1" ht="9" customHeight="1">
      <c r="A68" s="334"/>
    </row>
    <row r="69" spans="1:1" ht="58.5" customHeight="1">
      <c r="A69" s="334" t="s">
        <v>588</v>
      </c>
    </row>
    <row r="70" spans="1:1" ht="9.75" customHeight="1"/>
    <row r="71" spans="1:1" s="334" customFormat="1" ht="69" customHeight="1">
      <c r="A71" s="334" t="s">
        <v>589</v>
      </c>
    </row>
    <row r="72" spans="1:1" ht="14.25" customHeight="1"/>
    <row r="73" spans="1:1" ht="121.5" customHeight="1">
      <c r="A73" s="732" t="s">
        <v>851</v>
      </c>
    </row>
    <row r="74" spans="1:1" ht="12" customHeight="1">
      <c r="A74" s="732"/>
    </row>
    <row r="75" spans="1:1" ht="70.5" customHeight="1">
      <c r="A75" s="334" t="s">
        <v>852</v>
      </c>
    </row>
    <row r="76" spans="1:1" ht="60.75" customHeight="1">
      <c r="A76" s="732" t="s">
        <v>853</v>
      </c>
    </row>
    <row r="77" spans="1:1" ht="90.75" customHeight="1">
      <c r="A77" s="533" t="s">
        <v>854</v>
      </c>
    </row>
    <row r="78" spans="1:1" ht="60.75" customHeight="1">
      <c r="A78" s="533" t="s">
        <v>855</v>
      </c>
    </row>
    <row r="79" spans="1:1" ht="60.75" customHeight="1">
      <c r="A79" s="533" t="s">
        <v>856</v>
      </c>
    </row>
    <row r="80" spans="1:1" ht="60" customHeight="1">
      <c r="A80" s="334" t="s">
        <v>859</v>
      </c>
    </row>
    <row r="81" spans="1:1" ht="117.75" customHeight="1">
      <c r="A81" s="334" t="s">
        <v>857</v>
      </c>
    </row>
    <row r="82" spans="1:1" ht="59.25" customHeight="1">
      <c r="A82" s="334" t="s">
        <v>858</v>
      </c>
    </row>
    <row r="83" spans="1:1" ht="84.75" customHeight="1">
      <c r="A83" s="334" t="s">
        <v>860</v>
      </c>
    </row>
    <row r="84" spans="1:1" ht="102.75" customHeight="1">
      <c r="A84" s="334" t="s">
        <v>861</v>
      </c>
    </row>
    <row r="85" spans="1:1" ht="102.75" customHeight="1">
      <c r="A85" s="344" t="s">
        <v>862</v>
      </c>
    </row>
    <row r="86" spans="1:1" ht="54" customHeight="1">
      <c r="A86" s="336" t="s">
        <v>863</v>
      </c>
    </row>
    <row r="87" spans="1:1" ht="115.5" customHeight="1">
      <c r="A87" s="334" t="s">
        <v>914</v>
      </c>
    </row>
    <row r="88" spans="1:1" ht="78" customHeight="1">
      <c r="A88" s="344" t="s">
        <v>864</v>
      </c>
    </row>
    <row r="89" spans="1:1" ht="124.5" customHeight="1">
      <c r="A89" s="344" t="s">
        <v>915</v>
      </c>
    </row>
    <row r="90" spans="1:1" ht="138" customHeight="1">
      <c r="A90" s="334" t="s">
        <v>865</v>
      </c>
    </row>
    <row r="91" spans="1:1" ht="147" customHeight="1">
      <c r="A91" s="334" t="s">
        <v>866</v>
      </c>
    </row>
    <row r="92" spans="1:1" ht="101.25" customHeight="1">
      <c r="A92" s="334" t="s">
        <v>867</v>
      </c>
    </row>
    <row r="94" spans="1:1" ht="102.75" customHeight="1">
      <c r="A94" s="334" t="s">
        <v>868</v>
      </c>
    </row>
    <row r="95" spans="1:1" ht="89.25" customHeight="1">
      <c r="A95" s="344" t="s">
        <v>869</v>
      </c>
    </row>
    <row r="96" spans="1:1" ht="57" customHeight="1">
      <c r="A96" s="344" t="s">
        <v>870</v>
      </c>
    </row>
    <row r="97" spans="1:1" ht="20.25" customHeight="1">
      <c r="A97" s="334" t="s">
        <v>871</v>
      </c>
    </row>
    <row r="99" spans="1:1" ht="53.25" customHeight="1">
      <c r="A99" s="334" t="s">
        <v>872</v>
      </c>
    </row>
    <row r="100" spans="1:1" ht="21" customHeight="1">
      <c r="A100" s="334" t="s">
        <v>873</v>
      </c>
    </row>
    <row r="101" spans="1:1" ht="39.75" customHeight="1">
      <c r="A101" s="533" t="s">
        <v>874</v>
      </c>
    </row>
    <row r="102" spans="1:1" ht="103.5" customHeight="1">
      <c r="A102" s="533" t="s">
        <v>875</v>
      </c>
    </row>
    <row r="103" spans="1:1" ht="114" customHeight="1">
      <c r="A103" s="533" t="s">
        <v>876</v>
      </c>
    </row>
    <row r="104" spans="1:1" ht="74.25" customHeight="1">
      <c r="A104" s="736" t="s">
        <v>878</v>
      </c>
    </row>
    <row r="105" spans="1:1" ht="51.75" customHeight="1">
      <c r="A105" s="334" t="s">
        <v>877</v>
      </c>
    </row>
    <row r="106" spans="1:1" ht="14.25" customHeight="1"/>
    <row r="107" spans="1:1" ht="69.75" customHeight="1">
      <c r="A107" s="334" t="s">
        <v>879</v>
      </c>
    </row>
    <row r="109" spans="1:1" ht="54" customHeight="1">
      <c r="A109" s="533" t="s">
        <v>880</v>
      </c>
    </row>
    <row r="110" spans="1:1" ht="85.5" customHeight="1">
      <c r="A110" s="533" t="s">
        <v>881</v>
      </c>
    </row>
    <row r="111" spans="1:1" ht="99" customHeight="1">
      <c r="A111" s="533" t="s">
        <v>882</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305</v>
      </c>
    </row>
    <row r="2" spans="1:1">
      <c r="A2" s="80"/>
    </row>
    <row r="3" spans="1:1" ht="51" customHeight="1">
      <c r="A3" s="392" t="s">
        <v>698</v>
      </c>
    </row>
    <row r="4" spans="1:1" ht="17.25" customHeight="1">
      <c r="A4" s="392"/>
    </row>
    <row r="5" spans="1:1">
      <c r="A5" s="80"/>
    </row>
    <row r="6" spans="1:1" ht="52.5" customHeight="1">
      <c r="A6" s="164" t="s">
        <v>346</v>
      </c>
    </row>
    <row r="7" spans="1:1">
      <c r="A7" s="80"/>
    </row>
    <row r="8" spans="1:1">
      <c r="A8" s="80"/>
    </row>
    <row r="9" spans="1:1" ht="70.5" customHeight="1">
      <c r="A9" s="164" t="s">
        <v>347</v>
      </c>
    </row>
    <row r="10" spans="1:1">
      <c r="A10" s="165"/>
    </row>
    <row r="11" spans="1:1">
      <c r="A11" s="165"/>
    </row>
    <row r="12" spans="1:1" ht="63">
      <c r="A12" s="481" t="s">
        <v>699</v>
      </c>
    </row>
    <row r="13" spans="1:1">
      <c r="A13" s="165"/>
    </row>
    <row r="14" spans="1:1">
      <c r="A14" s="165"/>
    </row>
    <row r="15" spans="1:1" ht="63">
      <c r="A15" s="481" t="s">
        <v>700</v>
      </c>
    </row>
    <row r="16" spans="1:1">
      <c r="A16" s="165"/>
    </row>
    <row r="17" spans="1:1">
      <c r="A17" s="80"/>
    </row>
    <row r="18" spans="1:1" ht="56.25" customHeight="1">
      <c r="A18" s="164" t="s">
        <v>348</v>
      </c>
    </row>
    <row r="19" spans="1:1">
      <c r="A19" s="165"/>
    </row>
    <row r="20" spans="1:1">
      <c r="A20" s="165"/>
    </row>
    <row r="21" spans="1:1" ht="87.75" customHeight="1">
      <c r="A21" s="164" t="s">
        <v>349</v>
      </c>
    </row>
    <row r="22" spans="1:1">
      <c r="A22" s="165"/>
    </row>
    <row r="23" spans="1:1">
      <c r="A23" s="80"/>
    </row>
    <row r="24" spans="1:1" ht="54.75" customHeight="1">
      <c r="A24" s="164" t="s">
        <v>350</v>
      </c>
    </row>
    <row r="25" spans="1:1">
      <c r="A25" s="80"/>
    </row>
    <row r="26" spans="1:1" ht="15.75" customHeight="1">
      <c r="A26" s="80"/>
    </row>
    <row r="27" spans="1:1" ht="69" customHeight="1">
      <c r="A27" s="164" t="s">
        <v>351</v>
      </c>
    </row>
    <row r="28" spans="1:1" ht="15.75" customHeight="1">
      <c r="A28" s="164"/>
    </row>
    <row r="29" spans="1:1" ht="15.75" customHeight="1">
      <c r="A29" s="164"/>
    </row>
    <row r="30" spans="1:1" ht="87" customHeight="1">
      <c r="A30" s="164" t="s">
        <v>753</v>
      </c>
    </row>
    <row r="31" spans="1:1">
      <c r="A31" s="80"/>
    </row>
    <row r="32" spans="1:1">
      <c r="A32" s="209"/>
    </row>
    <row r="33" spans="1:1" ht="47.25" customHeight="1">
      <c r="A33" s="210" t="s">
        <v>352</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24" sqref="B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 xml:space="preserve">Lincoln Township </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818</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118</v>
      </c>
      <c r="G6" s="175" t="s">
        <v>56</v>
      </c>
      <c r="H6" s="176"/>
      <c r="I6" s="175">
        <f>L1-1</f>
        <v>2013</v>
      </c>
      <c r="J6" s="176"/>
      <c r="K6" s="175">
        <f>L1</f>
        <v>2014</v>
      </c>
      <c r="L6" s="176"/>
    </row>
    <row r="7" spans="2:12">
      <c r="B7" s="177" t="s">
        <v>819</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955</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142</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143</v>
      </c>
      <c r="C15" s="189"/>
      <c r="D15" s="190"/>
      <c r="E15" s="32"/>
      <c r="F15" s="158">
        <f>SUM(F13:F14)</f>
        <v>0</v>
      </c>
      <c r="G15" s="191"/>
      <c r="H15" s="191"/>
      <c r="I15" s="158">
        <f>SUM(I13:I14)</f>
        <v>0</v>
      </c>
      <c r="J15" s="158">
        <f>SUM(J13:J14)</f>
        <v>0</v>
      </c>
      <c r="K15" s="158">
        <f>SUM(K13:K14)</f>
        <v>0</v>
      </c>
      <c r="L15" s="158">
        <f>SUM(L13:L14)</f>
        <v>0</v>
      </c>
    </row>
    <row r="16" spans="2:12">
      <c r="B16" s="192" t="s">
        <v>820</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263</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821</v>
      </c>
      <c r="C22" s="174" t="s">
        <v>63</v>
      </c>
      <c r="D22" s="174" t="s">
        <v>64</v>
      </c>
      <c r="E22" s="174" t="s">
        <v>3</v>
      </c>
      <c r="F22" s="174" t="s">
        <v>65</v>
      </c>
      <c r="G22" s="174" t="s">
        <v>102</v>
      </c>
      <c r="H22" s="174" t="s">
        <v>66</v>
      </c>
      <c r="I22" s="174" t="s">
        <v>66</v>
      </c>
      <c r="J22" s="196"/>
      <c r="K22" s="196"/>
      <c r="L22" s="196"/>
    </row>
    <row r="23" spans="2:25" s="197" customFormat="1">
      <c r="B23" s="177" t="s">
        <v>822</v>
      </c>
      <c r="C23" s="177" t="s">
        <v>53</v>
      </c>
      <c r="D23" s="203" t="s">
        <v>67</v>
      </c>
      <c r="E23" s="177" t="s">
        <v>29</v>
      </c>
      <c r="F23" s="203" t="s">
        <v>119</v>
      </c>
      <c r="G23" s="178" t="str">
        <f>CONCATENATE("Jan 1,",L1-1,"")</f>
        <v>Jan 1,2013</v>
      </c>
      <c r="H23" s="177">
        <f>L1-1</f>
        <v>2013</v>
      </c>
      <c r="I23" s="177">
        <f>L1</f>
        <v>2014</v>
      </c>
      <c r="J23" s="196"/>
      <c r="K23" s="196"/>
      <c r="L23" s="196"/>
    </row>
    <row r="24" spans="2:25" s="197" customFormat="1">
      <c r="B24" s="184" t="s">
        <v>955</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263</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233</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757</v>
      </c>
      <c r="C2" s="796"/>
      <c r="D2" s="796"/>
      <c r="E2" s="796"/>
      <c r="F2" s="796"/>
      <c r="G2" s="796"/>
      <c r="H2" s="796"/>
      <c r="I2" s="796"/>
    </row>
    <row r="3" spans="2:9" ht="15.75">
      <c r="B3" s="796" t="s">
        <v>758</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 xml:space="preserve">Library found in: Lincoln Township </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759</v>
      </c>
      <c r="C10" s="798"/>
      <c r="D10" s="798"/>
      <c r="E10" s="798"/>
      <c r="F10" s="798"/>
      <c r="G10" s="798"/>
      <c r="H10" s="798"/>
      <c r="I10" s="798"/>
    </row>
    <row r="11" spans="2:9" ht="15.75">
      <c r="B11" s="556"/>
      <c r="C11" s="556"/>
      <c r="D11" s="556"/>
      <c r="E11" s="556"/>
      <c r="F11" s="556"/>
      <c r="G11" s="556"/>
      <c r="H11" s="556"/>
      <c r="I11" s="556"/>
    </row>
    <row r="12" spans="2:9" ht="15.75">
      <c r="B12" s="558" t="s">
        <v>760</v>
      </c>
      <c r="C12" s="556"/>
      <c r="D12" s="556"/>
      <c r="E12" s="556"/>
      <c r="F12" s="556"/>
      <c r="G12" s="556"/>
      <c r="H12" s="556"/>
      <c r="I12" s="556"/>
    </row>
    <row r="13" spans="2:9" ht="15.75">
      <c r="B13" s="556"/>
      <c r="C13" s="556"/>
      <c r="D13" s="556"/>
      <c r="E13" s="559" t="s">
        <v>12</v>
      </c>
      <c r="F13" s="556"/>
      <c r="G13" s="559" t="s">
        <v>761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149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762</v>
      </c>
      <c r="C22" s="556"/>
      <c r="D22" s="556"/>
      <c r="E22" s="562">
        <f>SUM(E15:E21)</f>
        <v>0</v>
      </c>
      <c r="F22" s="556"/>
      <c r="G22" s="562">
        <f>SUM(G15:G21)</f>
        <v>0</v>
      </c>
      <c r="H22" s="556"/>
      <c r="I22" s="556"/>
    </row>
    <row r="23" spans="2:9" ht="15.75">
      <c r="B23" s="556" t="s">
        <v>763</v>
      </c>
      <c r="C23" s="556"/>
      <c r="D23" s="556"/>
      <c r="E23" s="563">
        <f>G22-E22</f>
        <v>0</v>
      </c>
      <c r="F23" s="556"/>
      <c r="G23" s="564"/>
      <c r="H23" s="556"/>
      <c r="I23" s="556"/>
    </row>
    <row r="24" spans="2:9" ht="15.75">
      <c r="B24" s="556" t="s">
        <v>764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765</v>
      </c>
      <c r="C26" s="556"/>
      <c r="D26" s="556"/>
      <c r="E26" s="556"/>
      <c r="F26" s="556"/>
      <c r="G26" s="556"/>
      <c r="H26" s="556"/>
      <c r="I26" s="556"/>
    </row>
    <row r="27" spans="2:9" ht="15.75">
      <c r="B27" s="556" t="s">
        <v>766</v>
      </c>
      <c r="C27" s="556"/>
      <c r="D27" s="556"/>
      <c r="E27" s="561">
        <f>summ!E37</f>
        <v>6947757</v>
      </c>
      <c r="F27" s="556"/>
      <c r="G27" s="561">
        <f>summ!G37</f>
        <v>7323618</v>
      </c>
      <c r="H27" s="556"/>
      <c r="I27" s="556"/>
    </row>
    <row r="28" spans="2:9" ht="15.75">
      <c r="B28" s="556" t="s">
        <v>767</v>
      </c>
      <c r="C28" s="556"/>
      <c r="D28" s="556"/>
      <c r="E28" s="566" t="str">
        <f>IF(G27-E27&gt;=0,"No","Yes")</f>
        <v>No</v>
      </c>
      <c r="F28" s="556"/>
      <c r="G28" s="556"/>
      <c r="H28" s="556"/>
      <c r="I28" s="556"/>
    </row>
    <row r="29" spans="2:9" ht="15.75">
      <c r="B29" s="556" t="s">
        <v>768</v>
      </c>
      <c r="C29" s="556"/>
      <c r="D29" s="556"/>
      <c r="E29" s="567" t="str">
        <f>summ!F20</f>
        <v xml:space="preserve">  </v>
      </c>
      <c r="F29" s="556"/>
      <c r="G29" s="567" t="str">
        <f>summ!I20</f>
        <v xml:space="preserve"> </v>
      </c>
      <c r="H29" s="556"/>
      <c r="I29" s="556"/>
    </row>
    <row r="30" spans="2:9" ht="15.75">
      <c r="B30" s="556" t="s">
        <v>769</v>
      </c>
      <c r="C30" s="556"/>
      <c r="D30" s="556"/>
      <c r="E30" s="568" t="e">
        <f>G29-E29</f>
        <v>#VALUE!</v>
      </c>
      <c r="F30" s="556"/>
      <c r="G30" s="556"/>
      <c r="H30" s="556"/>
      <c r="I30" s="556"/>
    </row>
    <row r="31" spans="2:9" ht="15.75">
      <c r="B31" s="556" t="s">
        <v>764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771</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773</v>
      </c>
      <c r="C43" s="795"/>
      <c r="D43" s="795"/>
      <c r="E43" s="795"/>
      <c r="F43" s="795"/>
      <c r="G43" s="795"/>
      <c r="H43" s="795"/>
      <c r="I43" s="795"/>
    </row>
    <row r="44" spans="2:9" ht="15.75">
      <c r="B44" s="556"/>
      <c r="C44" s="556"/>
      <c r="D44" s="556"/>
      <c r="E44" s="556"/>
      <c r="F44" s="556"/>
      <c r="G44" s="556"/>
      <c r="H44" s="556"/>
      <c r="I44" s="556"/>
    </row>
    <row r="45" spans="2:9" ht="15.75">
      <c r="B45" s="573" t="s">
        <v>774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775</v>
      </c>
      <c r="C49" s="573"/>
      <c r="D49" s="574"/>
      <c r="E49" s="574"/>
      <c r="F49" s="574"/>
      <c r="G49" s="574"/>
      <c r="H49" s="574"/>
      <c r="I49" s="574"/>
    </row>
    <row r="50" spans="2:9" ht="15.75">
      <c r="B50" s="573" t="s">
        <v>776</v>
      </c>
      <c r="C50" s="573"/>
      <c r="D50" s="574"/>
      <c r="E50" s="574"/>
      <c r="F50" s="574"/>
      <c r="G50" s="574"/>
      <c r="H50" s="574"/>
      <c r="I50" s="574"/>
    </row>
    <row r="51" spans="2:9" ht="15.75">
      <c r="B51" s="573" t="s">
        <v>777</v>
      </c>
      <c r="C51" s="573"/>
      <c r="D51" s="574"/>
      <c r="E51" s="574"/>
      <c r="F51" s="574"/>
      <c r="G51" s="574"/>
      <c r="H51" s="574"/>
      <c r="I51" s="574"/>
    </row>
    <row r="52" spans="2:9">
      <c r="B52" s="574"/>
      <c r="C52" s="574"/>
      <c r="D52" s="574"/>
      <c r="E52" s="574"/>
      <c r="F52" s="574"/>
      <c r="G52" s="574"/>
      <c r="H52" s="574"/>
      <c r="I52" s="574"/>
    </row>
    <row r="53" spans="2:9" ht="15.75">
      <c r="B53" s="575" t="s">
        <v>778</v>
      </c>
      <c r="C53" s="574"/>
      <c r="D53" s="574"/>
      <c r="E53" s="574"/>
      <c r="F53" s="574"/>
      <c r="G53" s="574"/>
      <c r="H53" s="574"/>
      <c r="I53" s="574"/>
    </row>
    <row r="54" spans="2:9">
      <c r="B54" s="574"/>
      <c r="C54" s="574"/>
      <c r="D54" s="574"/>
      <c r="E54" s="574"/>
      <c r="F54" s="574"/>
      <c r="G54" s="574"/>
      <c r="H54" s="574"/>
      <c r="I54" s="574"/>
    </row>
    <row r="55" spans="2:9" ht="15.75">
      <c r="B55" s="573" t="s">
        <v>779</v>
      </c>
      <c r="C55" s="574"/>
      <c r="D55" s="574"/>
      <c r="E55" s="574"/>
      <c r="F55" s="574"/>
      <c r="G55" s="574"/>
      <c r="H55" s="574"/>
      <c r="I55" s="574"/>
    </row>
    <row r="56" spans="2:9" ht="15.75">
      <c r="B56" s="573" t="s">
        <v>780</v>
      </c>
      <c r="C56" s="574"/>
      <c r="D56" s="574"/>
      <c r="E56" s="574"/>
      <c r="F56" s="574"/>
      <c r="G56" s="574"/>
      <c r="H56" s="574"/>
      <c r="I56" s="574"/>
    </row>
    <row r="57" spans="2:9">
      <c r="B57" s="574"/>
      <c r="C57" s="574"/>
      <c r="D57" s="574"/>
      <c r="E57" s="574"/>
      <c r="F57" s="574"/>
      <c r="G57" s="574"/>
      <c r="H57" s="574"/>
      <c r="I57" s="574"/>
    </row>
    <row r="58" spans="2:9" ht="15.75">
      <c r="B58" s="575" t="s">
        <v>781</v>
      </c>
      <c r="C58" s="573"/>
      <c r="D58" s="573"/>
      <c r="E58" s="573"/>
      <c r="F58" s="573"/>
      <c r="G58" s="574"/>
      <c r="H58" s="574"/>
      <c r="I58" s="574"/>
    </row>
    <row r="59" spans="2:9" ht="15.75">
      <c r="B59" s="573"/>
      <c r="C59" s="573"/>
      <c r="D59" s="573"/>
      <c r="E59" s="573"/>
      <c r="F59" s="573"/>
      <c r="G59" s="574"/>
      <c r="H59" s="574"/>
      <c r="I59" s="574"/>
    </row>
    <row r="60" spans="2:9" ht="15.75">
      <c r="B60" s="573" t="s">
        <v>782</v>
      </c>
      <c r="C60" s="573"/>
      <c r="D60" s="573"/>
      <c r="E60" s="573"/>
      <c r="F60" s="573"/>
      <c r="G60" s="574"/>
      <c r="H60" s="574"/>
      <c r="I60" s="574"/>
    </row>
    <row r="61" spans="2:9" ht="15.75">
      <c r="B61" s="573" t="s">
        <v>783</v>
      </c>
      <c r="C61" s="573"/>
      <c r="D61" s="573"/>
      <c r="E61" s="573"/>
      <c r="F61" s="573"/>
      <c r="G61" s="574"/>
      <c r="H61" s="574"/>
      <c r="I61" s="574"/>
    </row>
    <row r="62" spans="2:9" ht="15.75">
      <c r="B62" s="573" t="s">
        <v>784</v>
      </c>
      <c r="C62" s="573"/>
      <c r="D62" s="573"/>
      <c r="E62" s="573"/>
      <c r="F62" s="573"/>
      <c r="G62" s="574"/>
      <c r="H62" s="574"/>
      <c r="I62" s="574"/>
    </row>
    <row r="63" spans="2:9" ht="15.75">
      <c r="B63" s="573" t="s">
        <v>785</v>
      </c>
      <c r="C63" s="573"/>
      <c r="D63" s="573"/>
      <c r="E63" s="573"/>
      <c r="F63" s="573"/>
      <c r="G63" s="574"/>
      <c r="H63" s="574"/>
      <c r="I63" s="574"/>
    </row>
    <row r="64" spans="2:9">
      <c r="B64" s="576"/>
      <c r="C64" s="576"/>
      <c r="D64" s="576"/>
      <c r="E64" s="576"/>
      <c r="F64" s="576"/>
      <c r="G64" s="574"/>
      <c r="H64" s="574"/>
      <c r="I64" s="574"/>
    </row>
    <row r="65" spans="2:9" ht="15.75">
      <c r="B65" s="573" t="s">
        <v>786</v>
      </c>
      <c r="C65" s="576"/>
      <c r="D65" s="576"/>
      <c r="E65" s="576"/>
      <c r="F65" s="576"/>
      <c r="G65" s="574"/>
      <c r="H65" s="574"/>
      <c r="I65" s="574"/>
    </row>
    <row r="66" spans="2:9" ht="15.75">
      <c r="B66" s="573" t="s">
        <v>787</v>
      </c>
      <c r="C66" s="576"/>
      <c r="D66" s="576"/>
      <c r="E66" s="576"/>
      <c r="F66" s="576"/>
      <c r="G66" s="574"/>
      <c r="H66" s="574"/>
      <c r="I66" s="574"/>
    </row>
    <row r="67" spans="2:9">
      <c r="B67" s="576"/>
      <c r="C67" s="576"/>
      <c r="D67" s="576"/>
      <c r="E67" s="576"/>
      <c r="F67" s="576"/>
      <c r="G67" s="574"/>
      <c r="H67" s="574"/>
      <c r="I67" s="574"/>
    </row>
    <row r="68" spans="2:9" ht="15.75">
      <c r="B68" s="573" t="s">
        <v>788</v>
      </c>
      <c r="C68" s="576"/>
      <c r="D68" s="576"/>
      <c r="E68" s="576"/>
      <c r="F68" s="576"/>
      <c r="G68" s="574"/>
      <c r="H68" s="574"/>
      <c r="I68" s="574"/>
    </row>
    <row r="69" spans="2:9" ht="15.75">
      <c r="B69" s="573" t="s">
        <v>789</v>
      </c>
      <c r="C69" s="576"/>
      <c r="D69" s="576"/>
      <c r="E69" s="576"/>
      <c r="F69" s="576"/>
      <c r="G69" s="574"/>
      <c r="H69" s="574"/>
      <c r="I69" s="574"/>
    </row>
    <row r="70" spans="2:9">
      <c r="B70" s="576"/>
      <c r="C70" s="576"/>
      <c r="D70" s="576"/>
      <c r="E70" s="576"/>
      <c r="F70" s="576"/>
      <c r="G70" s="574"/>
      <c r="H70" s="574"/>
      <c r="I70" s="574"/>
    </row>
    <row r="71" spans="2:9" ht="15.75">
      <c r="B71" s="575" t="s">
        <v>790</v>
      </c>
      <c r="C71" s="576"/>
      <c r="D71" s="576"/>
      <c r="E71" s="576"/>
      <c r="F71" s="576"/>
      <c r="G71" s="574"/>
      <c r="H71" s="574"/>
      <c r="I71" s="574"/>
    </row>
    <row r="72" spans="2:9">
      <c r="B72" s="576"/>
      <c r="C72" s="576"/>
      <c r="D72" s="576"/>
      <c r="E72" s="576"/>
      <c r="F72" s="576"/>
      <c r="G72" s="574"/>
      <c r="H72" s="574"/>
      <c r="I72" s="574"/>
    </row>
    <row r="73" spans="2:9" ht="15.75">
      <c r="B73" s="573" t="s">
        <v>791</v>
      </c>
      <c r="C73" s="576"/>
      <c r="D73" s="576"/>
      <c r="E73" s="576"/>
      <c r="F73" s="576"/>
      <c r="G73" s="574"/>
      <c r="H73" s="574"/>
      <c r="I73" s="574"/>
    </row>
    <row r="74" spans="2:9" ht="15.75">
      <c r="B74" s="573" t="s">
        <v>792</v>
      </c>
      <c r="C74" s="576"/>
      <c r="D74" s="576"/>
      <c r="E74" s="576"/>
      <c r="F74" s="576"/>
      <c r="G74" s="574"/>
      <c r="H74" s="574"/>
      <c r="I74" s="574"/>
    </row>
    <row r="75" spans="2:9">
      <c r="B75" s="576"/>
      <c r="C75" s="576"/>
      <c r="D75" s="576"/>
      <c r="E75" s="576"/>
      <c r="F75" s="576"/>
      <c r="G75" s="574"/>
      <c r="H75" s="574"/>
      <c r="I75" s="574"/>
    </row>
    <row r="76" spans="2:9" ht="15.75">
      <c r="B76" s="575" t="s">
        <v>793</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794</v>
      </c>
      <c r="C79" s="576"/>
      <c r="D79" s="576"/>
      <c r="E79" s="576"/>
      <c r="F79" s="576"/>
      <c r="G79" s="574"/>
      <c r="H79" s="574"/>
      <c r="I79" s="574"/>
    </row>
    <row r="80" spans="2:9">
      <c r="B80" s="576"/>
      <c r="C80" s="576"/>
      <c r="D80" s="576"/>
      <c r="E80" s="576"/>
      <c r="F80" s="576"/>
      <c r="G80" s="574"/>
      <c r="H80" s="574"/>
      <c r="I80" s="574"/>
    </row>
    <row r="81" spans="2:9" ht="15.75">
      <c r="B81" s="575" t="s">
        <v>379</v>
      </c>
      <c r="C81" s="576"/>
      <c r="D81" s="576"/>
      <c r="E81" s="576"/>
      <c r="F81" s="576"/>
      <c r="G81" s="574"/>
      <c r="H81" s="574"/>
      <c r="I81" s="574"/>
    </row>
    <row r="82" spans="2:9">
      <c r="B82" s="576"/>
      <c r="C82" s="576"/>
      <c r="D82" s="576"/>
      <c r="E82" s="576"/>
      <c r="F82" s="576"/>
      <c r="G82" s="574"/>
      <c r="H82" s="574"/>
      <c r="I82" s="574"/>
    </row>
    <row r="83" spans="2:9" ht="15.75">
      <c r="B83" s="573" t="s">
        <v>795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796</v>
      </c>
      <c r="C86" s="576"/>
      <c r="D86" s="576"/>
      <c r="E86" s="576"/>
      <c r="F86" s="576"/>
      <c r="G86" s="574"/>
      <c r="H86" s="574"/>
      <c r="I86" s="574"/>
    </row>
    <row r="87" spans="2:9" ht="15.75">
      <c r="B87" s="573" t="s">
        <v>797</v>
      </c>
      <c r="C87" s="576"/>
      <c r="D87" s="576"/>
      <c r="E87" s="576"/>
      <c r="F87" s="576"/>
      <c r="G87" s="574"/>
      <c r="H87" s="574"/>
      <c r="I87" s="574"/>
    </row>
    <row r="88" spans="2:9" ht="15.75">
      <c r="B88" s="573" t="s">
        <v>798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799</v>
      </c>
      <c r="C92" s="576"/>
      <c r="D92" s="576"/>
      <c r="E92" s="576"/>
      <c r="F92" s="576"/>
      <c r="G92" s="574"/>
      <c r="H92" s="574"/>
      <c r="I92" s="574"/>
    </row>
    <row r="93" spans="2:9" ht="15.75">
      <c r="B93" s="573" t="s">
        <v>800</v>
      </c>
      <c r="C93" s="576"/>
      <c r="D93" s="576"/>
      <c r="E93" s="576"/>
      <c r="F93" s="576"/>
      <c r="G93" s="574"/>
      <c r="H93" s="574"/>
      <c r="I93" s="574"/>
    </row>
    <row r="94" spans="2:9" ht="15.75">
      <c r="B94" s="573" t="s">
        <v>801</v>
      </c>
      <c r="C94" s="576"/>
      <c r="D94" s="576"/>
      <c r="E94" s="576"/>
      <c r="F94" s="576"/>
      <c r="G94" s="574"/>
      <c r="H94" s="574"/>
      <c r="I94" s="574"/>
    </row>
    <row r="95" spans="2:9">
      <c r="B95" s="576"/>
      <c r="C95" s="576"/>
      <c r="D95" s="576"/>
      <c r="E95" s="576"/>
      <c r="F95" s="576"/>
      <c r="G95" s="574"/>
      <c r="H95" s="574"/>
      <c r="I95" s="574"/>
    </row>
    <row r="96" spans="2:9" ht="15.75">
      <c r="B96" s="575" t="s">
        <v>802</v>
      </c>
      <c r="C96" s="576"/>
      <c r="D96" s="576"/>
      <c r="E96" s="576"/>
      <c r="F96" s="576"/>
      <c r="G96" s="574"/>
      <c r="H96" s="574"/>
      <c r="I96" s="574"/>
    </row>
    <row r="97" spans="2:9">
      <c r="B97" s="576"/>
      <c r="C97" s="576"/>
      <c r="D97" s="576"/>
      <c r="E97" s="576"/>
      <c r="F97" s="576"/>
      <c r="G97" s="574"/>
      <c r="H97" s="574"/>
      <c r="I97" s="574"/>
    </row>
    <row r="98" spans="2:9" ht="15.75">
      <c r="B98" s="573" t="s">
        <v>803</v>
      </c>
      <c r="C98" s="576"/>
      <c r="D98" s="576"/>
      <c r="E98" s="576"/>
      <c r="F98" s="576"/>
      <c r="G98" s="574"/>
      <c r="H98" s="574"/>
      <c r="I98" s="574"/>
    </row>
    <row r="99" spans="2:9" ht="15.75">
      <c r="B99" s="573" t="s">
        <v>804</v>
      </c>
      <c r="C99" s="576"/>
      <c r="D99" s="576"/>
      <c r="E99" s="576"/>
      <c r="F99" s="576"/>
      <c r="G99" s="574"/>
      <c r="H99" s="574"/>
      <c r="I99" s="574"/>
    </row>
    <row r="100" spans="2:9">
      <c r="B100" s="576"/>
      <c r="C100" s="576"/>
      <c r="D100" s="576"/>
      <c r="E100" s="576"/>
      <c r="F100" s="576"/>
      <c r="G100" s="574"/>
      <c r="H100" s="574"/>
      <c r="I100" s="574"/>
    </row>
    <row r="101" spans="2:9" ht="15.75">
      <c r="B101" s="573" t="s">
        <v>805</v>
      </c>
      <c r="C101" s="576"/>
      <c r="D101" s="576"/>
      <c r="E101" s="576"/>
      <c r="F101" s="576"/>
      <c r="G101" s="574"/>
      <c r="H101" s="574"/>
      <c r="I101" s="574"/>
    </row>
    <row r="102" spans="2:9" ht="15.75">
      <c r="B102" s="573" t="s">
        <v>806</v>
      </c>
      <c r="C102" s="576"/>
      <c r="D102" s="576"/>
      <c r="E102" s="576"/>
      <c r="F102" s="576"/>
      <c r="G102" s="574"/>
      <c r="H102" s="574"/>
      <c r="I102" s="574"/>
    </row>
    <row r="103" spans="2:9" ht="15.75">
      <c r="B103" s="573" t="s">
        <v>807</v>
      </c>
      <c r="C103" s="576"/>
      <c r="D103" s="576"/>
      <c r="E103" s="576"/>
      <c r="F103" s="576"/>
      <c r="G103" s="574"/>
      <c r="H103" s="574"/>
      <c r="I103" s="574"/>
    </row>
    <row r="104" spans="2:9" ht="15.75">
      <c r="B104" s="573" t="s">
        <v>808</v>
      </c>
      <c r="C104" s="576"/>
      <c r="D104" s="576"/>
      <c r="E104" s="576"/>
      <c r="F104" s="576"/>
      <c r="G104" s="574"/>
      <c r="H104" s="574"/>
      <c r="I104" s="574"/>
    </row>
    <row r="105" spans="2:9" ht="15.75">
      <c r="B105" s="739" t="s">
        <v>916</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19" workbookViewId="0">
      <selection activeCell="E6" sqref="E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 xml:space="preserve">Lincoln Township </v>
      </c>
      <c r="C1" s="14"/>
      <c r="D1" s="14"/>
      <c r="E1" s="15">
        <f>inputPrYr!D5</f>
        <v>2014</v>
      </c>
    </row>
    <row r="2" spans="2:5">
      <c r="B2" s="17"/>
      <c r="C2" s="14"/>
      <c r="D2" s="14"/>
      <c r="E2" s="18"/>
    </row>
    <row r="3" spans="2:5">
      <c r="B3" s="532" t="s">
        <v>708</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114</v>
      </c>
      <c r="C6" s="29">
        <v>5142</v>
      </c>
      <c r="D6" s="387">
        <f>C51</f>
        <v>4653</v>
      </c>
      <c r="E6" s="32">
        <f>D51</f>
        <v>0</v>
      </c>
    </row>
    <row r="7" spans="2:5">
      <c r="B7" s="27" t="s">
        <v>116</v>
      </c>
      <c r="C7" s="387"/>
      <c r="D7" s="387"/>
      <c r="E7" s="33"/>
    </row>
    <row r="8" spans="2:5">
      <c r="B8" s="27" t="s">
        <v>16</v>
      </c>
      <c r="C8" s="29">
        <v>19765</v>
      </c>
      <c r="D8" s="387">
        <f>IF(inputPrYr!H15&gt;0,inputPrYr!G16,inputPrYr!E16)</f>
        <v>15556</v>
      </c>
      <c r="E8" s="33" t="s">
        <v>277</v>
      </c>
    </row>
    <row r="9" spans="2:5">
      <c r="B9" s="27" t="s">
        <v>17</v>
      </c>
      <c r="C9" s="29">
        <v>356</v>
      </c>
      <c r="D9" s="29"/>
      <c r="E9" s="34"/>
    </row>
    <row r="10" spans="2:5">
      <c r="B10" s="27" t="s">
        <v>18</v>
      </c>
      <c r="C10" s="29">
        <v>906</v>
      </c>
      <c r="D10" s="29">
        <v>981</v>
      </c>
      <c r="E10" s="32">
        <f>mvalloc!G11</f>
        <v>710</v>
      </c>
    </row>
    <row r="11" spans="2:5">
      <c r="B11" s="27" t="s">
        <v>19</v>
      </c>
      <c r="C11" s="29">
        <v>19</v>
      </c>
      <c r="D11" s="29">
        <v>29</v>
      </c>
      <c r="E11" s="32">
        <f>mvalloc!I11</f>
        <v>15</v>
      </c>
    </row>
    <row r="12" spans="2:5">
      <c r="B12" s="35" t="s">
        <v>68</v>
      </c>
      <c r="C12" s="29">
        <v>60</v>
      </c>
      <c r="D12" s="29">
        <v>61</v>
      </c>
      <c r="E12" s="32">
        <f>mvalloc!J11</f>
        <v>89</v>
      </c>
    </row>
    <row r="13" spans="2:5">
      <c r="B13" s="35" t="s">
        <v>149</v>
      </c>
      <c r="C13" s="29"/>
      <c r="D13" s="29">
        <v>0</v>
      </c>
      <c r="E13" s="32">
        <f>inputOth!E35</f>
        <v>0</v>
      </c>
    </row>
    <row r="14" spans="2:5">
      <c r="B14" s="27" t="s">
        <v>20</v>
      </c>
      <c r="C14" s="29"/>
      <c r="D14" s="29">
        <v>0</v>
      </c>
      <c r="E14" s="32">
        <f>inputOth!E12</f>
        <v>0</v>
      </c>
    </row>
    <row r="15" spans="2:5">
      <c r="B15" s="37" t="s">
        <v>945</v>
      </c>
      <c r="C15" s="29">
        <v>106</v>
      </c>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200</v>
      </c>
      <c r="C24" s="29"/>
      <c r="D24" s="29"/>
      <c r="E24" s="34"/>
    </row>
    <row r="25" spans="2:5">
      <c r="B25" s="39" t="s">
        <v>201</v>
      </c>
      <c r="C25" s="384" t="str">
        <f>IF(C26*0.1&lt;C24,"Exceed 10% Rule","")</f>
        <v/>
      </c>
      <c r="D25" s="384" t="str">
        <f>IF(D26*0.1&lt;D24,"Exceed 10% Rule","")</f>
        <v/>
      </c>
      <c r="E25" s="45" t="str">
        <f>IF(E26*0.1+E57&lt;E24,"Exceed 10% Rule","")</f>
        <v/>
      </c>
    </row>
    <row r="26" spans="2:5">
      <c r="B26" s="41" t="s">
        <v>23</v>
      </c>
      <c r="C26" s="389">
        <f>SUM(C8:C24)</f>
        <v>21212</v>
      </c>
      <c r="D26" s="389">
        <f>SUM(D8:D24)</f>
        <v>16627</v>
      </c>
      <c r="E26" s="42">
        <f>SUM(E8:E24)</f>
        <v>814</v>
      </c>
    </row>
    <row r="27" spans="2:5">
      <c r="B27" s="43" t="s">
        <v>24</v>
      </c>
      <c r="C27" s="389">
        <f>C26+C6</f>
        <v>26354</v>
      </c>
      <c r="D27" s="389">
        <f>D26+D6</f>
        <v>21280</v>
      </c>
      <c r="E27" s="42">
        <f>E26+E6</f>
        <v>814</v>
      </c>
    </row>
    <row r="28" spans="2:5">
      <c r="B28" s="27" t="s">
        <v>25</v>
      </c>
      <c r="C28" s="387"/>
      <c r="D28" s="387"/>
      <c r="E28" s="32"/>
    </row>
    <row r="29" spans="2:5">
      <c r="B29" s="37"/>
      <c r="C29" s="29"/>
      <c r="D29" s="29"/>
      <c r="E29" s="34"/>
    </row>
    <row r="30" spans="2:5">
      <c r="B30" s="38" t="s">
        <v>100</v>
      </c>
      <c r="C30" s="29">
        <v>3750</v>
      </c>
      <c r="D30" s="29">
        <v>2750</v>
      </c>
      <c r="E30" s="29">
        <v>2750</v>
      </c>
    </row>
    <row r="31" spans="2:5">
      <c r="B31" s="38" t="s">
        <v>934</v>
      </c>
      <c r="C31" s="29"/>
      <c r="D31" s="29"/>
      <c r="E31" s="29"/>
    </row>
    <row r="32" spans="2:5">
      <c r="B32" s="38" t="s">
        <v>935</v>
      </c>
      <c r="C32" s="29">
        <v>5903</v>
      </c>
      <c r="D32" s="29">
        <v>8418</v>
      </c>
      <c r="E32" s="29">
        <v>8418</v>
      </c>
    </row>
    <row r="33" spans="2:10">
      <c r="B33" s="38" t="s">
        <v>939</v>
      </c>
      <c r="C33" s="29">
        <v>44</v>
      </c>
      <c r="D33" s="29">
        <v>500</v>
      </c>
      <c r="E33" s="29">
        <v>500</v>
      </c>
    </row>
    <row r="34" spans="2:10">
      <c r="B34" s="37" t="s">
        <v>940</v>
      </c>
      <c r="C34" s="29"/>
      <c r="D34" s="29">
        <v>1512</v>
      </c>
      <c r="E34" s="29">
        <v>2000</v>
      </c>
    </row>
    <row r="35" spans="2:10">
      <c r="B35" s="37" t="s">
        <v>941</v>
      </c>
      <c r="C35" s="29">
        <v>11395</v>
      </c>
      <c r="D35" s="29"/>
      <c r="E35" s="29"/>
    </row>
    <row r="36" spans="2:10">
      <c r="B36" s="38" t="s">
        <v>937</v>
      </c>
      <c r="C36" s="29"/>
      <c r="D36" s="29"/>
      <c r="E36" s="29"/>
    </row>
    <row r="37" spans="2:10">
      <c r="B37" s="38" t="s">
        <v>942</v>
      </c>
      <c r="C37" s="29">
        <v>479</v>
      </c>
      <c r="D37" s="29">
        <v>8100</v>
      </c>
      <c r="E37" s="29">
        <v>8100</v>
      </c>
    </row>
    <row r="38" spans="2:10">
      <c r="B38" s="37" t="s">
        <v>943</v>
      </c>
      <c r="C38" s="29"/>
      <c r="D38" s="29"/>
      <c r="E38" s="34"/>
    </row>
    <row r="39" spans="2:10">
      <c r="B39" s="38" t="s">
        <v>944</v>
      </c>
      <c r="C39" s="29">
        <v>130</v>
      </c>
      <c r="D39" s="29"/>
      <c r="E39" s="34"/>
    </row>
    <row r="40" spans="2:10">
      <c r="B40" s="38"/>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255</v>
      </c>
      <c r="C43" s="29"/>
      <c r="D43" s="29"/>
      <c r="E43" s="34"/>
      <c r="G43" s="497" t="s">
        <v>702</v>
      </c>
      <c r="H43" s="487"/>
      <c r="I43" s="487"/>
      <c r="J43" s="498">
        <v>0</v>
      </c>
    </row>
    <row r="44" spans="2:10">
      <c r="B44" s="35" t="s">
        <v>252</v>
      </c>
      <c r="C44" s="383" t="str">
        <f>IF(AND($C$43&gt;0,$C$8&gt;0),"Not Authorized","")</f>
        <v/>
      </c>
      <c r="D44" s="383" t="str">
        <f>IF(AND($D$43&gt;0,$D$8&gt;0),"Not Authorized","")</f>
        <v/>
      </c>
      <c r="E44" s="44" t="str">
        <f>IF(AND(cert!F21&gt;0,$E$43&gt;0),"Not Authorized","")</f>
        <v/>
      </c>
      <c r="G44" s="495" t="s">
        <v>703</v>
      </c>
      <c r="H44" s="19"/>
      <c r="I44" s="19"/>
      <c r="J44" s="695" t="str">
        <f>IF(J43=0,"",ROUND((J43+E57-G56)/inputOth!E7*1000,3)-G61)</f>
        <v/>
      </c>
    </row>
    <row r="45" spans="2:10">
      <c r="B45" s="27" t="s">
        <v>256</v>
      </c>
      <c r="C45" s="29"/>
      <c r="D45" s="29"/>
      <c r="E45" s="34"/>
      <c r="G45" s="696" t="str">
        <f>CONCATENATE("",E1," Tot Exp/Non-Appr Must Be:")</f>
        <v>2014 Tot Exp/Non-Appr Must Be:</v>
      </c>
      <c r="H45" s="578"/>
      <c r="I45" s="690"/>
      <c r="J45" s="697">
        <f>IF(J43&gt;0,IF(E54&lt;E23,IF(J43=G56,E54,((J43-G56)*(1-D56))+E23),E54+(J43-G56)),0)</f>
        <v>0</v>
      </c>
    </row>
    <row r="46" spans="2:10">
      <c r="B46" s="27" t="s">
        <v>740</v>
      </c>
      <c r="C46" s="384" t="str">
        <f>IF(C27*0.25&lt;C45,"Exceeds 25%","")</f>
        <v/>
      </c>
      <c r="D46" s="384" t="str">
        <f>IF(D27*0.25&lt;D45,"Exceeds 25%","")</f>
        <v/>
      </c>
      <c r="E46" s="45" t="str">
        <f>IF(E27*0.25+E57&lt;E45,"Exceeds 25%","")</f>
        <v/>
      </c>
      <c r="G46" s="698" t="s">
        <v>812</v>
      </c>
      <c r="H46" s="699"/>
      <c r="I46" s="699"/>
      <c r="J46" s="700">
        <f>IF(J43&gt;0,J45-E54,0)</f>
        <v>0</v>
      </c>
    </row>
    <row r="47" spans="2:10">
      <c r="B47" s="35" t="s">
        <v>202</v>
      </c>
      <c r="C47" s="29"/>
      <c r="D47" s="29"/>
      <c r="E47" s="46" t="str">
        <f>nhood!E6</f>
        <v/>
      </c>
    </row>
    <row r="48" spans="2:10">
      <c r="B48" s="35" t="s">
        <v>200</v>
      </c>
      <c r="C48" s="29"/>
      <c r="D48" s="29"/>
      <c r="E48" s="34"/>
      <c r="G48" s="808" t="str">
        <f>CONCATENATE("Projected Carryover Into ",E1+1,"")</f>
        <v>Projected Carryover Into 2015</v>
      </c>
      <c r="H48" s="809"/>
      <c r="I48" s="809"/>
      <c r="J48" s="810"/>
    </row>
    <row r="49" spans="2:11">
      <c r="B49" s="35" t="s">
        <v>609</v>
      </c>
      <c r="C49" s="384" t="str">
        <f>IF(C50*0.1&lt;C48,"Exceed 10% Rule","")</f>
        <v/>
      </c>
      <c r="D49" s="384" t="str">
        <f>IF(D50*0.1&lt;D48,"Exceed 10% Rule","")</f>
        <v/>
      </c>
      <c r="E49" s="45" t="str">
        <f>IF(E50*0.1&lt;E48,"Exceed 10% Rule","")</f>
        <v/>
      </c>
      <c r="G49" s="483"/>
      <c r="H49" s="19"/>
      <c r="I49" s="19"/>
      <c r="J49" s="257"/>
    </row>
    <row r="50" spans="2:11">
      <c r="B50" s="43" t="s">
        <v>26</v>
      </c>
      <c r="C50" s="381">
        <f>SUM(C29:C48)</f>
        <v>21701</v>
      </c>
      <c r="D50" s="381">
        <f>SUM(D29:D48)</f>
        <v>21280</v>
      </c>
      <c r="E50" s="47">
        <f>SUM(E29:E43,E45,E47:E48)</f>
        <v>21768</v>
      </c>
      <c r="G50" s="484">
        <f>D51</f>
        <v>0</v>
      </c>
      <c r="H50" s="485" t="str">
        <f>CONCATENATE("",E1-1," Ending Cash Balance (est.)")</f>
        <v>2013 Ending Cash Balance (est.)</v>
      </c>
      <c r="I50" s="486"/>
      <c r="J50" s="257"/>
    </row>
    <row r="51" spans="2:11">
      <c r="B51" s="27" t="s">
        <v>115</v>
      </c>
      <c r="C51" s="382">
        <f>C27-C50</f>
        <v>4653</v>
      </c>
      <c r="D51" s="382">
        <f>SUM(D27-D50)</f>
        <v>0</v>
      </c>
      <c r="E51" s="33" t="s">
        <v>277</v>
      </c>
      <c r="G51" s="484">
        <f>E26</f>
        <v>814</v>
      </c>
      <c r="H51" s="487" t="str">
        <f>CONCATENATE("",E1," Non-AV Receipts (est.)")</f>
        <v>2014 Non-AV Receipts (est.)</v>
      </c>
      <c r="I51" s="486"/>
      <c r="J51" s="257"/>
    </row>
    <row r="52" spans="2:11">
      <c r="B52" s="48" t="str">
        <f>CONCATENATE("",E1-2,"/",E1-1," Budget Authority Amount:")</f>
        <v>2012/2013 Budget Authority Amount:</v>
      </c>
      <c r="C52" s="132">
        <f>inputOth!B46</f>
        <v>21768</v>
      </c>
      <c r="D52" s="161">
        <f>inputPrYr!D16</f>
        <v>21768</v>
      </c>
      <c r="E52" s="33" t="s">
        <v>277</v>
      </c>
      <c r="F52" s="50"/>
      <c r="G52" s="488">
        <f>IF(D56&gt;0,E55,E57)</f>
        <v>20954</v>
      </c>
      <c r="H52" s="487" t="str">
        <f>CONCATENATE("",E1," Ad Valorem Tax (est.)")</f>
        <v>2014 Ad Valorem Tax (est.)</v>
      </c>
      <c r="I52" s="486"/>
      <c r="J52" s="257"/>
      <c r="K52" s="701" t="str">
        <f>IF(G52=E57,"","Note: Does not include Delinquent Taxes")</f>
        <v/>
      </c>
    </row>
    <row r="53" spans="2:11">
      <c r="B53" s="48"/>
      <c r="C53" s="804" t="s">
        <v>610</v>
      </c>
      <c r="D53" s="805"/>
      <c r="E53" s="34"/>
      <c r="F53" s="482" t="str">
        <f>IF(E50/0.95-E50&lt;E53,"Exceeds 5%","")</f>
        <v/>
      </c>
      <c r="G53" s="484">
        <f>SUM(G50:G52)</f>
        <v>21768</v>
      </c>
      <c r="H53" s="487" t="str">
        <f>CONCATENATE("Total ",E1," Resources Available")</f>
        <v>Total 2014 Resources Available</v>
      </c>
      <c r="I53" s="486"/>
      <c r="J53" s="257"/>
    </row>
    <row r="54" spans="2:11">
      <c r="B54" s="395" t="str">
        <f>CONCATENATE(C72,"     ",D72)</f>
        <v xml:space="preserve">     </v>
      </c>
      <c r="C54" s="806" t="s">
        <v>611</v>
      </c>
      <c r="D54" s="807"/>
      <c r="E54" s="32">
        <f>E50+E53</f>
        <v>21768</v>
      </c>
      <c r="G54" s="489"/>
      <c r="H54" s="487"/>
      <c r="I54" s="487"/>
      <c r="J54" s="257"/>
    </row>
    <row r="55" spans="2:11">
      <c r="B55" s="395" t="str">
        <f>CONCATENATE(C73,"     ",D73)</f>
        <v xml:space="preserve">     </v>
      </c>
      <c r="C55" s="60"/>
      <c r="D55" s="52" t="s">
        <v>28</v>
      </c>
      <c r="E55" s="46">
        <f>IF(E54-E27&gt;0,E54-E27,0)</f>
        <v>20954</v>
      </c>
      <c r="G55" s="488">
        <f>ROUND(C50*0.05+C50,0)</f>
        <v>22786</v>
      </c>
      <c r="H55" s="487" t="str">
        <f>CONCATENATE("Less ",E1-2," Expenditures + 5%")</f>
        <v>Less 2012 Expenditures + 5%</v>
      </c>
      <c r="I55" s="486"/>
      <c r="J55" s="257"/>
    </row>
    <row r="56" spans="2:11">
      <c r="B56" s="52"/>
      <c r="C56" s="399" t="s">
        <v>612</v>
      </c>
      <c r="D56" s="689">
        <f>inputOth!$E$40</f>
        <v>0</v>
      </c>
      <c r="E56" s="32">
        <f>ROUND(IF(D56&gt;0,(E55*D56),0),0)</f>
        <v>0</v>
      </c>
      <c r="G56" s="490">
        <f>G53-G55</f>
        <v>-1018</v>
      </c>
      <c r="H56" s="491" t="str">
        <f>CONCATENATE("Projected ",E1+1," Carryover (est.)")</f>
        <v>Projected 2015 Carryover (est.)</v>
      </c>
      <c r="I56" s="492"/>
      <c r="J56" s="493"/>
    </row>
    <row r="57" spans="2:11">
      <c r="B57" s="14"/>
      <c r="C57" s="802" t="str">
        <f>CONCATENATE("Amount of  ",$E$1-1," Ad Valorem Tax")</f>
        <v>Amount of  2013 Ad Valorem Tax</v>
      </c>
      <c r="D57" s="803"/>
      <c r="E57" s="46">
        <f>E55+E56</f>
        <v>20954</v>
      </c>
    </row>
    <row r="58" spans="2:11">
      <c r="B58" s="14"/>
      <c r="C58" s="14"/>
      <c r="D58" s="14"/>
      <c r="E58" s="14"/>
      <c r="G58" s="799" t="s">
        <v>813</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2.8610000000000002</v>
      </c>
      <c r="H60" s="485" t="str">
        <f>CONCATENATE("",E1," Fund Mill Rate")</f>
        <v>2014 Fund Mill Rate</v>
      </c>
      <c r="I60" s="691"/>
      <c r="J60" s="703"/>
      <c r="K60" s="16"/>
    </row>
    <row r="61" spans="2:11">
      <c r="B61" s="52" t="s">
        <v>9</v>
      </c>
      <c r="C61" s="401">
        <f>IF(inputPrYr!D18&gt;0,7,6)</f>
        <v>6</v>
      </c>
      <c r="D61" s="14"/>
      <c r="E61" s="55"/>
      <c r="G61" s="705">
        <f>summ!F18</f>
        <v>2.2400000000000002</v>
      </c>
      <c r="H61" s="485" t="str">
        <f>CONCATENATE("",E1-1," Fund Mill Rate")</f>
        <v>2013 Fund Mill Rate</v>
      </c>
      <c r="I61" s="691"/>
      <c r="J61" s="703"/>
    </row>
    <row r="62" spans="2:11">
      <c r="G62" s="706">
        <f>summ!I32</f>
        <v>17</v>
      </c>
      <c r="H62" s="485" t="str">
        <f>CONCATENATE("Total ",E1," Mill Rate")</f>
        <v>Total 2014 Mill Rate</v>
      </c>
      <c r="I62" s="691"/>
      <c r="J62" s="703"/>
    </row>
    <row r="63" spans="2:11">
      <c r="B63" s="12"/>
      <c r="G63" s="705">
        <f>summ!F32</f>
        <v>17</v>
      </c>
      <c r="H63" s="707" t="str">
        <f>CONCATENATE("Total ",E1-1," Mill Rate")</f>
        <v>Total 2013 Mill Rate</v>
      </c>
      <c r="I63" s="708"/>
      <c r="J63" s="709"/>
    </row>
    <row r="64" spans="2:11">
      <c r="G64" s="692"/>
      <c r="H64" s="494"/>
      <c r="I64" s="494"/>
      <c r="J64" s="694"/>
    </row>
    <row r="65" spans="3:10">
      <c r="G65" s="744" t="s">
        <v>921</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 xml:space="preserve">Lincoln Township </v>
      </c>
      <c r="C1" s="579"/>
      <c r="D1" s="580"/>
      <c r="E1" s="581">
        <f>inputPrYr!D5</f>
        <v>2014</v>
      </c>
    </row>
    <row r="2" spans="2:5">
      <c r="B2" s="580"/>
      <c r="C2" s="580"/>
      <c r="D2" s="580"/>
      <c r="E2" s="583"/>
    </row>
    <row r="3" spans="2:5">
      <c r="B3" s="532" t="s">
        <v>708</v>
      </c>
      <c r="C3" s="532"/>
      <c r="D3" s="584"/>
      <c r="E3" s="585"/>
    </row>
    <row r="4" spans="2:5">
      <c r="B4" s="586" t="s">
        <v>10</v>
      </c>
      <c r="C4" s="587" t="s">
        <v>809</v>
      </c>
      <c r="D4" s="588" t="s">
        <v>810</v>
      </c>
      <c r="E4" s="589" t="s">
        <v>811</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132</v>
      </c>
      <c r="C6" s="595"/>
      <c r="D6" s="596">
        <f>C34</f>
        <v>0</v>
      </c>
      <c r="E6" s="597">
        <f>D34</f>
        <v>0</v>
      </c>
    </row>
    <row r="7" spans="2:5">
      <c r="B7" s="594" t="s">
        <v>116</v>
      </c>
      <c r="C7" s="598"/>
      <c r="D7" s="596"/>
      <c r="E7" s="597"/>
    </row>
    <row r="8" spans="2:5">
      <c r="B8" s="594" t="s">
        <v>16</v>
      </c>
      <c r="C8" s="599"/>
      <c r="D8" s="596">
        <f>IF(inputPrYr!H15&gt;0,inputPrYr!G17,inputPrYr!E17)</f>
        <v>0</v>
      </c>
      <c r="E8" s="600" t="s">
        <v>277</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200</v>
      </c>
      <c r="C18" s="607"/>
      <c r="D18" s="601"/>
      <c r="E18" s="602"/>
    </row>
    <row r="19" spans="2:10">
      <c r="B19" s="594" t="s">
        <v>815</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702</v>
      </c>
      <c r="H26" s="615"/>
      <c r="I26" s="615"/>
      <c r="J26" s="618">
        <v>0</v>
      </c>
    </row>
    <row r="27" spans="2:10">
      <c r="B27" s="604"/>
      <c r="C27" s="599"/>
      <c r="D27" s="601"/>
      <c r="E27" s="602"/>
      <c r="G27" s="613" t="s">
        <v>703</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812</v>
      </c>
      <c r="H29" s="625"/>
      <c r="I29" s="625"/>
      <c r="J29" s="626">
        <f>IF(J26&gt;0,J28-E37,0)</f>
        <v>0</v>
      </c>
    </row>
    <row r="30" spans="2:10">
      <c r="B30" s="627" t="s">
        <v>202</v>
      </c>
      <c r="C30" s="599"/>
      <c r="D30" s="601"/>
      <c r="E30" s="597" t="str">
        <f>nhood!E7</f>
        <v/>
      </c>
    </row>
    <row r="31" spans="2:10">
      <c r="B31" s="627" t="s">
        <v>200</v>
      </c>
      <c r="C31" s="607"/>
      <c r="D31" s="601"/>
      <c r="E31" s="602"/>
      <c r="G31" s="816" t="str">
        <f>CONCATENATE("Projected Carryover Into ",E1+1,"")</f>
        <v>Projected Carryover Into 2015</v>
      </c>
      <c r="H31" s="819"/>
      <c r="I31" s="819"/>
      <c r="J31" s="820"/>
    </row>
    <row r="32" spans="2:10">
      <c r="B32" s="627" t="s">
        <v>609</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115</v>
      </c>
      <c r="C34" s="634">
        <f>C21-C33</f>
        <v>0</v>
      </c>
      <c r="D34" s="634">
        <f>D21-D33</f>
        <v>0</v>
      </c>
      <c r="E34" s="600" t="s">
        <v>277</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277</v>
      </c>
      <c r="F35" s="639"/>
      <c r="G35" s="640">
        <f>IF(E39&gt;0,E38,E40)</f>
        <v>0</v>
      </c>
      <c r="H35" s="615" t="str">
        <f>CONCATENATE("",E1," Ad Valorem Tax (est.)")</f>
        <v>2014 Ad Valorem Tax (est.)</v>
      </c>
      <c r="I35" s="615"/>
      <c r="J35" s="737"/>
      <c r="K35" s="738" t="str">
        <f>IF(G35=E40,"","Note: Does not include Delinquent Taxes")</f>
        <v/>
      </c>
    </row>
    <row r="36" spans="2:11">
      <c r="B36" s="636"/>
      <c r="C36" s="804" t="s">
        <v>610</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611</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612</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813</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809</v>
      </c>
      <c r="D44" s="588" t="s">
        <v>810</v>
      </c>
      <c r="E44" s="589" t="s">
        <v>811</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17</v>
      </c>
      <c r="H45" s="632" t="str">
        <f>CONCATENATE("Total ",E1," Mill Rate")</f>
        <v>Total 2014 Mill Rate</v>
      </c>
      <c r="I45" s="656"/>
      <c r="J45" s="657"/>
    </row>
    <row r="46" spans="2:11">
      <c r="B46" s="594" t="s">
        <v>132</v>
      </c>
      <c r="C46" s="599">
        <v>0</v>
      </c>
      <c r="D46" s="596">
        <f>C74</f>
        <v>0</v>
      </c>
      <c r="E46" s="597">
        <f>D74</f>
        <v>0</v>
      </c>
      <c r="F46" s="635"/>
      <c r="G46" s="659">
        <f>summ!F32</f>
        <v>17</v>
      </c>
      <c r="H46" s="662" t="str">
        <f>CONCATENATE("Total ",E1-1," Mill Rate")</f>
        <v>Total 2013 Mill Rate</v>
      </c>
      <c r="I46" s="663"/>
      <c r="J46" s="664"/>
    </row>
    <row r="47" spans="2:11">
      <c r="B47" s="665" t="s">
        <v>116</v>
      </c>
      <c r="C47" s="594"/>
      <c r="D47" s="596"/>
      <c r="E47" s="597"/>
      <c r="F47" s="635"/>
    </row>
    <row r="48" spans="2:11">
      <c r="B48" s="594" t="s">
        <v>16</v>
      </c>
      <c r="C48" s="607"/>
      <c r="D48" s="596">
        <f>IF(inputPrYr!H15&gt;0,inputPrYr!G18,inputPrYr!E18)</f>
        <v>0</v>
      </c>
      <c r="E48" s="600" t="s">
        <v>277</v>
      </c>
      <c r="F48" s="635"/>
      <c r="G48" s="744" t="s">
        <v>921</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200</v>
      </c>
      <c r="C58" s="607"/>
      <c r="D58" s="607"/>
      <c r="E58" s="666"/>
    </row>
    <row r="59" spans="2:10">
      <c r="B59" s="594" t="s">
        <v>815</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702</v>
      </c>
      <c r="H66" s="615"/>
      <c r="I66" s="615"/>
      <c r="J66" s="618">
        <v>0</v>
      </c>
    </row>
    <row r="67" spans="2:11">
      <c r="B67" s="604"/>
      <c r="C67" s="599"/>
      <c r="D67" s="601"/>
      <c r="E67" s="602"/>
      <c r="G67" s="613" t="s">
        <v>703</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812</v>
      </c>
      <c r="H69" s="625"/>
      <c r="I69" s="625"/>
      <c r="J69" s="626">
        <f>IF(J66&gt;0,J68-E77,0)</f>
        <v>0</v>
      </c>
    </row>
    <row r="70" spans="2:11">
      <c r="B70" s="603" t="s">
        <v>202</v>
      </c>
      <c r="C70" s="599"/>
      <c r="D70" s="601"/>
      <c r="E70" s="597" t="str">
        <f>nhood!E8</f>
        <v/>
      </c>
      <c r="F70" s="635"/>
    </row>
    <row r="71" spans="2:11">
      <c r="B71" s="603" t="s">
        <v>200</v>
      </c>
      <c r="C71" s="607"/>
      <c r="D71" s="601"/>
      <c r="E71" s="602"/>
      <c r="F71" s="635"/>
      <c r="G71" s="816" t="str">
        <f>CONCATENATE("Projected Carryover Into ",E1+1,"")</f>
        <v>Projected Carryover Into 2015</v>
      </c>
      <c r="H71" s="821"/>
      <c r="I71" s="821"/>
      <c r="J71" s="820"/>
    </row>
    <row r="72" spans="2:11">
      <c r="B72" s="603" t="s">
        <v>609</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115</v>
      </c>
      <c r="C74" s="634">
        <f>C61-C73</f>
        <v>0</v>
      </c>
      <c r="D74" s="634">
        <f>D61-D73</f>
        <v>0</v>
      </c>
      <c r="E74" s="600" t="s">
        <v>277</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277</v>
      </c>
      <c r="F75" s="639"/>
      <c r="G75" s="640">
        <f>IF(E79&gt;0,E78,E80)</f>
        <v>0</v>
      </c>
      <c r="H75" s="615" t="str">
        <f>CONCATENATE("",E1," Ad Valorem Tax (est.)")</f>
        <v>2014 Ad Valorem Tax (est.)</v>
      </c>
      <c r="I75" s="633"/>
      <c r="J75" s="668"/>
      <c r="K75" s="641" t="str">
        <f>IF(G75=E80,"","Note: Does not include Delinquent Taxes")</f>
        <v/>
      </c>
    </row>
    <row r="76" spans="2:11">
      <c r="B76" s="636"/>
      <c r="C76" s="804" t="s">
        <v>610</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611</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612</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813</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17</v>
      </c>
      <c r="H85" s="632" t="str">
        <f>CONCATENATE("Total ",E1," Mill Rate")</f>
        <v>Total 2014 Mill Rate</v>
      </c>
      <c r="I85" s="656"/>
      <c r="J85" s="657"/>
    </row>
    <row r="86" spans="2:10">
      <c r="G86" s="659">
        <f>summ!F32</f>
        <v>17</v>
      </c>
      <c r="H86" s="662" t="str">
        <f>CONCATENATE("Total ",E1-1," Mill Rate")</f>
        <v>Total 2013 Mill Rate</v>
      </c>
      <c r="I86" s="663"/>
      <c r="J86" s="664"/>
    </row>
    <row r="87" spans="2:10">
      <c r="G87" s="678"/>
      <c r="H87" s="678"/>
      <c r="I87" s="678"/>
      <c r="J87" s="678"/>
    </row>
    <row r="88" spans="2:10">
      <c r="C88" s="679" t="s">
        <v>814</v>
      </c>
      <c r="D88" s="679" t="s">
        <v>814</v>
      </c>
      <c r="G88" s="744" t="s">
        <v>921</v>
      </c>
      <c r="H88" s="743"/>
      <c r="I88" s="742" t="str">
        <f>cert!F37</f>
        <v>Yes</v>
      </c>
    </row>
    <row r="89" spans="2:10">
      <c r="C89" s="679" t="s">
        <v>814</v>
      </c>
      <c r="D89" s="679" t="s">
        <v>814</v>
      </c>
    </row>
    <row r="91" spans="2:10">
      <c r="C91" s="679" t="s">
        <v>814</v>
      </c>
      <c r="D91" s="679" t="s">
        <v>814</v>
      </c>
    </row>
    <row r="92" spans="2:10">
      <c r="C92" s="679" t="s">
        <v>814</v>
      </c>
      <c r="D92" s="679" t="s">
        <v>814</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16" workbookViewId="0">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Lincoln Township </v>
      </c>
      <c r="C1" s="14"/>
      <c r="D1" s="14"/>
      <c r="E1" s="15">
        <f>inputPrYr!D5</f>
        <v>2014</v>
      </c>
    </row>
    <row r="2" spans="2:5">
      <c r="B2" s="17"/>
      <c r="C2" s="14"/>
      <c r="D2" s="61"/>
      <c r="E2" s="62"/>
    </row>
    <row r="3" spans="2:5">
      <c r="B3" s="532" t="s">
        <v>708</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114</v>
      </c>
      <c r="C6" s="29">
        <v>7520</v>
      </c>
      <c r="D6" s="387">
        <f>C44</f>
        <v>5264</v>
      </c>
      <c r="E6" s="32">
        <f>D44</f>
        <v>0</v>
      </c>
    </row>
    <row r="7" spans="2:5">
      <c r="B7" s="27" t="s">
        <v>116</v>
      </c>
      <c r="C7" s="387"/>
      <c r="D7" s="387"/>
      <c r="E7" s="33"/>
    </row>
    <row r="8" spans="2:5">
      <c r="B8" s="27" t="s">
        <v>16</v>
      </c>
      <c r="C8" s="29">
        <v>101387</v>
      </c>
      <c r="D8" s="387">
        <f>IF(inputPrYr!H15&gt;0,inputPrYr!G19,inputPrYr!E19)</f>
        <v>102513</v>
      </c>
      <c r="E8" s="33" t="s">
        <v>277</v>
      </c>
    </row>
    <row r="9" spans="2:5">
      <c r="B9" s="27" t="s">
        <v>17</v>
      </c>
      <c r="C9" s="29">
        <v>1751</v>
      </c>
      <c r="D9" s="29"/>
      <c r="E9" s="34"/>
    </row>
    <row r="10" spans="2:5">
      <c r="B10" s="27" t="s">
        <v>18</v>
      </c>
      <c r="C10" s="29">
        <v>3709</v>
      </c>
      <c r="D10" s="29">
        <v>5073</v>
      </c>
      <c r="E10" s="32">
        <f>mvalloc!G14</f>
        <v>4677</v>
      </c>
    </row>
    <row r="11" spans="2:5">
      <c r="B11" s="27" t="s">
        <v>19</v>
      </c>
      <c r="C11" s="29">
        <v>78</v>
      </c>
      <c r="D11" s="29">
        <v>147</v>
      </c>
      <c r="E11" s="32">
        <f>mvalloc!I14</f>
        <v>102</v>
      </c>
    </row>
    <row r="12" spans="2:5">
      <c r="B12" s="27" t="s">
        <v>98</v>
      </c>
      <c r="C12" s="29">
        <v>436</v>
      </c>
      <c r="D12" s="29">
        <v>315</v>
      </c>
      <c r="E12" s="32">
        <f>mvalloc!J14</f>
        <v>586</v>
      </c>
    </row>
    <row r="13" spans="2:5">
      <c r="B13" s="27" t="s">
        <v>99</v>
      </c>
      <c r="C13" s="29">
        <v>7754</v>
      </c>
      <c r="D13" s="29">
        <v>5269</v>
      </c>
      <c r="E13" s="32">
        <f>inputOth!E36</f>
        <v>6011</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200</v>
      </c>
      <c r="C21" s="29"/>
      <c r="D21" s="29"/>
      <c r="E21" s="34"/>
    </row>
    <row r="22" spans="2:5">
      <c r="B22" s="39" t="s">
        <v>201</v>
      </c>
      <c r="C22" s="384" t="str">
        <f>IF(C23*0.1&lt;C21,"Exceed 10% Rule","")</f>
        <v/>
      </c>
      <c r="D22" s="384" t="str">
        <f>IF(D23*0.1&lt;D21,"Exceed 10% Rule","")</f>
        <v/>
      </c>
      <c r="E22" s="45" t="str">
        <f>IF(E23*0.1+E50&lt;E21,"Exceed 10% Rule","")</f>
        <v/>
      </c>
    </row>
    <row r="23" spans="2:5">
      <c r="B23" s="41" t="s">
        <v>23</v>
      </c>
      <c r="C23" s="389">
        <f>SUM(C8:C21)</f>
        <v>115115</v>
      </c>
      <c r="D23" s="389">
        <f>SUM(D8:D21)</f>
        <v>113317</v>
      </c>
      <c r="E23" s="42">
        <f>SUM(E8:E21)</f>
        <v>11376</v>
      </c>
    </row>
    <row r="24" spans="2:5">
      <c r="B24" s="43" t="s">
        <v>24</v>
      </c>
      <c r="C24" s="389">
        <f>C23+C6</f>
        <v>122635</v>
      </c>
      <c r="D24" s="389">
        <f>D23+D6</f>
        <v>118581</v>
      </c>
      <c r="E24" s="42">
        <f>E23+E6</f>
        <v>11376</v>
      </c>
    </row>
    <row r="25" spans="2:5">
      <c r="B25" s="27" t="s">
        <v>25</v>
      </c>
      <c r="C25" s="387"/>
      <c r="D25" s="387"/>
      <c r="E25" s="32"/>
    </row>
    <row r="26" spans="2:5">
      <c r="B26" s="38" t="s">
        <v>949</v>
      </c>
      <c r="C26" s="29"/>
      <c r="D26" s="29">
        <v>11000</v>
      </c>
      <c r="E26" s="29">
        <v>11000</v>
      </c>
    </row>
    <row r="27" spans="2:5">
      <c r="B27" s="37" t="s">
        <v>934</v>
      </c>
      <c r="C27" s="29">
        <v>21059</v>
      </c>
      <c r="D27" s="29">
        <v>15000</v>
      </c>
      <c r="E27" s="29">
        <v>15000</v>
      </c>
    </row>
    <row r="28" spans="2:5">
      <c r="B28" s="38" t="s">
        <v>935</v>
      </c>
      <c r="C28" s="29"/>
      <c r="D28" s="29">
        <v>5000</v>
      </c>
      <c r="E28" s="29">
        <v>5000</v>
      </c>
    </row>
    <row r="29" spans="2:5">
      <c r="B29" s="38" t="s">
        <v>950</v>
      </c>
      <c r="C29" s="29"/>
      <c r="D29" s="29">
        <v>7744</v>
      </c>
      <c r="E29" s="29">
        <v>8030</v>
      </c>
    </row>
    <row r="30" spans="2:5">
      <c r="B30" s="38" t="s">
        <v>936</v>
      </c>
      <c r="C30" s="29">
        <v>22019</v>
      </c>
      <c r="D30" s="29">
        <v>63599</v>
      </c>
      <c r="E30" s="29">
        <v>59659</v>
      </c>
    </row>
    <row r="31" spans="2:5">
      <c r="B31" s="38" t="s">
        <v>951</v>
      </c>
      <c r="C31" s="29">
        <v>35095</v>
      </c>
      <c r="D31" s="29">
        <v>5632</v>
      </c>
      <c r="E31" s="29">
        <v>5632</v>
      </c>
    </row>
    <row r="32" spans="2:5">
      <c r="B32" s="38" t="s">
        <v>939</v>
      </c>
      <c r="C32" s="29"/>
      <c r="D32" s="29">
        <v>600</v>
      </c>
      <c r="E32" s="29">
        <v>600</v>
      </c>
    </row>
    <row r="33" spans="2:11">
      <c r="B33" s="38" t="s">
        <v>943</v>
      </c>
      <c r="C33" s="29"/>
      <c r="D33" s="29">
        <v>500</v>
      </c>
      <c r="E33" s="29">
        <v>500</v>
      </c>
    </row>
    <row r="34" spans="2:11">
      <c r="B34" s="37" t="s">
        <v>937</v>
      </c>
      <c r="C34" s="29">
        <v>7907</v>
      </c>
      <c r="D34" s="29">
        <v>8006</v>
      </c>
      <c r="E34" s="29">
        <v>8006</v>
      </c>
      <c r="G34" s="808" t="str">
        <f>CONCATENATE("Desired Carryover Into ",E1+1,"")</f>
        <v>Desired Carryover Into 2015</v>
      </c>
      <c r="H34" s="809"/>
      <c r="I34" s="809"/>
      <c r="J34" s="810"/>
    </row>
    <row r="35" spans="2:11">
      <c r="B35" s="37" t="s">
        <v>952</v>
      </c>
      <c r="C35" s="29"/>
      <c r="D35" s="29">
        <v>1500</v>
      </c>
      <c r="E35" s="29">
        <v>1500</v>
      </c>
      <c r="G35" s="495"/>
      <c r="H35" s="19"/>
      <c r="I35" s="487"/>
      <c r="J35" s="496"/>
    </row>
    <row r="36" spans="2:11">
      <c r="B36" s="38" t="s">
        <v>953</v>
      </c>
      <c r="C36" s="29">
        <v>3066</v>
      </c>
      <c r="D36" s="29"/>
      <c r="E36" s="34"/>
      <c r="G36" s="497" t="s">
        <v>702</v>
      </c>
      <c r="H36" s="487"/>
      <c r="I36" s="487"/>
      <c r="J36" s="498">
        <v>0</v>
      </c>
    </row>
    <row r="37" spans="2:11">
      <c r="B37" s="38" t="s">
        <v>954</v>
      </c>
      <c r="C37" s="29">
        <v>2725</v>
      </c>
      <c r="D37" s="29"/>
      <c r="E37" s="34"/>
      <c r="G37" s="495" t="s">
        <v>703</v>
      </c>
      <c r="H37" s="19"/>
      <c r="I37" s="19"/>
      <c r="J37" s="695" t="str">
        <f>IF(J36=0,"",ROUND((J36+E50-G49)/inputOth!E7*1000,3)-G54)</f>
        <v/>
      </c>
    </row>
    <row r="38" spans="2:11">
      <c r="B38" s="27" t="s">
        <v>101</v>
      </c>
      <c r="C38" s="29">
        <v>25500</v>
      </c>
      <c r="D38" s="29"/>
      <c r="E38" s="34"/>
      <c r="G38" s="696" t="str">
        <f>CONCATENATE("",E1," Tot Exp/Non-Appr Must Be:")</f>
        <v>2014 Tot Exp/Non-Appr Must Be:</v>
      </c>
      <c r="H38" s="578"/>
      <c r="I38" s="690"/>
      <c r="J38" s="697">
        <f>IF(J36&gt;0,IF(E47&lt;E16,IF(J36=G49,E47,((J36-G49)*(1-D49))+E16),E47+(J36-G49)),0)</f>
        <v>0</v>
      </c>
    </row>
    <row r="39" spans="2:11">
      <c r="B39" s="27" t="s">
        <v>613</v>
      </c>
      <c r="C39" s="390" t="str">
        <f>IF(C24*0.25&lt;C38,"Not Authorized","")</f>
        <v/>
      </c>
      <c r="D39" s="390" t="str">
        <f>IF(D24*0.25&lt;D38,"Not Authorized","")</f>
        <v/>
      </c>
      <c r="E39" s="67" t="str">
        <f>IF(E24*0.25+E50&lt;E38,"Not Authorized","")</f>
        <v/>
      </c>
      <c r="G39" s="698" t="s">
        <v>812</v>
      </c>
      <c r="H39" s="699"/>
      <c r="I39" s="699"/>
      <c r="J39" s="700">
        <f>IF(J36&gt;0,J38-E47,0)</f>
        <v>0</v>
      </c>
    </row>
    <row r="40" spans="2:11">
      <c r="B40" s="35" t="s">
        <v>202</v>
      </c>
      <c r="C40" s="29"/>
      <c r="D40" s="29"/>
      <c r="E40" s="46" t="str">
        <f>nhood!E9</f>
        <v/>
      </c>
    </row>
    <row r="41" spans="2:11">
      <c r="B41" s="35" t="s">
        <v>200</v>
      </c>
      <c r="C41" s="29"/>
      <c r="D41" s="29"/>
      <c r="E41" s="34"/>
      <c r="G41" s="808" t="str">
        <f>CONCATENATE("Projected Carryover Into ",E1+1,"")</f>
        <v>Projected Carryover Into 2015</v>
      </c>
      <c r="H41" s="809"/>
      <c r="I41" s="809"/>
      <c r="J41" s="810"/>
    </row>
    <row r="42" spans="2:11">
      <c r="B42" s="35" t="s">
        <v>609</v>
      </c>
      <c r="C42" s="384" t="str">
        <f>IF(C43*0.1&lt;C41,"Exceed 10% Rule","")</f>
        <v/>
      </c>
      <c r="D42" s="384" t="str">
        <f>IF(D43*0.1&lt;D41,"Exceed 10% Rule","")</f>
        <v/>
      </c>
      <c r="E42" s="45" t="str">
        <f>IF(E43*0.1&lt;E41,"Exceed 10% Rule","")</f>
        <v/>
      </c>
      <c r="G42" s="483"/>
      <c r="H42" s="19"/>
      <c r="I42" s="19"/>
      <c r="J42" s="257"/>
    </row>
    <row r="43" spans="2:11">
      <c r="B43" s="43" t="s">
        <v>26</v>
      </c>
      <c r="C43" s="389">
        <f>SUM(C26:C38,C40:C41)</f>
        <v>117371</v>
      </c>
      <c r="D43" s="389">
        <f>SUM(D26:D38,D40:D41)</f>
        <v>118581</v>
      </c>
      <c r="E43" s="42">
        <f>SUM(E26:E38,E40:E41)</f>
        <v>114927</v>
      </c>
      <c r="G43" s="484">
        <f>D44</f>
        <v>0</v>
      </c>
      <c r="H43" s="485" t="str">
        <f>CONCATENATE("",E1-1," Ending Cash Balance (est.)")</f>
        <v>2013 Ending Cash Balance (est.)</v>
      </c>
      <c r="I43" s="486"/>
      <c r="J43" s="257"/>
    </row>
    <row r="44" spans="2:11">
      <c r="B44" s="27" t="s">
        <v>115</v>
      </c>
      <c r="C44" s="382">
        <f>C24-C43</f>
        <v>5264</v>
      </c>
      <c r="D44" s="382">
        <f>D24-D43</f>
        <v>0</v>
      </c>
      <c r="E44" s="33" t="s">
        <v>277</v>
      </c>
      <c r="G44" s="484">
        <f>E23</f>
        <v>11376</v>
      </c>
      <c r="H44" s="487" t="str">
        <f>CONCATENATE("",E1," Non-AV Receipts (est.)")</f>
        <v>2014 Non-AV Receipts (est.)</v>
      </c>
      <c r="I44" s="486"/>
      <c r="J44" s="257"/>
    </row>
    <row r="45" spans="2:11">
      <c r="B45" s="48" t="str">
        <f>CONCATENATE("",E1-2,"/",E1-1," Budget Authority Amount:")</f>
        <v>2012/2013 Budget Authority Amount:</v>
      </c>
      <c r="C45" s="132">
        <f>inputOth!B49</f>
        <v>117396</v>
      </c>
      <c r="D45" s="161">
        <f>inputPrYr!D19</f>
        <v>120837</v>
      </c>
      <c r="E45" s="33" t="s">
        <v>277</v>
      </c>
      <c r="F45" s="50"/>
      <c r="G45" s="488">
        <f>IF(D49&gt;0,E48,E50)</f>
        <v>103551</v>
      </c>
      <c r="H45" s="487" t="str">
        <f>CONCATENATE("",E1," Ad Valorem Tax (est.)")</f>
        <v>2014 Ad Valorem Tax (est.)</v>
      </c>
      <c r="I45" s="486"/>
      <c r="J45" s="257"/>
      <c r="K45" s="701" t="str">
        <f>IF(G45=E50,"","Note: Does not include Delinquent Taxes")</f>
        <v/>
      </c>
    </row>
    <row r="46" spans="2:11">
      <c r="B46" s="48"/>
      <c r="C46" s="804" t="s">
        <v>610</v>
      </c>
      <c r="D46" s="805"/>
      <c r="E46" s="34"/>
      <c r="F46" s="482" t="str">
        <f>IF(E43/0.95-E43&lt;E46,"Exceeds 5%","")</f>
        <v/>
      </c>
      <c r="G46" s="484">
        <f>SUM(G43:G45)</f>
        <v>114927</v>
      </c>
      <c r="H46" s="487" t="str">
        <f>CONCATENATE("Total ",E1," Resources Available")</f>
        <v>Total 2014 Resources Available</v>
      </c>
      <c r="I46" s="486"/>
      <c r="J46" s="257"/>
    </row>
    <row r="47" spans="2:11">
      <c r="B47" s="395" t="str">
        <f>CONCATENATE(C74,"     ",D74)</f>
        <v xml:space="preserve">     </v>
      </c>
      <c r="C47" s="806" t="s">
        <v>611</v>
      </c>
      <c r="D47" s="807"/>
      <c r="E47" s="32">
        <f>E43+E46</f>
        <v>114927</v>
      </c>
      <c r="G47" s="489"/>
      <c r="H47" s="487"/>
      <c r="I47" s="487"/>
      <c r="J47" s="257"/>
    </row>
    <row r="48" spans="2:11">
      <c r="B48" s="395" t="str">
        <f>CONCATENATE(C75,"     ",D75)</f>
        <v xml:space="preserve">     </v>
      </c>
      <c r="C48" s="60"/>
      <c r="D48" s="52" t="s">
        <v>28</v>
      </c>
      <c r="E48" s="46">
        <f>IF(E47-E24&gt;0,E47-E24,0)</f>
        <v>103551</v>
      </c>
      <c r="G48" s="488">
        <f>ROUND(C43*0.05+C43,0)</f>
        <v>123240</v>
      </c>
      <c r="H48" s="487" t="str">
        <f>CONCATENATE("Less ",E1-2," Expenditures + 5%")</f>
        <v>Less 2012 Expenditures + 5%</v>
      </c>
      <c r="I48" s="486"/>
      <c r="J48" s="257"/>
    </row>
    <row r="49" spans="2:10">
      <c r="B49" s="52"/>
      <c r="C49" s="399" t="s">
        <v>612</v>
      </c>
      <c r="D49" s="689">
        <f>inputOth!$E$40</f>
        <v>0</v>
      </c>
      <c r="E49" s="32">
        <f>ROUND(IF(D49&gt;0,(E48*D49),0),0)</f>
        <v>0</v>
      </c>
      <c r="G49" s="490">
        <f>G46-G48</f>
        <v>-8313</v>
      </c>
      <c r="H49" s="491" t="str">
        <f>CONCATENATE("Projected ",E1+1," Carryover (est.)")</f>
        <v>Projected 2015 Carryover (est.)</v>
      </c>
      <c r="I49" s="492"/>
      <c r="J49" s="493"/>
    </row>
    <row r="50" spans="2:10">
      <c r="B50" s="14"/>
      <c r="C50" s="802" t="str">
        <f>CONCATENATE("Amount of  ",$E$1-1," Ad Valorem Tax")</f>
        <v>Amount of  2013 Ad Valorem Tax</v>
      </c>
      <c r="D50" s="803"/>
      <c r="E50" s="46">
        <f>E48+E49</f>
        <v>103551</v>
      </c>
    </row>
    <row r="51" spans="2:10">
      <c r="B51" s="14"/>
      <c r="C51" s="14"/>
      <c r="D51" s="14"/>
      <c r="E51" s="14"/>
      <c r="G51" s="799" t="s">
        <v>813</v>
      </c>
      <c r="H51" s="800"/>
      <c r="I51" s="800"/>
      <c r="J51" s="801"/>
    </row>
    <row r="52" spans="2:10">
      <c r="B52" s="14"/>
      <c r="C52" s="14"/>
      <c r="D52" s="14"/>
      <c r="E52" s="14"/>
      <c r="G52" s="702"/>
      <c r="H52" s="485"/>
      <c r="I52" s="691"/>
      <c r="J52" s="703"/>
    </row>
    <row r="53" spans="2:10">
      <c r="B53" s="68" t="s">
        <v>30</v>
      </c>
      <c r="C53" s="70"/>
      <c r="D53" s="14"/>
      <c r="E53" s="14"/>
      <c r="G53" s="704">
        <f>summ!I21</f>
        <v>14.138999999999999</v>
      </c>
      <c r="H53" s="485" t="str">
        <f>CONCATENATE("",E1," Fund Mill Rate")</f>
        <v>2014 Fund Mill Rate</v>
      </c>
      <c r="I53" s="691"/>
      <c r="J53" s="703"/>
    </row>
    <row r="54" spans="2:10">
      <c r="B54" s="71" t="s">
        <v>31</v>
      </c>
      <c r="C54" s="400" t="str">
        <f>CONCATENATE("",E1-2," Actual Year")</f>
        <v>2012 Actual Year</v>
      </c>
      <c r="D54" s="14"/>
      <c r="E54" s="14"/>
      <c r="G54" s="705">
        <f>summ!F21</f>
        <v>14.76</v>
      </c>
      <c r="H54" s="485" t="str">
        <f>CONCATENATE("",E1-1," Fund Mill Rate")</f>
        <v>2013 Fund Mill Rate</v>
      </c>
      <c r="I54" s="691"/>
      <c r="J54" s="703"/>
    </row>
    <row r="55" spans="2:10">
      <c r="B55" s="72" t="s">
        <v>14</v>
      </c>
      <c r="C55" s="130">
        <v>60674</v>
      </c>
      <c r="D55" s="14"/>
      <c r="E55" s="14"/>
      <c r="G55" s="706">
        <f>summ!I32</f>
        <v>17</v>
      </c>
      <c r="H55" s="485" t="str">
        <f>CONCATENATE("Total ",E1," Mill Rate")</f>
        <v>Total 2014 Mill Rate</v>
      </c>
      <c r="I55" s="691"/>
      <c r="J55" s="703"/>
    </row>
    <row r="56" spans="2:10">
      <c r="B56" s="72" t="s">
        <v>33</v>
      </c>
      <c r="C56" s="132"/>
      <c r="D56" s="14"/>
      <c r="E56" s="14"/>
      <c r="G56" s="705">
        <f>summ!F32</f>
        <v>17</v>
      </c>
      <c r="H56" s="707" t="str">
        <f>CONCATENATE("Total ",E1-1," Mill Rate")</f>
        <v>Total 2013 Mill Rate</v>
      </c>
      <c r="I56" s="708"/>
      <c r="J56" s="709"/>
    </row>
    <row r="57" spans="2:10">
      <c r="B57" s="72" t="s">
        <v>34</v>
      </c>
      <c r="C57" s="398">
        <f>C38</f>
        <v>25500</v>
      </c>
      <c r="D57" s="74"/>
      <c r="E57" s="14"/>
    </row>
    <row r="58" spans="2:10">
      <c r="B58" s="72" t="s">
        <v>234</v>
      </c>
      <c r="C58" s="398">
        <f>gen!C43</f>
        <v>0</v>
      </c>
      <c r="D58" s="822" t="str">
        <f>IF(AND(C58&gt;0,C59&gt;0),"Not Auth. Two General Transfers - Only One","")</f>
        <v/>
      </c>
      <c r="E58" s="823"/>
      <c r="G58" s="744" t="s">
        <v>921</v>
      </c>
      <c r="H58" s="743"/>
      <c r="I58" s="742" t="str">
        <f>cert!F37</f>
        <v>Yes</v>
      </c>
    </row>
    <row r="59" spans="2:10">
      <c r="B59" s="75" t="s">
        <v>235</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86174</v>
      </c>
      <c r="D63" s="14"/>
      <c r="E63" s="14"/>
    </row>
    <row r="64" spans="2:10">
      <c r="B64" s="77" t="s">
        <v>26</v>
      </c>
      <c r="C64" s="130"/>
      <c r="D64" s="14"/>
      <c r="E64" s="14"/>
    </row>
    <row r="65" spans="2:5">
      <c r="B65" s="77" t="s">
        <v>27</v>
      </c>
      <c r="C65" s="397">
        <f>SUM(C63-C64)</f>
        <v>86174</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Lincoln Township </v>
      </c>
      <c r="C1" s="22" t="s">
        <v>35</v>
      </c>
      <c r="D1" s="14"/>
      <c r="E1" s="15">
        <f>inputPrYr!D5</f>
        <v>2014</v>
      </c>
    </row>
    <row r="2" spans="2:5">
      <c r="B2" s="17"/>
      <c r="C2" s="14"/>
      <c r="D2" s="14"/>
      <c r="E2" s="78"/>
    </row>
    <row r="3" spans="2:5">
      <c r="B3" s="532" t="s">
        <v>708</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IF(inputPrYr!H15&gt;0,inputPrYr!G20,inputPrYr!E20)</f>
        <v>0</v>
      </c>
      <c r="E8" s="33" t="s">
        <v>277</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702</v>
      </c>
      <c r="H26" s="615"/>
      <c r="I26" s="615"/>
      <c r="J26" s="618">
        <v>0</v>
      </c>
      <c r="K26" s="582"/>
    </row>
    <row r="27" spans="2:11">
      <c r="B27" s="38"/>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nhood!E10</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17</v>
      </c>
      <c r="H45" s="632" t="str">
        <f>CONCATENATE("Total ",E1," Mill Rate")</f>
        <v>Total 2014 Mill Rate</v>
      </c>
      <c r="I45" s="656"/>
      <c r="J45" s="657"/>
      <c r="K45" s="582"/>
    </row>
    <row r="46" spans="2:11">
      <c r="B46" s="27" t="s">
        <v>114</v>
      </c>
      <c r="C46" s="29"/>
      <c r="D46" s="387">
        <f>C74</f>
        <v>0</v>
      </c>
      <c r="E46" s="32">
        <f>D74</f>
        <v>0</v>
      </c>
      <c r="G46" s="659">
        <f>summ!F32</f>
        <v>17</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IF(inputPrYr!H15&gt;0,inputPrYr!G21,inputPrYr!E21)</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nhood!E11</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17</v>
      </c>
      <c r="H85" s="632" t="str">
        <f>CONCATENATE("Total ",E1," Mill Rate")</f>
        <v>Total 2014 Mill Rate</v>
      </c>
      <c r="I85" s="656"/>
      <c r="J85" s="657"/>
      <c r="K85" s="582"/>
    </row>
    <row r="86" spans="2:11">
      <c r="G86" s="659">
        <f>summ!F32</f>
        <v>17</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Lincoln Township </v>
      </c>
      <c r="C1" s="14"/>
      <c r="D1" s="14"/>
      <c r="E1" s="15">
        <f>inputPrYr!D5</f>
        <v>2014</v>
      </c>
    </row>
    <row r="2" spans="2:5">
      <c r="B2" s="17"/>
      <c r="C2" s="14"/>
      <c r="D2" s="61"/>
      <c r="E2" s="82"/>
    </row>
    <row r="3" spans="2:5">
      <c r="B3" s="532" t="s">
        <v>708</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IF(inputPrYr!H15&gt;0,inputPrYr!G22,inputPrYr!E22)</f>
        <v>0</v>
      </c>
      <c r="E8" s="33" t="s">
        <v>277</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702</v>
      </c>
      <c r="H26" s="615"/>
      <c r="I26" s="615"/>
      <c r="J26" s="618">
        <v>0</v>
      </c>
      <c r="K26" s="582"/>
    </row>
    <row r="27" spans="2:11">
      <c r="B27" s="38"/>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nhood!E12</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17</v>
      </c>
      <c r="H45" s="632" t="str">
        <f>CONCATENATE("Total ",E1," Mill Rate")</f>
        <v>Total 2014 Mill Rate</v>
      </c>
      <c r="I45" s="656"/>
      <c r="J45" s="657"/>
      <c r="K45" s="582"/>
    </row>
    <row r="46" spans="2:11">
      <c r="B46" s="27" t="s">
        <v>114</v>
      </c>
      <c r="C46" s="29"/>
      <c r="D46" s="387">
        <f>C74</f>
        <v>0</v>
      </c>
      <c r="E46" s="32">
        <f>D74</f>
        <v>0</v>
      </c>
      <c r="G46" s="659">
        <f>summ!F32</f>
        <v>17</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IF(inputPrYr!H15&gt;0,inputPrYr!G23,inputPrYr!E23)</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nhood!E13</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17</v>
      </c>
      <c r="H85" s="632" t="str">
        <f>CONCATENATE("Total ",E1," Mill Rate")</f>
        <v>Total 2014 Mill Rate</v>
      </c>
      <c r="I85" s="656"/>
      <c r="J85" s="657"/>
      <c r="K85" s="582"/>
    </row>
    <row r="86" spans="2:11">
      <c r="G86" s="659">
        <f>summ!F32</f>
        <v>17</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Lincoln Township </v>
      </c>
      <c r="C1" s="14"/>
      <c r="D1" s="14"/>
      <c r="E1" s="15">
        <f>inputPrYr!D5</f>
        <v>2014</v>
      </c>
    </row>
    <row r="2" spans="2:5">
      <c r="B2" s="17"/>
      <c r="C2" s="14"/>
      <c r="D2" s="61"/>
      <c r="E2" s="62"/>
    </row>
    <row r="3" spans="2:5">
      <c r="B3" s="532" t="s">
        <v>708</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IF(inputPrYr!H15&gt;0,inputPrYr!G24,inputPrYr!E24)</f>
        <v>0</v>
      </c>
      <c r="E8" s="33" t="s">
        <v>277</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702</v>
      </c>
      <c r="H26" s="615"/>
      <c r="I26" s="615"/>
      <c r="J26" s="618">
        <v>0</v>
      </c>
      <c r="K26" s="582"/>
    </row>
    <row r="27" spans="2:11">
      <c r="B27" s="29"/>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nhood!E14</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17</v>
      </c>
      <c r="H45" s="632" t="str">
        <f>CONCATENATE("Total ",E1," Mill Rate")</f>
        <v>Total 2014 Mill Rate</v>
      </c>
      <c r="I45" s="656"/>
      <c r="J45" s="657"/>
      <c r="K45" s="582"/>
    </row>
    <row r="46" spans="2:11">
      <c r="B46" s="27" t="s">
        <v>114</v>
      </c>
      <c r="C46" s="29"/>
      <c r="D46" s="387">
        <f>C74</f>
        <v>0</v>
      </c>
      <c r="E46" s="32">
        <f>D74</f>
        <v>0</v>
      </c>
      <c r="G46" s="659">
        <f>summ!F32</f>
        <v>17</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IF(inputPrYr!H15&gt;0,inputPrYr!G25,inputPrYr!E25)</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nhood!E15</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611</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17</v>
      </c>
      <c r="H85" s="632" t="str">
        <f>CONCATENATE("Total ",E1," Mill Rate")</f>
        <v>Total 2014 Mill Rate</v>
      </c>
      <c r="I85" s="656"/>
      <c r="J85" s="657"/>
      <c r="K85" s="582"/>
    </row>
    <row r="86" spans="2:11">
      <c r="G86" s="659">
        <f>summ!F32</f>
        <v>17</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 xml:space="preserve">Lincoln Township </v>
      </c>
      <c r="C1" s="14"/>
      <c r="D1" s="14"/>
      <c r="E1" s="15">
        <f>inputPrYr!D5</f>
        <v>2014</v>
      </c>
    </row>
    <row r="2" spans="2:5">
      <c r="B2" s="14"/>
      <c r="C2" s="14"/>
      <c r="D2" s="14"/>
      <c r="E2" s="52"/>
    </row>
    <row r="3" spans="2:5">
      <c r="B3" s="17" t="s">
        <v>131</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132</v>
      </c>
      <c r="C6" s="34"/>
      <c r="D6" s="32">
        <f>C29</f>
        <v>0</v>
      </c>
      <c r="E6" s="32">
        <f>D29</f>
        <v>0</v>
      </c>
    </row>
    <row r="7" spans="2:5" s="16" customFormat="1">
      <c r="B7" s="84" t="s">
        <v>116</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200</v>
      </c>
      <c r="C13" s="34"/>
      <c r="D13" s="30"/>
      <c r="E13" s="30"/>
    </row>
    <row r="14" spans="2:5">
      <c r="B14" s="39" t="s">
        <v>201</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200</v>
      </c>
      <c r="C26" s="34"/>
      <c r="D26" s="30"/>
      <c r="E26" s="30"/>
    </row>
    <row r="27" spans="2:5">
      <c r="B27" s="35" t="s">
        <v>609</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115</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132</v>
      </c>
      <c r="C37" s="34"/>
      <c r="D37" s="32">
        <f>C60</f>
        <v>0</v>
      </c>
      <c r="E37" s="32">
        <f>D60</f>
        <v>0</v>
      </c>
    </row>
    <row r="38" spans="2:5" s="16" customFormat="1">
      <c r="B38" s="83" t="s">
        <v>116</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200</v>
      </c>
      <c r="C44" s="34"/>
      <c r="D44" s="30"/>
      <c r="E44" s="30"/>
    </row>
    <row r="45" spans="2:5">
      <c r="B45" s="39" t="s">
        <v>201</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200</v>
      </c>
      <c r="C57" s="34"/>
      <c r="D57" s="30"/>
      <c r="E57" s="30"/>
    </row>
    <row r="58" spans="2:5">
      <c r="B58" s="35" t="s">
        <v>609</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115</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257</v>
      </c>
      <c r="B1" s="14"/>
      <c r="C1" s="14"/>
      <c r="D1" s="14"/>
      <c r="E1" s="14"/>
    </row>
    <row r="2" spans="1:8">
      <c r="A2" s="68" t="s">
        <v>214</v>
      </c>
      <c r="B2" s="14"/>
      <c r="C2" s="14"/>
      <c r="D2" s="377" t="s">
        <v>938</v>
      </c>
      <c r="E2" s="19"/>
    </row>
    <row r="3" spans="1:8">
      <c r="A3" s="68" t="s">
        <v>213</v>
      </c>
      <c r="B3" s="14"/>
      <c r="C3" s="14"/>
      <c r="D3" s="378" t="s">
        <v>933</v>
      </c>
      <c r="E3" s="19"/>
    </row>
    <row r="4" spans="1:8">
      <c r="A4" s="14"/>
      <c r="B4" s="14"/>
      <c r="C4" s="14"/>
      <c r="D4" s="14"/>
      <c r="E4" s="14"/>
    </row>
    <row r="5" spans="1:8">
      <c r="A5" s="17" t="s">
        <v>134</v>
      </c>
      <c r="B5" s="14"/>
      <c r="C5" s="14"/>
      <c r="D5" s="306">
        <v>2014</v>
      </c>
      <c r="E5" s="14"/>
    </row>
    <row r="6" spans="1:8">
      <c r="A6" s="14"/>
      <c r="B6" s="14"/>
      <c r="C6" s="14"/>
      <c r="D6" s="14"/>
      <c r="E6" s="14"/>
    </row>
    <row r="7" spans="1:8">
      <c r="A7" s="144" t="s">
        <v>136</v>
      </c>
      <c r="B7" s="148"/>
      <c r="C7" s="148"/>
      <c r="D7" s="148"/>
      <c r="E7" s="148"/>
      <c r="F7" s="14"/>
      <c r="G7" s="752" t="s">
        <v>745</v>
      </c>
      <c r="H7" s="753"/>
    </row>
    <row r="8" spans="1:8">
      <c r="A8" s="144" t="s">
        <v>188</v>
      </c>
      <c r="B8" s="148"/>
      <c r="C8" s="148"/>
      <c r="D8" s="148"/>
      <c r="E8" s="148"/>
      <c r="F8" s="14"/>
      <c r="G8" s="754"/>
      <c r="H8" s="753"/>
    </row>
    <row r="9" spans="1:8">
      <c r="A9" s="14"/>
      <c r="B9" s="14"/>
      <c r="C9" s="14"/>
      <c r="D9" s="14"/>
      <c r="E9" s="14"/>
      <c r="F9" s="14"/>
      <c r="G9" s="754"/>
      <c r="H9" s="753"/>
    </row>
    <row r="10" spans="1:8">
      <c r="A10" s="750" t="s">
        <v>146</v>
      </c>
      <c r="B10" s="751"/>
      <c r="C10" s="751"/>
      <c r="D10" s="751"/>
      <c r="E10" s="751"/>
      <c r="F10" s="14"/>
      <c r="G10" s="754"/>
      <c r="H10" s="753"/>
    </row>
    <row r="11" spans="1:8">
      <c r="A11" s="68"/>
      <c r="B11" s="14"/>
      <c r="C11" s="14"/>
      <c r="D11" s="14"/>
      <c r="E11" s="14"/>
      <c r="F11" s="14"/>
      <c r="G11" s="754"/>
      <c r="H11" s="753"/>
    </row>
    <row r="12" spans="1:8">
      <c r="A12" s="307" t="s">
        <v>135</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303</v>
      </c>
      <c r="B14" s="310"/>
      <c r="C14" s="49"/>
      <c r="D14" s="311">
        <f>$D$5-1</f>
        <v>2013</v>
      </c>
      <c r="E14" s="312">
        <f>$D$5-2</f>
        <v>2012</v>
      </c>
      <c r="G14" s="171" t="s">
        <v>746</v>
      </c>
      <c r="H14" s="179" t="s">
        <v>29</v>
      </c>
    </row>
    <row r="15" spans="1:8">
      <c r="A15" s="22" t="s">
        <v>259</v>
      </c>
      <c r="B15" s="14"/>
      <c r="C15" s="313" t="s">
        <v>258</v>
      </c>
      <c r="D15" s="314" t="s">
        <v>330</v>
      </c>
      <c r="E15" s="315" t="s">
        <v>16</v>
      </c>
      <c r="G15" s="177" t="str">
        <f>CONCATENATE("",E14," Ad Valorem Tax")</f>
        <v>2012 Ad Valorem Tax</v>
      </c>
      <c r="H15" s="731">
        <v>0</v>
      </c>
    </row>
    <row r="16" spans="1:8">
      <c r="A16" s="14"/>
      <c r="B16" s="72" t="s">
        <v>260</v>
      </c>
      <c r="C16" s="161" t="s">
        <v>261</v>
      </c>
      <c r="D16" s="187">
        <v>21768</v>
      </c>
      <c r="E16" s="187">
        <v>15556</v>
      </c>
      <c r="G16" s="32">
        <f>IF(H15&gt;0,ROUND(E16-(E16*H15),0),0)</f>
        <v>0</v>
      </c>
    </row>
    <row r="17" spans="1:7">
      <c r="A17" s="14"/>
      <c r="B17" s="72" t="s">
        <v>287</v>
      </c>
      <c r="C17" s="161" t="s">
        <v>141</v>
      </c>
      <c r="D17" s="187"/>
      <c r="E17" s="187"/>
      <c r="G17" s="32">
        <f>IF(H15&gt;0,ROUND(E17-(E17*H15),0),0)</f>
        <v>0</v>
      </c>
    </row>
    <row r="18" spans="1:7">
      <c r="A18" s="14"/>
      <c r="B18" s="72" t="s">
        <v>816</v>
      </c>
      <c r="C18" s="682" t="s">
        <v>817</v>
      </c>
      <c r="D18" s="187"/>
      <c r="E18" s="187"/>
      <c r="G18" s="32">
        <f>IF(H15&gt;0,ROUND(E18-(E18*H15),0),0)</f>
        <v>0</v>
      </c>
    </row>
    <row r="19" spans="1:7">
      <c r="A19" s="14"/>
      <c r="B19" s="72" t="s">
        <v>262</v>
      </c>
      <c r="C19" s="179" t="s">
        <v>302</v>
      </c>
      <c r="D19" s="187">
        <v>120837</v>
      </c>
      <c r="E19" s="187">
        <v>102513</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118069</v>
      </c>
    </row>
    <row r="27" spans="1:7">
      <c r="A27" s="19"/>
      <c r="B27" s="19"/>
      <c r="C27" s="19"/>
      <c r="D27" s="24"/>
      <c r="E27" s="140"/>
    </row>
    <row r="28" spans="1:7">
      <c r="A28" s="14" t="s">
        <v>130</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142605</v>
      </c>
      <c r="E31" s="14"/>
    </row>
    <row r="32" spans="1:7">
      <c r="A32" s="14"/>
      <c r="B32" s="14"/>
      <c r="C32" s="14"/>
      <c r="D32" s="14"/>
      <c r="E32" s="14"/>
    </row>
    <row r="33" spans="1:5">
      <c r="A33" s="274" t="s">
        <v>325</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135</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2.9140000000000001</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15.064</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17.978000000000002</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127176</v>
      </c>
    </row>
    <row r="55" spans="1:5">
      <c r="A55" s="327" t="str">
        <f>CONCATENATE("Assessed Valuation (",D5-2," budget column)")</f>
        <v>Assessed Valuation (2012 budget column)</v>
      </c>
      <c r="B55" s="328"/>
      <c r="C55" s="267"/>
      <c r="D55" s="28"/>
      <c r="E55" s="187">
        <v>7074216</v>
      </c>
    </row>
    <row r="56" spans="1:5">
      <c r="A56" s="274"/>
      <c r="B56" s="19"/>
      <c r="C56" s="19"/>
      <c r="D56" s="19"/>
      <c r="E56" s="284"/>
    </row>
    <row r="57" spans="1:5">
      <c r="A57" s="14"/>
      <c r="B57" s="14"/>
      <c r="C57" s="14"/>
      <c r="D57" s="14"/>
      <c r="E57" s="55"/>
    </row>
    <row r="58" spans="1:5">
      <c r="A58" s="293" t="s">
        <v>189</v>
      </c>
      <c r="B58" s="293"/>
      <c r="C58" s="129"/>
      <c r="D58" s="329">
        <f>D5-3</f>
        <v>2011</v>
      </c>
      <c r="E58" s="329">
        <f>D5-2</f>
        <v>2012</v>
      </c>
    </row>
    <row r="59" spans="1:5">
      <c r="A59" s="326" t="s">
        <v>153</v>
      </c>
      <c r="B59" s="326"/>
      <c r="C59" s="330"/>
      <c r="D59" s="36"/>
      <c r="E59" s="36"/>
    </row>
    <row r="60" spans="1:5">
      <c r="A60" s="328" t="s">
        <v>154</v>
      </c>
      <c r="B60" s="328"/>
      <c r="C60" s="331"/>
      <c r="D60" s="36"/>
      <c r="E60" s="36"/>
    </row>
    <row r="61" spans="1:5">
      <c r="A61" s="328" t="s">
        <v>155</v>
      </c>
      <c r="B61" s="328"/>
      <c r="C61" s="331"/>
      <c r="D61" s="36"/>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 xml:space="preserve">Lincoln Township </v>
      </c>
      <c r="B1" s="89"/>
      <c r="C1" s="90"/>
      <c r="D1" s="90"/>
      <c r="E1" s="90"/>
      <c r="F1" s="91" t="s">
        <v>313</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314</v>
      </c>
      <c r="B3" s="90"/>
      <c r="C3" s="90"/>
      <c r="D3" s="90"/>
      <c r="E3" s="90"/>
      <c r="F3" s="89"/>
      <c r="G3" s="90"/>
      <c r="H3" s="90"/>
      <c r="I3" s="90"/>
      <c r="J3" s="90"/>
      <c r="K3" s="90"/>
    </row>
    <row r="4" spans="1:11">
      <c r="A4" s="90" t="s">
        <v>315</v>
      </c>
      <c r="B4" s="90"/>
      <c r="C4" s="90" t="s">
        <v>316</v>
      </c>
      <c r="D4" s="90"/>
      <c r="E4" s="90" t="s">
        <v>317</v>
      </c>
      <c r="F4" s="89"/>
      <c r="G4" s="90" t="s">
        <v>318</v>
      </c>
      <c r="H4" s="90"/>
      <c r="I4" s="90" t="s">
        <v>319</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320</v>
      </c>
      <c r="B6" s="96"/>
      <c r="C6" s="97" t="s">
        <v>320</v>
      </c>
      <c r="D6" s="98"/>
      <c r="E6" s="97" t="s">
        <v>320</v>
      </c>
      <c r="F6" s="99"/>
      <c r="G6" s="97" t="s">
        <v>320</v>
      </c>
      <c r="H6" s="93"/>
      <c r="I6" s="97" t="s">
        <v>320</v>
      </c>
      <c r="J6" s="90"/>
      <c r="K6" s="100" t="s">
        <v>263</v>
      </c>
    </row>
    <row r="7" spans="1:11">
      <c r="A7" s="101" t="s">
        <v>321</v>
      </c>
      <c r="B7" s="102"/>
      <c r="C7" s="103" t="s">
        <v>321</v>
      </c>
      <c r="D7" s="102"/>
      <c r="E7" s="103" t="s">
        <v>321</v>
      </c>
      <c r="F7" s="102"/>
      <c r="G7" s="103" t="s">
        <v>321</v>
      </c>
      <c r="H7" s="102"/>
      <c r="I7" s="103" t="s">
        <v>321</v>
      </c>
      <c r="J7" s="102"/>
      <c r="K7" s="104">
        <f>SUM(B7+D7+F7+H7+J7)</f>
        <v>0</v>
      </c>
    </row>
    <row r="8" spans="1:11">
      <c r="A8" s="105" t="s">
        <v>116</v>
      </c>
      <c r="B8" s="106"/>
      <c r="C8" s="105" t="s">
        <v>116</v>
      </c>
      <c r="D8" s="107"/>
      <c r="E8" s="105" t="s">
        <v>116</v>
      </c>
      <c r="F8" s="89"/>
      <c r="G8" s="105" t="s">
        <v>116</v>
      </c>
      <c r="H8" s="90"/>
      <c r="I8" s="105" t="s">
        <v>116</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322</v>
      </c>
      <c r="B29" s="104">
        <f>SUM(B18-B28)</f>
        <v>0</v>
      </c>
      <c r="C29" s="105" t="s">
        <v>322</v>
      </c>
      <c r="D29" s="104">
        <f>SUM(D18-D28)</f>
        <v>0</v>
      </c>
      <c r="E29" s="105" t="s">
        <v>322</v>
      </c>
      <c r="F29" s="104">
        <f>SUM(F18-F28)</f>
        <v>0</v>
      </c>
      <c r="G29" s="105" t="s">
        <v>322</v>
      </c>
      <c r="H29" s="104">
        <f>SUM(H18-H28)</f>
        <v>0</v>
      </c>
      <c r="I29" s="105" t="s">
        <v>322</v>
      </c>
      <c r="J29" s="104">
        <f>SUM(J18-J28)</f>
        <v>0</v>
      </c>
      <c r="K29" s="119">
        <f>SUM(B29+D29+F29+H29+J29)</f>
        <v>0</v>
      </c>
      <c r="L29" s="80" t="s">
        <v>323</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323</v>
      </c>
    </row>
    <row r="31" spans="1:12">
      <c r="A31" s="90"/>
      <c r="B31" s="120"/>
      <c r="C31" s="90"/>
      <c r="D31" s="89"/>
      <c r="E31" s="90"/>
      <c r="F31" s="90"/>
      <c r="G31" s="121" t="s">
        <v>324</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331</v>
      </c>
    </row>
    <row r="2" spans="1:1" ht="54.75" customHeight="1">
      <c r="A2" s="164" t="s">
        <v>332</v>
      </c>
    </row>
    <row r="3" spans="1:1">
      <c r="A3" s="165"/>
    </row>
    <row r="4" spans="1:1" ht="56.25" customHeight="1">
      <c r="A4" s="164" t="s">
        <v>333</v>
      </c>
    </row>
    <row r="5" spans="1:1">
      <c r="A5" s="80"/>
    </row>
    <row r="6" spans="1:1" ht="50.25" customHeight="1">
      <c r="A6" s="164" t="s">
        <v>334</v>
      </c>
    </row>
    <row r="7" spans="1:1" ht="16.5" customHeight="1">
      <c r="A7" s="164"/>
    </row>
    <row r="8" spans="1:1" ht="50.25" customHeight="1">
      <c r="A8" s="481" t="s">
        <v>701</v>
      </c>
    </row>
    <row r="9" spans="1:1">
      <c r="A9" s="165"/>
    </row>
    <row r="10" spans="1:1" ht="40.5" customHeight="1">
      <c r="A10" s="164" t="s">
        <v>335</v>
      </c>
    </row>
    <row r="11" spans="1:1">
      <c r="A11" s="80"/>
    </row>
    <row r="12" spans="1:1" ht="40.5" customHeight="1">
      <c r="A12" s="164" t="s">
        <v>336</v>
      </c>
    </row>
    <row r="13" spans="1:1">
      <c r="A13" s="165"/>
    </row>
    <row r="14" spans="1:1" ht="71.25" customHeight="1">
      <c r="A14" s="164" t="s">
        <v>337</v>
      </c>
    </row>
    <row r="15" spans="1:1">
      <c r="A15" s="165"/>
    </row>
    <row r="16" spans="1:1" ht="40.5" customHeight="1">
      <c r="A16" s="164" t="s">
        <v>338</v>
      </c>
    </row>
    <row r="17" spans="1:1">
      <c r="A17" s="80"/>
    </row>
    <row r="18" spans="1:1" ht="49.5" customHeight="1">
      <c r="A18" s="164" t="s">
        <v>339</v>
      </c>
    </row>
    <row r="19" spans="1:1">
      <c r="A19" s="165"/>
    </row>
    <row r="20" spans="1:1" ht="52.5" customHeight="1">
      <c r="A20" s="164" t="s">
        <v>340</v>
      </c>
    </row>
    <row r="21" spans="1:1">
      <c r="A21" s="165"/>
    </row>
    <row r="22" spans="1:1" ht="48.75" customHeight="1">
      <c r="A22" s="164" t="s">
        <v>341</v>
      </c>
    </row>
    <row r="23" spans="1:1">
      <c r="A23" s="165"/>
    </row>
    <row r="24" spans="1:1">
      <c r="A24" s="80"/>
    </row>
    <row r="25" spans="1:1" ht="51.75" customHeight="1">
      <c r="A25" s="164" t="s">
        <v>342</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130" zoomScaleNormal="130" workbookViewId="0">
      <selection activeCell="G56" sqref="G5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 xml:space="preserve">Lincoln Township </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19, 2013 at 6:00 PM at Lincoln Township Hall, 110 Trumble Rd., Burns for the purpose of hearing and</v>
      </c>
      <c r="C7" s="775"/>
      <c r="D7" s="775"/>
      <c r="E7" s="775"/>
      <c r="F7" s="775"/>
      <c r="G7" s="775"/>
      <c r="H7" s="775"/>
      <c r="I7" s="775"/>
    </row>
    <row r="8" spans="2:10">
      <c r="B8" s="147" t="s">
        <v>590</v>
      </c>
      <c r="C8" s="145"/>
      <c r="D8" s="145"/>
      <c r="E8" s="145"/>
      <c r="F8" s="145"/>
      <c r="G8" s="145"/>
      <c r="H8" s="145"/>
      <c r="I8" s="145"/>
    </row>
    <row r="9" spans="2:10">
      <c r="B9" s="147" t="str">
        <f>CONCATENATE("Detailed budget information is available at ",inputBudSum!B15," and will be available at this hearing.")</f>
        <v>Detailed budget information is available at John Cooper's Residence at 66 NW 85th, El Dorado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196</v>
      </c>
      <c r="H16" s="838"/>
      <c r="I16" s="156" t="s">
        <v>40</v>
      </c>
      <c r="J16" s="149"/>
    </row>
    <row r="17" spans="2:14">
      <c r="B17" s="25" t="s">
        <v>273</v>
      </c>
      <c r="C17" s="26" t="s">
        <v>41</v>
      </c>
      <c r="D17" s="26" t="s">
        <v>42</v>
      </c>
      <c r="E17" s="26" t="s">
        <v>41</v>
      </c>
      <c r="F17" s="26" t="s">
        <v>42</v>
      </c>
      <c r="G17" s="26" t="s">
        <v>707</v>
      </c>
      <c r="H17" s="839"/>
      <c r="I17" s="26" t="s">
        <v>42</v>
      </c>
      <c r="J17" s="149"/>
    </row>
    <row r="18" spans="2:14">
      <c r="B18" s="85" t="str">
        <f>inputPrYr!B16</f>
        <v>General</v>
      </c>
      <c r="C18" s="63">
        <f>IF(gen!$C$50&lt;&gt;0,gen!$C$50,"  ")</f>
        <v>21701</v>
      </c>
      <c r="D18" s="524">
        <f>IF(inputPrYr!D42&gt;0,inputPrYr!D42,"  ")</f>
        <v>2.9140000000000001</v>
      </c>
      <c r="E18" s="32">
        <f>IF(gen!$D$50&lt;&gt;0,gen!$D$50,"  ")</f>
        <v>21280</v>
      </c>
      <c r="F18" s="235">
        <f>IF(inputOth!D17&gt;0,inputOth!D17,"  ")</f>
        <v>2.2400000000000002</v>
      </c>
      <c r="G18" s="32">
        <f>IF(gen!$E$50&lt;&gt;0,gen!$E$50,"  ")</f>
        <v>21768</v>
      </c>
      <c r="H18" s="32">
        <f>IF(gen!$E$57&lt;&gt;0,gen!$E$57," ")</f>
        <v>20954</v>
      </c>
      <c r="I18" s="526">
        <f>IF(gen!E57&gt;0,ROUND(H18/$G$37*1000,3)," ")</f>
        <v>2.8610000000000002</v>
      </c>
      <c r="J18" s="149"/>
    </row>
    <row r="19" spans="2:14">
      <c r="B19" s="85" t="s">
        <v>287</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117371</v>
      </c>
      <c r="D21" s="524">
        <f>IF(inputPrYr!D45&gt;0,inputPrYr!D45,"  ")</f>
        <v>15.064</v>
      </c>
      <c r="E21" s="32">
        <f>IF(road!$D$43&lt;&gt;0,road!$D$43,"  ")</f>
        <v>118581</v>
      </c>
      <c r="F21" s="235">
        <f>IF(inputOth!D20&gt;0,inputOth!D20,"  ")</f>
        <v>14.76</v>
      </c>
      <c r="G21" s="32">
        <f>IF(road!$E$43&lt;&gt;0,road!$E$43,"  ")</f>
        <v>114927</v>
      </c>
      <c r="H21" s="32">
        <f>IF(road!$E$50&lt;&gt;0,road!$E$50,"  ")</f>
        <v>103551</v>
      </c>
      <c r="I21" s="526">
        <f>IF(road!E50&gt;0,ROUND(H21/$G$37*1000,3)," ")</f>
        <v>14.138999999999999</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704</v>
      </c>
      <c r="L23" s="504"/>
      <c r="M23" s="504"/>
      <c r="N23" s="505">
        <f>ROUND(G37/1000,0)</f>
        <v>7324</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17</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-3</v>
      </c>
    </row>
    <row r="31" spans="2:14" ht="16.5" thickBot="1">
      <c r="B31" s="72" t="s">
        <v>275</v>
      </c>
      <c r="C31" s="479" t="str">
        <f>IF(road!C64&lt;&gt;0,road!C64,"  ")</f>
        <v xml:space="preserve">  </v>
      </c>
      <c r="D31" s="480"/>
      <c r="E31" s="525"/>
      <c r="F31" s="480"/>
      <c r="G31" s="525"/>
      <c r="H31" s="525"/>
      <c r="I31" s="480"/>
      <c r="K31" s="514"/>
      <c r="L31" s="514"/>
      <c r="M31" s="514"/>
      <c r="N31" s="514"/>
    </row>
    <row r="32" spans="2:14">
      <c r="B32" s="72" t="s">
        <v>276</v>
      </c>
      <c r="C32" s="527">
        <f t="shared" ref="C32:I32" si="0">SUM(C18:C31)</f>
        <v>139072</v>
      </c>
      <c r="D32" s="478">
        <f t="shared" si="0"/>
        <v>17.978000000000002</v>
      </c>
      <c r="E32" s="527">
        <f t="shared" si="0"/>
        <v>139861</v>
      </c>
      <c r="F32" s="478">
        <f t="shared" si="0"/>
        <v>17</v>
      </c>
      <c r="G32" s="527">
        <f t="shared" si="0"/>
        <v>136695</v>
      </c>
      <c r="H32" s="527">
        <f t="shared" si="0"/>
        <v>124505</v>
      </c>
      <c r="I32" s="530">
        <f t="shared" si="0"/>
        <v>17</v>
      </c>
      <c r="K32" s="831" t="str">
        <f>CONCATENATE("Impact On Keeping The Same Mill Rate As For ",I1-1,"")</f>
        <v>Impact On Keeping The Same Mill Rate As For 2013</v>
      </c>
      <c r="L32" s="832"/>
      <c r="M32" s="832"/>
      <c r="N32" s="833"/>
    </row>
    <row r="33" spans="2:14">
      <c r="B33" s="274" t="s">
        <v>43</v>
      </c>
      <c r="C33" s="32">
        <f>transfer!C29</f>
        <v>25500</v>
      </c>
      <c r="D33" s="14"/>
      <c r="E33" s="32">
        <f>transfer!D29</f>
        <v>0</v>
      </c>
      <c r="F33" s="61"/>
      <c r="G33" s="32">
        <f>transfer!E29</f>
        <v>0</v>
      </c>
      <c r="H33" s="14"/>
      <c r="I33" s="14"/>
      <c r="K33" s="507"/>
      <c r="L33" s="501"/>
      <c r="M33" s="501"/>
      <c r="N33" s="508"/>
    </row>
    <row r="34" spans="2:14" ht="16.5" thickBot="1">
      <c r="B34" s="274" t="s">
        <v>44</v>
      </c>
      <c r="C34" s="528">
        <f>C32-C33</f>
        <v>113572</v>
      </c>
      <c r="D34" s="14"/>
      <c r="E34" s="528">
        <f>E32-E33</f>
        <v>139861</v>
      </c>
      <c r="F34" s="14"/>
      <c r="G34" s="528">
        <f>G32-G33</f>
        <v>136695</v>
      </c>
      <c r="H34" s="14"/>
      <c r="I34" s="14"/>
      <c r="K34" s="507" t="str">
        <f>CONCATENATE("",I1," Ad Valorem Tax Revenue:")</f>
        <v>2014 Ad Valorem Tax Revenue:</v>
      </c>
      <c r="L34" s="501"/>
      <c r="M34" s="501"/>
      <c r="N34" s="502">
        <f>H32</f>
        <v>124505</v>
      </c>
    </row>
    <row r="35" spans="2:14" ht="16.5" thickTop="1">
      <c r="B35" s="274" t="s">
        <v>45</v>
      </c>
      <c r="C35" s="529">
        <f>inputPrYr!E54</f>
        <v>127176</v>
      </c>
      <c r="D35" s="61"/>
      <c r="E35" s="529">
        <f>inputPrYr!E26</f>
        <v>118069</v>
      </c>
      <c r="F35" s="14"/>
      <c r="G35" s="520" t="s">
        <v>277</v>
      </c>
      <c r="H35" s="14"/>
      <c r="I35" s="14"/>
      <c r="K35" s="507" t="str">
        <f>CONCATENATE("",I1-1," Ad Valorem Tax Revenue:")</f>
        <v>2013 Ad Valorem Tax Revenue:</v>
      </c>
      <c r="L35" s="501"/>
      <c r="M35" s="501"/>
      <c r="N35" s="515">
        <f>ROUND(G37*N27/1000,0)</f>
        <v>124502</v>
      </c>
    </row>
    <row r="36" spans="2:14">
      <c r="B36" s="274" t="s">
        <v>46</v>
      </c>
      <c r="C36" s="55"/>
      <c r="D36" s="61"/>
      <c r="E36" s="55"/>
      <c r="F36" s="61"/>
      <c r="G36" s="14"/>
      <c r="H36" s="14"/>
      <c r="I36" s="14"/>
      <c r="K36" s="512" t="s">
        <v>705</v>
      </c>
      <c r="L36" s="513"/>
      <c r="M36" s="513"/>
      <c r="N36" s="505">
        <f>N34-N35</f>
        <v>3</v>
      </c>
    </row>
    <row r="37" spans="2:14">
      <c r="B37" s="274" t="s">
        <v>47</v>
      </c>
      <c r="C37" s="32">
        <f>inputPrYr!E55</f>
        <v>7074216</v>
      </c>
      <c r="D37" s="14"/>
      <c r="E37" s="32">
        <f>inputOth!E29</f>
        <v>6947757</v>
      </c>
      <c r="F37" s="14"/>
      <c r="G37" s="32">
        <f>inputOth!E7</f>
        <v>7323618</v>
      </c>
      <c r="H37" s="14"/>
      <c r="I37" s="14"/>
      <c r="K37" s="506"/>
      <c r="L37" s="506"/>
      <c r="M37" s="506"/>
      <c r="N37" s="514"/>
    </row>
    <row r="38" spans="2:14">
      <c r="B38" s="22" t="s">
        <v>48</v>
      </c>
      <c r="C38" s="14"/>
      <c r="D38" s="14"/>
      <c r="E38" s="14"/>
      <c r="F38" s="14"/>
      <c r="G38" s="14"/>
      <c r="H38" s="14"/>
      <c r="I38" s="14"/>
      <c r="K38" s="831" t="s">
        <v>706</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17</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John Cooper</v>
      </c>
      <c r="C46" s="830"/>
      <c r="D46" s="14"/>
      <c r="E46" s="14"/>
      <c r="F46" s="14"/>
      <c r="G46" s="14"/>
      <c r="H46" s="14"/>
      <c r="I46" s="14"/>
    </row>
    <row r="47" spans="2:14">
      <c r="B47" s="828" t="str">
        <f>inputBudSum!B6</f>
        <v>Treasurer</v>
      </c>
      <c r="C47" s="829"/>
      <c r="D47" s="14"/>
      <c r="E47" s="14"/>
      <c r="F47" s="14"/>
      <c r="G47" s="14"/>
      <c r="H47" s="14"/>
      <c r="I47" s="14"/>
    </row>
    <row r="48" spans="2:14">
      <c r="B48" s="14"/>
      <c r="C48" s="14"/>
      <c r="D48" s="14"/>
      <c r="E48" s="14"/>
      <c r="F48" s="14"/>
      <c r="G48" s="14"/>
      <c r="H48" s="14"/>
      <c r="I48" s="14"/>
    </row>
    <row r="49" spans="2:9">
      <c r="B49" s="14"/>
      <c r="C49" s="52" t="s">
        <v>9</v>
      </c>
      <c r="D49" s="81">
        <v>8</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 xml:space="preserve">Lincoln Township </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199</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7323618</v>
      </c>
      <c r="E19" s="14"/>
      <c r="F19" s="129"/>
    </row>
    <row r="20" spans="1:6">
      <c r="A20" s="14"/>
      <c r="B20" s="14"/>
      <c r="C20" s="14"/>
      <c r="D20" s="14"/>
      <c r="E20" s="14"/>
      <c r="F20" s="129"/>
    </row>
    <row r="21" spans="1:6">
      <c r="A21" s="14"/>
      <c r="B21" s="842" t="s">
        <v>353</v>
      </c>
      <c r="C21" s="842"/>
      <c r="D21" s="137">
        <f>IF(D19&gt;0,(D19*0.001),"")</f>
        <v>7323.6180000000004</v>
      </c>
      <c r="E21" s="14"/>
      <c r="F21" s="129"/>
    </row>
    <row r="22" spans="1:6">
      <c r="A22" s="14"/>
      <c r="B22" s="48"/>
      <c r="C22" s="48"/>
      <c r="D22" s="138"/>
      <c r="E22" s="14"/>
      <c r="F22" s="129"/>
    </row>
    <row r="23" spans="1:6">
      <c r="A23" s="840" t="s">
        <v>355</v>
      </c>
      <c r="B23" s="765"/>
      <c r="C23" s="765"/>
      <c r="D23" s="139">
        <f>inputOth!E13</f>
        <v>0</v>
      </c>
      <c r="E23" s="140"/>
      <c r="F23" s="140"/>
    </row>
    <row r="24" spans="1:6">
      <c r="A24" s="140"/>
      <c r="B24" s="140"/>
      <c r="C24" s="140"/>
      <c r="D24" s="141"/>
      <c r="E24" s="140"/>
      <c r="F24" s="140"/>
    </row>
    <row r="25" spans="1:6">
      <c r="A25" s="140"/>
      <c r="B25" s="840" t="s">
        <v>356</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591</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workbookViewId="0">
      <selection activeCell="D41" sqref="D41:G41"/>
    </sheetView>
  </sheetViews>
  <sheetFormatPr defaultRowHeight="15.75"/>
  <sheetData>
    <row r="1" spans="1:9">
      <c r="A1" s="846" t="s">
        <v>121</v>
      </c>
      <c r="B1" s="846"/>
      <c r="C1" s="846"/>
      <c r="D1" s="846"/>
      <c r="E1" s="846"/>
      <c r="F1" s="846"/>
      <c r="G1" s="846"/>
    </row>
    <row r="2" spans="1:9">
      <c r="A2" s="1"/>
    </row>
    <row r="3" spans="1:9">
      <c r="A3" s="847" t="s">
        <v>958</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Lincoln Township  </v>
      </c>
      <c r="I6" t="str">
        <f>CONCATENATE(I7)</f>
        <v/>
      </c>
    </row>
    <row r="7" spans="1:9">
      <c r="A7" s="848" t="str">
        <f>CONCATENATE("   with respect to financing the ",inputPrYr!D5," annual budget for ",(inputPrYr!D2)," , ",(inputPrYr!D3)," , Kansas.")</f>
        <v xml:space="preserve">   with respect to financing the 2014 annual budget for Lincoln Township  , Butler County , Kansas.</v>
      </c>
      <c r="B7" s="844"/>
      <c r="C7" s="844"/>
      <c r="D7" s="844"/>
      <c r="E7" s="844"/>
      <c r="F7" s="844"/>
      <c r="G7" s="844"/>
    </row>
    <row r="8" spans="1:9">
      <c r="A8" s="844"/>
      <c r="B8" s="844"/>
      <c r="C8" s="844"/>
      <c r="D8" s="844"/>
      <c r="E8" s="844"/>
      <c r="F8" s="844"/>
      <c r="G8" s="844"/>
    </row>
    <row r="9" spans="1:9">
      <c r="A9" s="1"/>
    </row>
    <row r="10" spans="1:9">
      <c r="A10" s="9" t="s">
        <v>122</v>
      </c>
    </row>
    <row r="11" spans="1:9">
      <c r="A11" s="7" t="str">
        <f>CONCATENATE("to finance the ",inputPrYr!D5," ",(inputPrYr!D2)," budget exceed the amount levied to finance the ",inputPrYr!D5-1,"")</f>
        <v>to finance the 2014 Lincoln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127</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123</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124</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Butler County, Kansas that is our desire to notify the public of increased property taxes to finance the 2014 Lincoln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_________ day of ___________, ",inputPrYr!D5-1," by the ",(inputPrYr!D2)," Board, ",(inputPrYr!D3),", Kansas.")</f>
        <v>Adopted this _________ day of ___________, 2013 by the Lincoln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Lincoln Township  Board</v>
      </c>
      <c r="E33" s="850"/>
      <c r="F33" s="850"/>
      <c r="G33" s="850"/>
    </row>
    <row r="35" spans="1:7">
      <c r="D35" s="851" t="s">
        <v>125</v>
      </c>
      <c r="E35" s="851"/>
      <c r="F35" s="851"/>
      <c r="G35" s="851"/>
    </row>
    <row r="36" spans="1:7">
      <c r="A36" s="5"/>
      <c r="D36" s="851" t="s">
        <v>959</v>
      </c>
      <c r="E36" s="851"/>
      <c r="F36" s="851"/>
      <c r="G36" s="851"/>
    </row>
    <row r="37" spans="1:7">
      <c r="D37" s="851"/>
      <c r="E37" s="851"/>
      <c r="F37" s="851"/>
      <c r="G37" s="851"/>
    </row>
    <row r="38" spans="1:7">
      <c r="D38" s="851" t="s">
        <v>125</v>
      </c>
      <c r="E38" s="851"/>
      <c r="F38" s="851"/>
      <c r="G38" s="851"/>
    </row>
    <row r="39" spans="1:7">
      <c r="A39" s="4"/>
      <c r="D39" s="851" t="s">
        <v>960</v>
      </c>
      <c r="E39" s="851"/>
      <c r="F39" s="851"/>
      <c r="G39" s="851"/>
    </row>
    <row r="40" spans="1:7">
      <c r="D40" s="851"/>
      <c r="E40" s="851"/>
      <c r="F40" s="851"/>
      <c r="G40" s="851"/>
    </row>
    <row r="41" spans="1:7">
      <c r="D41" s="851" t="s">
        <v>128</v>
      </c>
      <c r="E41" s="851"/>
      <c r="F41" s="851"/>
      <c r="G41" s="851"/>
    </row>
    <row r="42" spans="1:7">
      <c r="A42" s="4"/>
      <c r="D42" s="851" t="s">
        <v>961</v>
      </c>
      <c r="E42" s="851"/>
      <c r="F42" s="851"/>
      <c r="G42" s="851"/>
    </row>
    <row r="43" spans="1:7">
      <c r="A43" s="6"/>
    </row>
    <row r="44" spans="1:7">
      <c r="A44" s="6"/>
    </row>
    <row r="45" spans="1:7">
      <c r="A45" s="6" t="s">
        <v>126</v>
      </c>
    </row>
    <row r="50" spans="3:4">
      <c r="C50" s="10" t="s">
        <v>9</v>
      </c>
      <c r="D50" s="11">
        <v>9</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369</v>
      </c>
      <c r="B3" s="352"/>
      <c r="C3" s="352"/>
      <c r="D3" s="352"/>
      <c r="E3" s="352"/>
      <c r="F3" s="352"/>
      <c r="G3" s="352"/>
      <c r="H3" s="352"/>
      <c r="I3" s="352"/>
      <c r="J3" s="352"/>
      <c r="K3" s="352"/>
      <c r="L3" s="352"/>
    </row>
    <row r="5" spans="1:12">
      <c r="A5" s="351" t="s">
        <v>370</v>
      </c>
    </row>
    <row r="6" spans="1:12">
      <c r="A6" s="351" t="str">
        <f>CONCATENATE(inputPrYr!D5-2," 'total expenditures' exceed your ",inputPrYr!D5-2," 'budget authority.'")</f>
        <v>2012 'total expenditures' exceed your 2012 'budget authority.'</v>
      </c>
    </row>
    <row r="7" spans="1:12">
      <c r="A7" s="351"/>
    </row>
    <row r="8" spans="1:12">
      <c r="A8" s="351" t="s">
        <v>371</v>
      </c>
    </row>
    <row r="9" spans="1:12">
      <c r="A9" s="351" t="s">
        <v>372</v>
      </c>
    </row>
    <row r="10" spans="1:12">
      <c r="A10" s="351" t="s">
        <v>373</v>
      </c>
    </row>
    <row r="11" spans="1:12">
      <c r="A11" s="351"/>
    </row>
    <row r="12" spans="1:12">
      <c r="A12" s="351"/>
    </row>
    <row r="13" spans="1:12">
      <c r="A13" s="350" t="s">
        <v>374</v>
      </c>
    </row>
    <row r="15" spans="1:12">
      <c r="A15" s="351" t="s">
        <v>375</v>
      </c>
    </row>
    <row r="16" spans="1:12">
      <c r="A16" s="351" t="str">
        <f>CONCATENATE("(i.e. an audit has not been completed, or the ",inputPrYr!D5," adopted")</f>
        <v>(i.e. an audit has not been completed, or the 2014 adopted</v>
      </c>
    </row>
    <row r="17" spans="1:1">
      <c r="A17" s="351" t="s">
        <v>376</v>
      </c>
    </row>
    <row r="18" spans="1:1">
      <c r="A18" s="351" t="s">
        <v>377</v>
      </c>
    </row>
    <row r="19" spans="1:1">
      <c r="A19" s="351" t="s">
        <v>378</v>
      </c>
    </row>
    <row r="21" spans="1:1">
      <c r="A21" s="350" t="s">
        <v>379</v>
      </c>
    </row>
    <row r="22" spans="1:1">
      <c r="A22" s="350"/>
    </row>
    <row r="23" spans="1:1">
      <c r="A23" s="351" t="s">
        <v>380</v>
      </c>
    </row>
    <row r="24" spans="1:1">
      <c r="A24" s="351" t="s">
        <v>381</v>
      </c>
    </row>
    <row r="25" spans="1:1">
      <c r="A25" s="351" t="str">
        <f>CONCATENATE("particular fund.  If your ",inputPrYr!D5-2," budget was amended, did you")</f>
        <v>particular fund.  If your 2012 budget was amended, did you</v>
      </c>
    </row>
    <row r="26" spans="1:1">
      <c r="A26" s="351" t="s">
        <v>382</v>
      </c>
    </row>
    <row r="27" spans="1:1">
      <c r="A27" s="351"/>
    </row>
    <row r="28" spans="1:1">
      <c r="A28" s="351" t="str">
        <f>CONCATENATE("Next, look to see if any of your ",inputPrYr!D5-2," expenditures can be")</f>
        <v>Next, look to see if any of your 2012 expenditures can be</v>
      </c>
    </row>
    <row r="29" spans="1:1">
      <c r="A29" s="351" t="s">
        <v>383</v>
      </c>
    </row>
    <row r="30" spans="1:1">
      <c r="A30" s="351" t="s">
        <v>384</v>
      </c>
    </row>
    <row r="31" spans="1:1">
      <c r="A31" s="351" t="s">
        <v>385</v>
      </c>
    </row>
    <row r="32" spans="1:1">
      <c r="A32" s="351"/>
    </row>
    <row r="33" spans="1:1">
      <c r="A33" s="351" t="str">
        <f>CONCATENATE("Additionally, do your ",inputPrYr!D5-2," receipts contain a reimbursement")</f>
        <v>Additionally, do your 2012 receipts contain a reimbursement</v>
      </c>
    </row>
    <row r="34" spans="1:1">
      <c r="A34" s="351" t="s">
        <v>386</v>
      </c>
    </row>
    <row r="35" spans="1:1">
      <c r="A35" s="351" t="s">
        <v>387</v>
      </c>
    </row>
    <row r="36" spans="1:1">
      <c r="A36" s="351"/>
    </row>
    <row r="37" spans="1:1">
      <c r="A37" s="351" t="s">
        <v>388</v>
      </c>
    </row>
    <row r="38" spans="1:1">
      <c r="A38" s="351" t="s">
        <v>574</v>
      </c>
    </row>
    <row r="39" spans="1:1">
      <c r="A39" s="351" t="s">
        <v>575</v>
      </c>
    </row>
    <row r="40" spans="1:1">
      <c r="A40" s="351" t="s">
        <v>389</v>
      </c>
    </row>
    <row r="41" spans="1:1">
      <c r="A41" s="351" t="s">
        <v>390</v>
      </c>
    </row>
    <row r="42" spans="1:1">
      <c r="A42" s="351" t="s">
        <v>391</v>
      </c>
    </row>
    <row r="43" spans="1:1">
      <c r="A43" s="351" t="s">
        <v>392</v>
      </c>
    </row>
    <row r="44" spans="1:1">
      <c r="A44" s="351" t="s">
        <v>393</v>
      </c>
    </row>
    <row r="45" spans="1:1">
      <c r="A45" s="351"/>
    </row>
    <row r="46" spans="1:1">
      <c r="A46" s="351" t="s">
        <v>394</v>
      </c>
    </row>
    <row r="47" spans="1:1">
      <c r="A47" s="351" t="s">
        <v>395</v>
      </c>
    </row>
    <row r="48" spans="1:1">
      <c r="A48" s="351" t="s">
        <v>396</v>
      </c>
    </row>
    <row r="49" spans="1:1">
      <c r="A49" s="351"/>
    </row>
    <row r="50" spans="1:1">
      <c r="A50" s="351" t="s">
        <v>397</v>
      </c>
    </row>
    <row r="51" spans="1:1">
      <c r="A51" s="351" t="s">
        <v>398</v>
      </c>
    </row>
    <row r="52" spans="1:1">
      <c r="A52" s="351" t="s">
        <v>399</v>
      </c>
    </row>
    <row r="53" spans="1:1">
      <c r="A53" s="351"/>
    </row>
    <row r="54" spans="1:1">
      <c r="A54" s="350" t="s">
        <v>400</v>
      </c>
    </row>
    <row r="55" spans="1:1">
      <c r="A55" s="351"/>
    </row>
    <row r="56" spans="1:1">
      <c r="A56" s="351" t="s">
        <v>401</v>
      </c>
    </row>
    <row r="57" spans="1:1">
      <c r="A57" s="351" t="s">
        <v>402</v>
      </c>
    </row>
    <row r="58" spans="1:1">
      <c r="A58" s="351" t="s">
        <v>403</v>
      </c>
    </row>
    <row r="59" spans="1:1">
      <c r="A59" s="351" t="s">
        <v>404</v>
      </c>
    </row>
    <row r="60" spans="1:1">
      <c r="A60" s="351" t="s">
        <v>405</v>
      </c>
    </row>
    <row r="61" spans="1:1">
      <c r="A61" s="351" t="s">
        <v>406</v>
      </c>
    </row>
    <row r="62" spans="1:1">
      <c r="A62" s="351" t="s">
        <v>407</v>
      </c>
    </row>
    <row r="63" spans="1:1">
      <c r="A63" s="351" t="s">
        <v>408</v>
      </c>
    </row>
    <row r="64" spans="1:1">
      <c r="A64" s="351" t="s">
        <v>409</v>
      </c>
    </row>
    <row r="65" spans="1:1">
      <c r="A65" s="351" t="s">
        <v>410</v>
      </c>
    </row>
    <row r="66" spans="1:1">
      <c r="A66" s="351" t="s">
        <v>411</v>
      </c>
    </row>
    <row r="67" spans="1:1">
      <c r="A67" s="351" t="s">
        <v>412</v>
      </c>
    </row>
    <row r="68" spans="1:1">
      <c r="A68" s="351" t="s">
        <v>413</v>
      </c>
    </row>
    <row r="69" spans="1:1">
      <c r="A69" s="351"/>
    </row>
    <row r="70" spans="1:1">
      <c r="A70" s="351" t="s">
        <v>414</v>
      </c>
    </row>
    <row r="71" spans="1:1">
      <c r="A71" s="351" t="s">
        <v>415</v>
      </c>
    </row>
    <row r="72" spans="1:1">
      <c r="A72" s="351" t="s">
        <v>416</v>
      </c>
    </row>
    <row r="73" spans="1:1">
      <c r="A73" s="351"/>
    </row>
    <row r="74" spans="1:1">
      <c r="A74" s="350" t="str">
        <f>CONCATENATE("What if the ",inputPrYr!D5-2," financial records have been closed?")</f>
        <v>What if the 2012 financial records have been closed?</v>
      </c>
    </row>
    <row r="76" spans="1:1">
      <c r="A76" s="351" t="s">
        <v>417</v>
      </c>
    </row>
    <row r="77" spans="1:1">
      <c r="A77" s="351" t="str">
        <f>CONCATENATE("(i.e. an audit for ",inputPrYr!D5-2," has been completed, or the ",inputPrYr!D5)</f>
        <v>(i.e. an audit for 2012 has been completed, or the 2014</v>
      </c>
    </row>
    <row r="78" spans="1:1">
      <c r="A78" s="351" t="s">
        <v>418</v>
      </c>
    </row>
    <row r="79" spans="1:1">
      <c r="A79" s="351" t="s">
        <v>419</v>
      </c>
    </row>
    <row r="80" spans="1:1">
      <c r="A80" s="351"/>
    </row>
    <row r="81" spans="1:1">
      <c r="A81" s="351" t="s">
        <v>420</v>
      </c>
    </row>
    <row r="82" spans="1:1">
      <c r="A82" s="351" t="s">
        <v>421</v>
      </c>
    </row>
    <row r="83" spans="1:1">
      <c r="A83" s="351" t="s">
        <v>422</v>
      </c>
    </row>
    <row r="84" spans="1:1">
      <c r="A84" s="351"/>
    </row>
    <row r="85" spans="1:1">
      <c r="A85" s="351" t="s">
        <v>423</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424</v>
      </c>
      <c r="B3" s="352"/>
      <c r="C3" s="352"/>
      <c r="D3" s="352"/>
      <c r="E3" s="352"/>
      <c r="F3" s="352"/>
      <c r="G3" s="352"/>
      <c r="H3" s="349"/>
      <c r="I3" s="349"/>
      <c r="J3" s="349"/>
    </row>
    <row r="5" spans="1:10">
      <c r="A5" s="351" t="s">
        <v>425</v>
      </c>
    </row>
    <row r="6" spans="1:10">
      <c r="A6" t="str">
        <f>CONCATENATE(inputPrYr!D5-2," expenditures show that you finished the year with a ")</f>
        <v xml:space="preserve">2012 expenditures show that you finished the year with a </v>
      </c>
    </row>
    <row r="7" spans="1:10">
      <c r="A7" t="s">
        <v>426</v>
      </c>
    </row>
    <row r="9" spans="1:10">
      <c r="A9" t="s">
        <v>427</v>
      </c>
    </row>
    <row r="10" spans="1:10">
      <c r="A10" t="s">
        <v>428</v>
      </c>
    </row>
    <row r="11" spans="1:10">
      <c r="A11" t="s">
        <v>429</v>
      </c>
    </row>
    <row r="13" spans="1:10">
      <c r="A13" s="350" t="s">
        <v>430</v>
      </c>
    </row>
    <row r="14" spans="1:10">
      <c r="A14" s="350"/>
    </row>
    <row r="15" spans="1:10">
      <c r="A15" s="351" t="s">
        <v>431</v>
      </c>
    </row>
    <row r="16" spans="1:10">
      <c r="A16" s="351" t="s">
        <v>432</v>
      </c>
    </row>
    <row r="17" spans="1:1">
      <c r="A17" s="351" t="s">
        <v>433</v>
      </c>
    </row>
    <row r="18" spans="1:1">
      <c r="A18" s="351"/>
    </row>
    <row r="19" spans="1:1">
      <c r="A19" s="350" t="s">
        <v>434</v>
      </c>
    </row>
    <row r="20" spans="1:1">
      <c r="A20" s="350"/>
    </row>
    <row r="21" spans="1:1">
      <c r="A21" s="351" t="s">
        <v>435</v>
      </c>
    </row>
    <row r="22" spans="1:1">
      <c r="A22" s="351" t="s">
        <v>436</v>
      </c>
    </row>
    <row r="23" spans="1:1">
      <c r="A23" s="351" t="s">
        <v>437</v>
      </c>
    </row>
    <row r="24" spans="1:1">
      <c r="A24" s="351"/>
    </row>
    <row r="25" spans="1:1">
      <c r="A25" s="350" t="s">
        <v>438</v>
      </c>
    </row>
    <row r="26" spans="1:1">
      <c r="A26" s="350"/>
    </row>
    <row r="27" spans="1:1">
      <c r="A27" s="351" t="s">
        <v>439</v>
      </c>
    </row>
    <row r="28" spans="1:1">
      <c r="A28" s="351" t="s">
        <v>440</v>
      </c>
    </row>
    <row r="29" spans="1:1">
      <c r="A29" s="351" t="s">
        <v>441</v>
      </c>
    </row>
    <row r="30" spans="1:1">
      <c r="A30" s="351"/>
    </row>
    <row r="31" spans="1:1">
      <c r="A31" s="350" t="s">
        <v>442</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443</v>
      </c>
      <c r="B35" s="351"/>
      <c r="C35" s="351"/>
      <c r="D35" s="351"/>
      <c r="E35" s="351"/>
      <c r="F35" s="351"/>
      <c r="G35" s="351"/>
      <c r="H35" s="351"/>
    </row>
    <row r="36" spans="1:8">
      <c r="A36" s="351" t="s">
        <v>444</v>
      </c>
      <c r="B36" s="351"/>
      <c r="C36" s="351"/>
      <c r="D36" s="351"/>
      <c r="E36" s="351"/>
      <c r="F36" s="351"/>
      <c r="G36" s="351"/>
      <c r="H36" s="351"/>
    </row>
    <row r="37" spans="1:8">
      <c r="A37" s="351" t="s">
        <v>445</v>
      </c>
      <c r="B37" s="351"/>
      <c r="C37" s="351"/>
      <c r="D37" s="351"/>
      <c r="E37" s="351"/>
      <c r="F37" s="351"/>
      <c r="G37" s="351"/>
      <c r="H37" s="351"/>
    </row>
    <row r="38" spans="1:8">
      <c r="A38" s="351" t="s">
        <v>446</v>
      </c>
      <c r="B38" s="351"/>
      <c r="C38" s="351"/>
      <c r="D38" s="351"/>
      <c r="E38" s="351"/>
      <c r="F38" s="351"/>
      <c r="G38" s="351"/>
      <c r="H38" s="351"/>
    </row>
    <row r="39" spans="1:8">
      <c r="A39" s="351" t="s">
        <v>447</v>
      </c>
      <c r="B39" s="351"/>
      <c r="C39" s="351"/>
      <c r="D39" s="351"/>
      <c r="E39" s="351"/>
      <c r="F39" s="351"/>
      <c r="G39" s="351"/>
      <c r="H39" s="351"/>
    </row>
    <row r="40" spans="1:8">
      <c r="A40" s="351"/>
      <c r="B40" s="351"/>
      <c r="C40" s="351"/>
      <c r="D40" s="351"/>
      <c r="E40" s="351"/>
      <c r="F40" s="351"/>
      <c r="G40" s="351"/>
      <c r="H40" s="351"/>
    </row>
    <row r="41" spans="1:8">
      <c r="A41" s="351" t="s">
        <v>448</v>
      </c>
      <c r="B41" s="351"/>
      <c r="C41" s="351"/>
      <c r="D41" s="351"/>
      <c r="E41" s="351"/>
      <c r="F41" s="351"/>
      <c r="G41" s="351"/>
      <c r="H41" s="351"/>
    </row>
    <row r="42" spans="1:8">
      <c r="A42" s="351" t="s">
        <v>449</v>
      </c>
      <c r="B42" s="351"/>
      <c r="C42" s="351"/>
      <c r="D42" s="351"/>
      <c r="E42" s="351"/>
      <c r="F42" s="351"/>
      <c r="G42" s="351"/>
      <c r="H42" s="351"/>
    </row>
    <row r="43" spans="1:8">
      <c r="A43" s="351" t="s">
        <v>450</v>
      </c>
      <c r="B43" s="351"/>
      <c r="C43" s="351"/>
      <c r="D43" s="351"/>
      <c r="E43" s="351"/>
      <c r="F43" s="351"/>
      <c r="G43" s="351"/>
      <c r="H43" s="351"/>
    </row>
    <row r="44" spans="1:8">
      <c r="A44" s="351" t="s">
        <v>451</v>
      </c>
      <c r="B44" s="351"/>
      <c r="C44" s="351"/>
      <c r="D44" s="351"/>
      <c r="E44" s="351"/>
      <c r="F44" s="351"/>
      <c r="G44" s="351"/>
      <c r="H44" s="351"/>
    </row>
    <row r="45" spans="1:8">
      <c r="A45" s="351"/>
      <c r="B45" s="351"/>
      <c r="C45" s="351"/>
      <c r="D45" s="351"/>
      <c r="E45" s="351"/>
      <c r="F45" s="351"/>
      <c r="G45" s="351"/>
      <c r="H45" s="351"/>
    </row>
    <row r="46" spans="1:8">
      <c r="A46" s="351" t="s">
        <v>452</v>
      </c>
      <c r="B46" s="351"/>
      <c r="C46" s="351"/>
      <c r="D46" s="351"/>
      <c r="E46" s="351"/>
      <c r="F46" s="351"/>
      <c r="G46" s="351"/>
      <c r="H46" s="351"/>
    </row>
    <row r="47" spans="1:8">
      <c r="A47" s="351" t="s">
        <v>453</v>
      </c>
      <c r="B47" s="351"/>
      <c r="C47" s="351"/>
      <c r="D47" s="351"/>
      <c r="E47" s="351"/>
      <c r="F47" s="351"/>
      <c r="G47" s="351"/>
      <c r="H47" s="351"/>
    </row>
    <row r="48" spans="1:8">
      <c r="A48" s="351" t="s">
        <v>454</v>
      </c>
      <c r="B48" s="351"/>
      <c r="C48" s="351"/>
      <c r="D48" s="351"/>
      <c r="E48" s="351"/>
      <c r="F48" s="351"/>
      <c r="G48" s="351"/>
      <c r="H48" s="351"/>
    </row>
    <row r="49" spans="1:8">
      <c r="A49" s="351" t="s">
        <v>455</v>
      </c>
      <c r="B49" s="351"/>
      <c r="C49" s="351"/>
      <c r="D49" s="351"/>
      <c r="E49" s="351"/>
      <c r="F49" s="351"/>
      <c r="G49" s="351"/>
      <c r="H49" s="351"/>
    </row>
    <row r="50" spans="1:8">
      <c r="A50" s="351" t="s">
        <v>456</v>
      </c>
      <c r="B50" s="351"/>
      <c r="C50" s="351"/>
      <c r="D50" s="351"/>
      <c r="E50" s="351"/>
      <c r="F50" s="351"/>
      <c r="G50" s="351"/>
      <c r="H50" s="351"/>
    </row>
    <row r="51" spans="1:8">
      <c r="A51" s="351"/>
      <c r="B51" s="351"/>
      <c r="C51" s="351"/>
      <c r="D51" s="351"/>
      <c r="E51" s="351"/>
      <c r="F51" s="351"/>
      <c r="G51" s="351"/>
      <c r="H51" s="351"/>
    </row>
    <row r="52" spans="1:8">
      <c r="A52" s="350" t="s">
        <v>457</v>
      </c>
      <c r="B52" s="350"/>
      <c r="C52" s="350"/>
      <c r="D52" s="350"/>
      <c r="E52" s="350"/>
      <c r="F52" s="350"/>
      <c r="G52" s="350"/>
      <c r="H52" s="351"/>
    </row>
    <row r="53" spans="1:8">
      <c r="A53" s="350" t="s">
        <v>458</v>
      </c>
      <c r="B53" s="350"/>
      <c r="C53" s="350"/>
      <c r="D53" s="350"/>
      <c r="E53" s="350"/>
      <c r="F53" s="350"/>
      <c r="G53" s="350"/>
      <c r="H53" s="351"/>
    </row>
    <row r="54" spans="1:8">
      <c r="A54" s="351"/>
      <c r="B54" s="351"/>
      <c r="C54" s="351"/>
      <c r="D54" s="351"/>
      <c r="E54" s="351"/>
      <c r="F54" s="351"/>
      <c r="G54" s="351"/>
      <c r="H54" s="351"/>
    </row>
    <row r="55" spans="1:8">
      <c r="A55" s="351" t="s">
        <v>459</v>
      </c>
      <c r="B55" s="351"/>
      <c r="C55" s="351"/>
      <c r="D55" s="351"/>
      <c r="E55" s="351"/>
      <c r="F55" s="351"/>
      <c r="G55" s="351"/>
      <c r="H55" s="351"/>
    </row>
    <row r="56" spans="1:8">
      <c r="A56" s="351" t="s">
        <v>460</v>
      </c>
      <c r="B56" s="351"/>
      <c r="C56" s="351"/>
      <c r="D56" s="351"/>
      <c r="E56" s="351"/>
      <c r="F56" s="351"/>
      <c r="G56" s="351"/>
      <c r="H56" s="351"/>
    </row>
    <row r="57" spans="1:8">
      <c r="A57" s="351" t="s">
        <v>461</v>
      </c>
      <c r="B57" s="351"/>
      <c r="C57" s="351"/>
      <c r="D57" s="351"/>
      <c r="E57" s="351"/>
      <c r="F57" s="351"/>
      <c r="G57" s="351"/>
      <c r="H57" s="351"/>
    </row>
    <row r="58" spans="1:8">
      <c r="A58" s="351" t="s">
        <v>462</v>
      </c>
      <c r="B58" s="351"/>
      <c r="C58" s="351"/>
      <c r="D58" s="351"/>
      <c r="E58" s="351"/>
      <c r="F58" s="351"/>
      <c r="G58" s="351"/>
      <c r="H58" s="351"/>
    </row>
    <row r="59" spans="1:8">
      <c r="A59" s="351"/>
      <c r="B59" s="351"/>
      <c r="C59" s="351"/>
      <c r="D59" s="351"/>
      <c r="E59" s="351"/>
      <c r="F59" s="351"/>
      <c r="G59" s="351"/>
      <c r="H59" s="351"/>
    </row>
    <row r="60" spans="1:8">
      <c r="A60" s="351" t="s">
        <v>463</v>
      </c>
      <c r="B60" s="351"/>
      <c r="C60" s="351"/>
      <c r="D60" s="351"/>
      <c r="E60" s="351"/>
      <c r="F60" s="351"/>
      <c r="G60" s="351"/>
      <c r="H60" s="351"/>
    </row>
    <row r="61" spans="1:8">
      <c r="A61" s="351" t="s">
        <v>464</v>
      </c>
      <c r="B61" s="351"/>
      <c r="C61" s="351"/>
      <c r="D61" s="351"/>
      <c r="E61" s="351"/>
      <c r="F61" s="351"/>
      <c r="G61" s="351"/>
      <c r="H61" s="351"/>
    </row>
    <row r="62" spans="1:8">
      <c r="A62" s="351" t="s">
        <v>465</v>
      </c>
      <c r="B62" s="351"/>
      <c r="C62" s="351"/>
      <c r="D62" s="351"/>
      <c r="E62" s="351"/>
      <c r="F62" s="351"/>
      <c r="G62" s="351"/>
      <c r="H62" s="351"/>
    </row>
    <row r="63" spans="1:8">
      <c r="A63" s="351" t="s">
        <v>466</v>
      </c>
      <c r="B63" s="351"/>
      <c r="C63" s="351"/>
      <c r="D63" s="351"/>
      <c r="E63" s="351"/>
      <c r="F63" s="351"/>
      <c r="G63" s="351"/>
      <c r="H63" s="351"/>
    </row>
    <row r="64" spans="1:8">
      <c r="A64" s="351" t="s">
        <v>467</v>
      </c>
      <c r="B64" s="351"/>
      <c r="C64" s="351"/>
      <c r="D64" s="351"/>
      <c r="E64" s="351"/>
      <c r="F64" s="351"/>
      <c r="G64" s="351"/>
      <c r="H64" s="351"/>
    </row>
    <row r="65" spans="1:8">
      <c r="A65" s="351" t="s">
        <v>468</v>
      </c>
      <c r="B65" s="351"/>
      <c r="C65" s="351"/>
      <c r="D65" s="351"/>
      <c r="E65" s="351"/>
      <c r="F65" s="351"/>
      <c r="G65" s="351"/>
      <c r="H65" s="351"/>
    </row>
    <row r="66" spans="1:8">
      <c r="A66" s="351"/>
      <c r="B66" s="351"/>
      <c r="C66" s="351"/>
      <c r="D66" s="351"/>
      <c r="E66" s="351"/>
      <c r="F66" s="351"/>
      <c r="G66" s="351"/>
      <c r="H66" s="351"/>
    </row>
    <row r="67" spans="1:8">
      <c r="A67" s="351" t="s">
        <v>469</v>
      </c>
      <c r="B67" s="351"/>
      <c r="C67" s="351"/>
      <c r="D67" s="351"/>
      <c r="E67" s="351"/>
      <c r="F67" s="351"/>
      <c r="G67" s="351"/>
      <c r="H67" s="351"/>
    </row>
    <row r="68" spans="1:8">
      <c r="A68" s="351" t="s">
        <v>470</v>
      </c>
      <c r="B68" s="351"/>
      <c r="C68" s="351"/>
      <c r="D68" s="351"/>
      <c r="E68" s="351"/>
      <c r="F68" s="351"/>
      <c r="G68" s="351"/>
      <c r="H68" s="351"/>
    </row>
    <row r="69" spans="1:8">
      <c r="A69" s="351" t="s">
        <v>471</v>
      </c>
      <c r="B69" s="351"/>
      <c r="C69" s="351"/>
      <c r="D69" s="351"/>
      <c r="E69" s="351"/>
      <c r="F69" s="351"/>
      <c r="G69" s="351"/>
      <c r="H69" s="351"/>
    </row>
    <row r="70" spans="1:8">
      <c r="A70" s="351" t="s">
        <v>472</v>
      </c>
      <c r="B70" s="351"/>
      <c r="C70" s="351"/>
      <c r="D70" s="351"/>
      <c r="E70" s="351"/>
      <c r="F70" s="351"/>
      <c r="G70" s="351"/>
      <c r="H70" s="351"/>
    </row>
    <row r="71" spans="1:8">
      <c r="A71" s="351" t="s">
        <v>473</v>
      </c>
      <c r="B71" s="351"/>
      <c r="C71" s="351"/>
      <c r="D71" s="351"/>
      <c r="E71" s="351"/>
      <c r="F71" s="351"/>
      <c r="G71" s="351"/>
      <c r="H71" s="351"/>
    </row>
    <row r="72" spans="1:8">
      <c r="A72" s="351" t="s">
        <v>474</v>
      </c>
      <c r="B72" s="351"/>
      <c r="C72" s="351"/>
      <c r="D72" s="351"/>
      <c r="E72" s="351"/>
      <c r="F72" s="351"/>
      <c r="G72" s="351"/>
      <c r="H72" s="351"/>
    </row>
    <row r="73" spans="1:8">
      <c r="A73" s="351" t="s">
        <v>475</v>
      </c>
      <c r="B73" s="351"/>
      <c r="C73" s="351"/>
      <c r="D73" s="351"/>
      <c r="E73" s="351"/>
      <c r="F73" s="351"/>
      <c r="G73" s="351"/>
      <c r="H73" s="351"/>
    </row>
    <row r="74" spans="1:8">
      <c r="A74" s="351"/>
      <c r="B74" s="351"/>
      <c r="C74" s="351"/>
      <c r="D74" s="351"/>
      <c r="E74" s="351"/>
      <c r="F74" s="351"/>
      <c r="G74" s="351"/>
      <c r="H74" s="351"/>
    </row>
    <row r="75" spans="1:8">
      <c r="A75" s="351" t="s">
        <v>476</v>
      </c>
      <c r="B75" s="351"/>
      <c r="C75" s="351"/>
      <c r="D75" s="351"/>
      <c r="E75" s="351"/>
      <c r="F75" s="351"/>
      <c r="G75" s="351"/>
      <c r="H75" s="351"/>
    </row>
    <row r="76" spans="1:8">
      <c r="A76" s="351" t="s">
        <v>477</v>
      </c>
      <c r="B76" s="351"/>
      <c r="C76" s="351"/>
      <c r="D76" s="351"/>
      <c r="E76" s="351"/>
      <c r="F76" s="351"/>
      <c r="G76" s="351"/>
      <c r="H76" s="351"/>
    </row>
    <row r="77" spans="1:8">
      <c r="A77" s="351" t="s">
        <v>478</v>
      </c>
      <c r="B77" s="351"/>
      <c r="C77" s="351"/>
      <c r="D77" s="351"/>
      <c r="E77" s="351"/>
      <c r="F77" s="351"/>
      <c r="G77" s="351"/>
      <c r="H77" s="351"/>
    </row>
    <row r="78" spans="1:8">
      <c r="A78" s="351"/>
      <c r="B78" s="351"/>
      <c r="C78" s="351"/>
      <c r="D78" s="351"/>
      <c r="E78" s="351"/>
      <c r="F78" s="351"/>
      <c r="G78" s="351"/>
      <c r="H78" s="351"/>
    </row>
    <row r="79" spans="1:8">
      <c r="A79" s="351" t="s">
        <v>423</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479</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370</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480</v>
      </c>
      <c r="I7" s="352"/>
      <c r="J7" s="352"/>
      <c r="K7" s="352"/>
      <c r="L7" s="352"/>
    </row>
    <row r="8" spans="1:12">
      <c r="A8" s="351"/>
      <c r="I8" s="352"/>
      <c r="J8" s="352"/>
      <c r="K8" s="352"/>
      <c r="L8" s="352"/>
    </row>
    <row r="9" spans="1:12">
      <c r="A9" s="351" t="s">
        <v>481</v>
      </c>
      <c r="I9" s="352"/>
      <c r="J9" s="352"/>
      <c r="K9" s="352"/>
      <c r="L9" s="352"/>
    </row>
    <row r="10" spans="1:12">
      <c r="A10" s="351" t="s">
        <v>482</v>
      </c>
      <c r="I10" s="352"/>
      <c r="J10" s="352"/>
      <c r="K10" s="352"/>
      <c r="L10" s="352"/>
    </row>
    <row r="11" spans="1:12">
      <c r="A11" s="351" t="s">
        <v>483</v>
      </c>
      <c r="I11" s="352"/>
      <c r="J11" s="352"/>
      <c r="K11" s="352"/>
      <c r="L11" s="352"/>
    </row>
    <row r="12" spans="1:12">
      <c r="A12" s="351" t="s">
        <v>484</v>
      </c>
      <c r="I12" s="352"/>
      <c r="J12" s="352"/>
      <c r="K12" s="352"/>
      <c r="L12" s="352"/>
    </row>
    <row r="13" spans="1:12">
      <c r="A13" s="351" t="s">
        <v>485</v>
      </c>
      <c r="I13" s="352"/>
      <c r="J13" s="352"/>
      <c r="K13" s="352"/>
      <c r="L13" s="352"/>
    </row>
    <row r="14" spans="1:12">
      <c r="A14" s="352"/>
      <c r="B14" s="352"/>
      <c r="C14" s="352"/>
      <c r="D14" s="352"/>
      <c r="E14" s="352"/>
      <c r="F14" s="352"/>
      <c r="G14" s="352"/>
      <c r="H14" s="352"/>
      <c r="I14" s="352"/>
      <c r="J14" s="352"/>
      <c r="K14" s="352"/>
      <c r="L14" s="352"/>
    </row>
    <row r="15" spans="1:12">
      <c r="A15" s="350" t="s">
        <v>486</v>
      </c>
    </row>
    <row r="16" spans="1:12">
      <c r="A16" s="350" t="s">
        <v>487</v>
      </c>
    </row>
    <row r="17" spans="1:7">
      <c r="A17" s="350"/>
    </row>
    <row r="18" spans="1:7">
      <c r="A18" s="351" t="s">
        <v>488</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489</v>
      </c>
      <c r="B20" s="351"/>
      <c r="C20" s="351"/>
      <c r="D20" s="351"/>
      <c r="E20" s="351"/>
      <c r="F20" s="351"/>
      <c r="G20" s="351"/>
    </row>
    <row r="21" spans="1:7">
      <c r="A21" s="351" t="s">
        <v>490</v>
      </c>
      <c r="B21" s="351"/>
      <c r="C21" s="351"/>
      <c r="D21" s="351"/>
      <c r="E21" s="351"/>
      <c r="F21" s="351"/>
      <c r="G21" s="351"/>
    </row>
    <row r="22" spans="1:7">
      <c r="A22" s="351"/>
    </row>
    <row r="23" spans="1:7">
      <c r="A23" s="350" t="s">
        <v>491</v>
      </c>
    </row>
    <row r="24" spans="1:7">
      <c r="A24" s="350"/>
    </row>
    <row r="25" spans="1:7">
      <c r="A25" s="351" t="s">
        <v>492</v>
      </c>
    </row>
    <row r="26" spans="1:7">
      <c r="A26" s="351" t="s">
        <v>493</v>
      </c>
      <c r="B26" s="351"/>
      <c r="C26" s="351"/>
      <c r="D26" s="351"/>
      <c r="E26" s="351"/>
      <c r="F26" s="351"/>
    </row>
    <row r="27" spans="1:7">
      <c r="A27" s="351" t="s">
        <v>494</v>
      </c>
      <c r="B27" s="351"/>
      <c r="C27" s="351"/>
      <c r="D27" s="351"/>
      <c r="E27" s="351"/>
      <c r="F27" s="351"/>
    </row>
    <row r="28" spans="1:7">
      <c r="A28" s="351" t="s">
        <v>495</v>
      </c>
      <c r="B28" s="351"/>
      <c r="C28" s="351"/>
      <c r="D28" s="351"/>
      <c r="E28" s="351"/>
      <c r="F28" s="351"/>
    </row>
    <row r="29" spans="1:7">
      <c r="A29" s="351"/>
      <c r="B29" s="351"/>
      <c r="C29" s="351"/>
      <c r="D29" s="351"/>
      <c r="E29" s="351"/>
      <c r="F29" s="351"/>
    </row>
    <row r="30" spans="1:7">
      <c r="A30" s="350" t="s">
        <v>496</v>
      </c>
      <c r="B30" s="350"/>
      <c r="C30" s="350"/>
      <c r="D30" s="350"/>
      <c r="E30" s="350"/>
      <c r="F30" s="350"/>
      <c r="G30" s="350"/>
    </row>
    <row r="31" spans="1:7">
      <c r="A31" s="350" t="s">
        <v>497</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498</v>
      </c>
      <c r="B34" s="351"/>
      <c r="C34" s="351"/>
      <c r="D34" s="351"/>
      <c r="E34" s="351"/>
      <c r="F34" s="351"/>
    </row>
    <row r="35" spans="1:6">
      <c r="A35" s="363" t="s">
        <v>384</v>
      </c>
      <c r="B35" s="351"/>
      <c r="C35" s="351"/>
      <c r="D35" s="351"/>
      <c r="E35" s="351"/>
      <c r="F35" s="351"/>
    </row>
    <row r="36" spans="1:6">
      <c r="A36" s="363" t="s">
        <v>385</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386</v>
      </c>
      <c r="B39" s="351"/>
      <c r="C39" s="351"/>
      <c r="D39" s="351"/>
      <c r="E39" s="351"/>
      <c r="F39" s="351"/>
    </row>
    <row r="40" spans="1:6">
      <c r="A40" s="363" t="s">
        <v>387</v>
      </c>
      <c r="B40" s="351"/>
      <c r="C40" s="351"/>
      <c r="D40" s="351"/>
      <c r="E40" s="351"/>
      <c r="F40" s="351"/>
    </row>
    <row r="41" spans="1:6">
      <c r="A41" s="363"/>
      <c r="B41" s="351"/>
      <c r="C41" s="351"/>
      <c r="D41" s="351"/>
      <c r="E41" s="351"/>
      <c r="F41" s="351"/>
    </row>
    <row r="42" spans="1:6">
      <c r="A42" s="363" t="s">
        <v>388</v>
      </c>
      <c r="B42" s="351"/>
      <c r="C42" s="351"/>
      <c r="D42" s="351"/>
      <c r="E42" s="351"/>
      <c r="F42" s="351"/>
    </row>
    <row r="43" spans="1:6">
      <c r="A43" s="363" t="s">
        <v>574</v>
      </c>
      <c r="B43" s="351"/>
      <c r="C43" s="351"/>
      <c r="D43" s="351"/>
      <c r="E43" s="351"/>
      <c r="F43" s="351"/>
    </row>
    <row r="44" spans="1:6">
      <c r="A44" s="363" t="s">
        <v>575</v>
      </c>
      <c r="B44" s="351"/>
      <c r="C44" s="351"/>
      <c r="D44" s="351"/>
      <c r="E44" s="351"/>
      <c r="F44" s="351"/>
    </row>
    <row r="45" spans="1:6">
      <c r="A45" s="363" t="s">
        <v>499</v>
      </c>
      <c r="B45" s="351"/>
      <c r="C45" s="351"/>
      <c r="D45" s="351"/>
      <c r="E45" s="351"/>
      <c r="F45" s="351"/>
    </row>
    <row r="46" spans="1:6">
      <c r="A46" s="363" t="s">
        <v>390</v>
      </c>
      <c r="B46" s="351"/>
      <c r="C46" s="351"/>
      <c r="D46" s="351"/>
      <c r="E46" s="351"/>
      <c r="F46" s="351"/>
    </row>
    <row r="47" spans="1:6">
      <c r="A47" s="363" t="s">
        <v>500</v>
      </c>
      <c r="B47" s="351"/>
      <c r="C47" s="351"/>
      <c r="D47" s="351"/>
      <c r="E47" s="351"/>
      <c r="F47" s="351"/>
    </row>
    <row r="48" spans="1:6">
      <c r="A48" s="363" t="s">
        <v>501</v>
      </c>
      <c r="B48" s="351"/>
      <c r="C48" s="351"/>
      <c r="D48" s="351"/>
      <c r="E48" s="351"/>
      <c r="F48" s="351"/>
    </row>
    <row r="49" spans="1:6">
      <c r="A49" s="363" t="s">
        <v>393</v>
      </c>
      <c r="B49" s="351"/>
      <c r="C49" s="351"/>
      <c r="D49" s="351"/>
      <c r="E49" s="351"/>
      <c r="F49" s="351"/>
    </row>
    <row r="50" spans="1:6">
      <c r="A50" s="363"/>
      <c r="B50" s="351"/>
      <c r="C50" s="351"/>
      <c r="D50" s="351"/>
      <c r="E50" s="351"/>
      <c r="F50" s="351"/>
    </row>
    <row r="51" spans="1:6">
      <c r="A51" s="363" t="s">
        <v>394</v>
      </c>
      <c r="B51" s="351"/>
      <c r="C51" s="351"/>
      <c r="D51" s="351"/>
      <c r="E51" s="351"/>
      <c r="F51" s="351"/>
    </row>
    <row r="52" spans="1:6">
      <c r="A52" s="363" t="s">
        <v>395</v>
      </c>
      <c r="B52" s="351"/>
      <c r="C52" s="351"/>
      <c r="D52" s="351"/>
      <c r="E52" s="351"/>
      <c r="F52" s="351"/>
    </row>
    <row r="53" spans="1:6">
      <c r="A53" s="363" t="s">
        <v>396</v>
      </c>
      <c r="B53" s="351"/>
      <c r="C53" s="351"/>
      <c r="D53" s="351"/>
      <c r="E53" s="351"/>
      <c r="F53" s="351"/>
    </row>
    <row r="54" spans="1:6">
      <c r="A54" s="363"/>
      <c r="B54" s="351"/>
      <c r="C54" s="351"/>
      <c r="D54" s="351"/>
      <c r="E54" s="351"/>
      <c r="F54" s="351"/>
    </row>
    <row r="55" spans="1:6">
      <c r="A55" s="363" t="s">
        <v>502</v>
      </c>
      <c r="B55" s="351"/>
      <c r="C55" s="351"/>
      <c r="D55" s="351"/>
      <c r="E55" s="351"/>
      <c r="F55" s="351"/>
    </row>
    <row r="56" spans="1:6">
      <c r="A56" s="363" t="s">
        <v>503</v>
      </c>
      <c r="B56" s="351"/>
      <c r="C56" s="351"/>
      <c r="D56" s="351"/>
      <c r="E56" s="351"/>
      <c r="F56" s="351"/>
    </row>
    <row r="57" spans="1:6">
      <c r="A57" s="363" t="s">
        <v>504</v>
      </c>
      <c r="B57" s="351"/>
      <c r="C57" s="351"/>
      <c r="D57" s="351"/>
      <c r="E57" s="351"/>
      <c r="F57" s="351"/>
    </row>
    <row r="58" spans="1:6">
      <c r="A58" s="363" t="s">
        <v>505</v>
      </c>
      <c r="B58" s="351"/>
      <c r="C58" s="351"/>
      <c r="D58" s="351"/>
      <c r="E58" s="351"/>
      <c r="F58" s="351"/>
    </row>
    <row r="59" spans="1:6">
      <c r="A59" s="363" t="s">
        <v>506</v>
      </c>
      <c r="B59" s="351"/>
      <c r="C59" s="351"/>
      <c r="D59" s="351"/>
      <c r="E59" s="351"/>
      <c r="F59" s="351"/>
    </row>
    <row r="60" spans="1:6">
      <c r="A60" s="363"/>
      <c r="B60" s="351"/>
      <c r="C60" s="351"/>
      <c r="D60" s="351"/>
      <c r="E60" s="351"/>
      <c r="F60" s="351"/>
    </row>
    <row r="61" spans="1:6">
      <c r="A61" s="364" t="s">
        <v>507</v>
      </c>
      <c r="B61" s="351"/>
      <c r="C61" s="351"/>
      <c r="D61" s="351"/>
      <c r="E61" s="351"/>
      <c r="F61" s="351"/>
    </row>
    <row r="62" spans="1:6">
      <c r="A62" s="364" t="s">
        <v>508</v>
      </c>
      <c r="B62" s="351"/>
      <c r="C62" s="351"/>
      <c r="D62" s="351"/>
      <c r="E62" s="351"/>
      <c r="F62" s="351"/>
    </row>
    <row r="63" spans="1:6">
      <c r="A63" s="364" t="s">
        <v>509</v>
      </c>
      <c r="B63" s="351"/>
      <c r="C63" s="351"/>
      <c r="D63" s="351"/>
      <c r="E63" s="351"/>
      <c r="F63" s="351"/>
    </row>
    <row r="64" spans="1:6">
      <c r="A64" s="364" t="s">
        <v>510</v>
      </c>
    </row>
    <row r="65" spans="1:1">
      <c r="A65" s="364" t="s">
        <v>511</v>
      </c>
    </row>
    <row r="66" spans="1:1">
      <c r="A66" s="364" t="s">
        <v>512</v>
      </c>
    </row>
    <row r="68" spans="1:1">
      <c r="A68" s="351" t="s">
        <v>513</v>
      </c>
    </row>
    <row r="69" spans="1:1">
      <c r="A69" s="351" t="s">
        <v>514</v>
      </c>
    </row>
    <row r="70" spans="1:1">
      <c r="A70" s="351" t="s">
        <v>515</v>
      </c>
    </row>
    <row r="71" spans="1:1">
      <c r="A71" s="351" t="s">
        <v>516</v>
      </c>
    </row>
    <row r="72" spans="1:1">
      <c r="A72" s="351" t="s">
        <v>517</v>
      </c>
    </row>
    <row r="73" spans="1:1">
      <c r="A73" s="351" t="s">
        <v>518</v>
      </c>
    </row>
    <row r="75" spans="1:1">
      <c r="A75" s="351" t="s">
        <v>423</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25" workbookViewId="0">
      <selection activeCell="B49" sqref="B4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 xml:space="preserve">Lincoln Township </v>
      </c>
      <c r="B1" s="90"/>
      <c r="C1" s="90"/>
      <c r="D1" s="90"/>
      <c r="E1" s="90">
        <f>inputPrYr!D5</f>
        <v>2014</v>
      </c>
    </row>
    <row r="2" spans="1:5">
      <c r="A2" s="88" t="str">
        <f>inputPrYr!D3</f>
        <v>Butler County</v>
      </c>
      <c r="B2" s="90"/>
      <c r="C2" s="90"/>
      <c r="D2" s="90"/>
      <c r="E2" s="90"/>
    </row>
    <row r="3" spans="1:5">
      <c r="A3" s="90"/>
      <c r="B3" s="90"/>
      <c r="C3" s="90"/>
      <c r="D3" s="90"/>
      <c r="E3" s="90"/>
    </row>
    <row r="4" spans="1:5">
      <c r="A4" s="750" t="s">
        <v>146</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7323618</v>
      </c>
    </row>
    <row r="8" spans="1:5">
      <c r="A8" s="22" t="str">
        <f>CONCATENATE("New Improvements for ",E1-1,"")</f>
        <v>New Improvements for 2013</v>
      </c>
      <c r="B8" s="19"/>
      <c r="C8" s="19"/>
      <c r="D8" s="19"/>
      <c r="E8" s="283">
        <v>10117</v>
      </c>
    </row>
    <row r="9" spans="1:5">
      <c r="A9" s="22" t="str">
        <f>CONCATENATE("Personal Property excluding oil, gas, and mobile homes - ",E1-1,"")</f>
        <v>Personal Property excluding oil, gas, and mobile homes - 2013</v>
      </c>
      <c r="B9" s="19"/>
      <c r="C9" s="19"/>
      <c r="D9" s="19"/>
      <c r="E9" s="283">
        <v>316144</v>
      </c>
    </row>
    <row r="10" spans="1:5">
      <c r="A10" s="22" t="str">
        <f>CONCATENATE("Property that has changed in use for ",E1-1,"")</f>
        <v>Property that has changed in use for 2013</v>
      </c>
      <c r="B10" s="19"/>
      <c r="C10" s="19"/>
      <c r="D10" s="19"/>
      <c r="E10" s="283">
        <v>82297</v>
      </c>
    </row>
    <row r="11" spans="1:5">
      <c r="A11" s="22" t="str">
        <f>CONCATENATE("Personal Property excluding oil, gas, and mobile homes- ",E1-2,"")</f>
        <v>Personal Property excluding oil, gas, and mobile homes- 2012</v>
      </c>
      <c r="B11" s="19"/>
      <c r="C11" s="19"/>
      <c r="D11" s="19"/>
      <c r="E11" s="283">
        <v>292446</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273</v>
      </c>
      <c r="B16" s="756"/>
      <c r="C16" s="90"/>
      <c r="D16" s="287" t="s">
        <v>3</v>
      </c>
      <c r="E16" s="286"/>
    </row>
    <row r="17" spans="1:5">
      <c r="A17" s="71" t="str">
        <f>inputPrYr!B16</f>
        <v>General</v>
      </c>
      <c r="B17" s="20"/>
      <c r="C17" s="19"/>
      <c r="D17" s="288">
        <v>2.2400000000000002</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14.76</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263</v>
      </c>
      <c r="C27" s="259"/>
      <c r="D27" s="291">
        <f>SUM(D17:D26)</f>
        <v>17</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6947757</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147</v>
      </c>
      <c r="B32" s="20"/>
      <c r="C32" s="20"/>
      <c r="D32" s="295"/>
      <c r="E32" s="34">
        <v>5387</v>
      </c>
    </row>
    <row r="33" spans="1:5">
      <c r="A33" s="296" t="s">
        <v>264</v>
      </c>
      <c r="B33" s="267"/>
      <c r="C33" s="267"/>
      <c r="D33" s="31"/>
      <c r="E33" s="34">
        <v>117</v>
      </c>
    </row>
    <row r="34" spans="1:5">
      <c r="A34" s="296" t="s">
        <v>148</v>
      </c>
      <c r="B34" s="267"/>
      <c r="C34" s="267"/>
      <c r="D34" s="31"/>
      <c r="E34" s="34">
        <v>675</v>
      </c>
    </row>
    <row r="35" spans="1:5">
      <c r="A35" s="296" t="s">
        <v>149</v>
      </c>
      <c r="B35" s="267"/>
      <c r="C35" s="267"/>
      <c r="D35" s="31"/>
      <c r="E35" s="34"/>
    </row>
    <row r="36" spans="1:5">
      <c r="A36" s="296" t="s">
        <v>99</v>
      </c>
      <c r="B36" s="20"/>
      <c r="C36" s="20"/>
      <c r="D36" s="295"/>
      <c r="E36" s="34">
        <v>6011</v>
      </c>
    </row>
    <row r="37" spans="1:5">
      <c r="A37" s="14" t="s">
        <v>150</v>
      </c>
      <c r="B37" s="14"/>
      <c r="C37" s="14"/>
      <c r="D37" s="14"/>
      <c r="E37" s="14"/>
    </row>
    <row r="38" spans="1:5">
      <c r="A38" s="68" t="s">
        <v>151</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844</v>
      </c>
      <c r="B40" s="274"/>
      <c r="C40" s="19"/>
      <c r="D40" s="19"/>
      <c r="E40" s="731">
        <v>0</v>
      </c>
    </row>
    <row r="41" spans="1:5">
      <c r="A41" s="297" t="s">
        <v>152</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195</v>
      </c>
      <c r="B45" s="301" t="s">
        <v>196</v>
      </c>
      <c r="C45" s="302" t="s">
        <v>197</v>
      </c>
      <c r="D45" s="303"/>
      <c r="E45" s="303"/>
    </row>
    <row r="46" spans="1:5">
      <c r="A46" s="304" t="str">
        <f>inputPrYr!B16</f>
        <v>General</v>
      </c>
      <c r="B46" s="36">
        <v>21768</v>
      </c>
      <c r="C46" s="302" t="s">
        <v>198</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117396</v>
      </c>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519</v>
      </c>
      <c r="B3" s="352"/>
      <c r="C3" s="352"/>
      <c r="D3" s="352"/>
      <c r="E3" s="352"/>
      <c r="F3" s="352"/>
      <c r="G3" s="352"/>
    </row>
    <row r="4" spans="1:7">
      <c r="A4" s="352"/>
      <c r="B4" s="352"/>
      <c r="C4" s="352"/>
      <c r="D4" s="352"/>
      <c r="E4" s="352"/>
      <c r="F4" s="352"/>
      <c r="G4" s="352"/>
    </row>
    <row r="5" spans="1:7">
      <c r="A5" s="351" t="s">
        <v>425</v>
      </c>
    </row>
    <row r="6" spans="1:7">
      <c r="A6" s="351" t="str">
        <f>CONCATENATE(inputPrYr!D5," estimated expenditures show that at the end of this year")</f>
        <v>2014 estimated expenditures show that at the end of this year</v>
      </c>
    </row>
    <row r="7" spans="1:7">
      <c r="A7" s="351" t="s">
        <v>520</v>
      </c>
    </row>
    <row r="8" spans="1:7">
      <c r="A8" s="351" t="s">
        <v>521</v>
      </c>
    </row>
    <row r="10" spans="1:7">
      <c r="A10" t="s">
        <v>427</v>
      </c>
    </row>
    <row r="11" spans="1:7">
      <c r="A11" t="s">
        <v>428</v>
      </c>
    </row>
    <row r="12" spans="1:7">
      <c r="A12" t="s">
        <v>429</v>
      </c>
    </row>
    <row r="13" spans="1:7">
      <c r="A13" s="352"/>
      <c r="B13" s="352"/>
      <c r="C13" s="352"/>
      <c r="D13" s="352"/>
      <c r="E13" s="352"/>
      <c r="F13" s="352"/>
      <c r="G13" s="352"/>
    </row>
    <row r="14" spans="1:7">
      <c r="A14" s="350" t="s">
        <v>522</v>
      </c>
    </row>
    <row r="15" spans="1:7">
      <c r="A15" s="351"/>
    </row>
    <row r="16" spans="1:7">
      <c r="A16" s="351" t="s">
        <v>523</v>
      </c>
    </row>
    <row r="17" spans="1:7">
      <c r="A17" s="351" t="s">
        <v>524</v>
      </c>
    </row>
    <row r="18" spans="1:7">
      <c r="A18" s="351" t="s">
        <v>525</v>
      </c>
    </row>
    <row r="19" spans="1:7">
      <c r="A19" s="351"/>
    </row>
    <row r="20" spans="1:7">
      <c r="A20" s="351" t="s">
        <v>526</v>
      </c>
    </row>
    <row r="21" spans="1:7">
      <c r="A21" s="351" t="s">
        <v>527</v>
      </c>
    </row>
    <row r="22" spans="1:7">
      <c r="A22" s="351" t="s">
        <v>528</v>
      </c>
    </row>
    <row r="23" spans="1:7">
      <c r="A23" s="351" t="s">
        <v>529</v>
      </c>
    </row>
    <row r="24" spans="1:7">
      <c r="A24" s="351"/>
    </row>
    <row r="25" spans="1:7">
      <c r="A25" s="350" t="s">
        <v>491</v>
      </c>
    </row>
    <row r="26" spans="1:7">
      <c r="A26" s="350"/>
    </row>
    <row r="27" spans="1:7">
      <c r="A27" s="351" t="s">
        <v>492</v>
      </c>
    </row>
    <row r="28" spans="1:7">
      <c r="A28" s="351" t="s">
        <v>493</v>
      </c>
      <c r="B28" s="351"/>
      <c r="C28" s="351"/>
      <c r="D28" s="351"/>
      <c r="E28" s="351"/>
      <c r="F28" s="351"/>
    </row>
    <row r="29" spans="1:7">
      <c r="A29" s="351" t="s">
        <v>494</v>
      </c>
      <c r="B29" s="351"/>
      <c r="C29" s="351"/>
      <c r="D29" s="351"/>
      <c r="E29" s="351"/>
      <c r="F29" s="351"/>
    </row>
    <row r="30" spans="1:7">
      <c r="A30" s="351" t="s">
        <v>495</v>
      </c>
      <c r="B30" s="351"/>
      <c r="C30" s="351"/>
      <c r="D30" s="351"/>
      <c r="E30" s="351"/>
      <c r="F30" s="351"/>
    </row>
    <row r="31" spans="1:7">
      <c r="A31" s="351"/>
    </row>
    <row r="32" spans="1:7">
      <c r="A32" s="350" t="s">
        <v>496</v>
      </c>
      <c r="B32" s="350"/>
      <c r="C32" s="350"/>
      <c r="D32" s="350"/>
      <c r="E32" s="350"/>
      <c r="F32" s="350"/>
      <c r="G32" s="350"/>
    </row>
    <row r="33" spans="1:7">
      <c r="A33" s="350" t="s">
        <v>497</v>
      </c>
      <c r="B33" s="350"/>
      <c r="C33" s="350"/>
      <c r="D33" s="350"/>
      <c r="E33" s="350"/>
      <c r="F33" s="350"/>
      <c r="G33" s="350"/>
    </row>
    <row r="34" spans="1:7">
      <c r="A34" s="350"/>
      <c r="B34" s="350"/>
      <c r="C34" s="350"/>
      <c r="D34" s="350"/>
      <c r="E34" s="350"/>
      <c r="F34" s="350"/>
      <c r="G34" s="350"/>
    </row>
    <row r="35" spans="1:7">
      <c r="A35" s="351" t="s">
        <v>530</v>
      </c>
      <c r="B35" s="351"/>
      <c r="C35" s="351"/>
      <c r="D35" s="351"/>
      <c r="E35" s="351"/>
      <c r="F35" s="351"/>
      <c r="G35" s="351"/>
    </row>
    <row r="36" spans="1:7">
      <c r="A36" s="351" t="s">
        <v>531</v>
      </c>
      <c r="B36" s="351"/>
      <c r="C36" s="351"/>
      <c r="D36" s="351"/>
      <c r="E36" s="351"/>
      <c r="F36" s="351"/>
      <c r="G36" s="351"/>
    </row>
    <row r="37" spans="1:7">
      <c r="A37" s="351" t="s">
        <v>532</v>
      </c>
      <c r="B37" s="351"/>
      <c r="C37" s="351"/>
      <c r="D37" s="351"/>
      <c r="E37" s="351"/>
      <c r="F37" s="351"/>
      <c r="G37" s="351"/>
    </row>
    <row r="38" spans="1:7">
      <c r="A38" s="351" t="s">
        <v>533</v>
      </c>
      <c r="B38" s="351"/>
      <c r="C38" s="351"/>
      <c r="D38" s="351"/>
      <c r="E38" s="351"/>
      <c r="F38" s="351"/>
      <c r="G38" s="351"/>
    </row>
    <row r="39" spans="1:7">
      <c r="A39" s="351" t="s">
        <v>534</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498</v>
      </c>
      <c r="B42" s="351"/>
      <c r="C42" s="351"/>
      <c r="D42" s="351"/>
      <c r="E42" s="351"/>
      <c r="F42" s="351"/>
    </row>
    <row r="43" spans="1:7">
      <c r="A43" s="363" t="s">
        <v>384</v>
      </c>
      <c r="B43" s="351"/>
      <c r="C43" s="351"/>
      <c r="D43" s="351"/>
      <c r="E43" s="351"/>
      <c r="F43" s="351"/>
    </row>
    <row r="44" spans="1:7">
      <c r="A44" s="363" t="s">
        <v>385</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386</v>
      </c>
      <c r="B47" s="351"/>
      <c r="C47" s="351"/>
      <c r="D47" s="351"/>
      <c r="E47" s="351"/>
      <c r="F47" s="351"/>
    </row>
    <row r="48" spans="1:7">
      <c r="A48" s="363" t="s">
        <v>387</v>
      </c>
      <c r="B48" s="351"/>
      <c r="C48" s="351"/>
      <c r="D48" s="351"/>
      <c r="E48" s="351"/>
      <c r="F48" s="351"/>
    </row>
    <row r="49" spans="1:7">
      <c r="A49" s="351"/>
      <c r="B49" s="351"/>
      <c r="C49" s="351"/>
      <c r="D49" s="351"/>
      <c r="E49" s="351"/>
      <c r="F49" s="351"/>
      <c r="G49" s="351"/>
    </row>
    <row r="50" spans="1:7">
      <c r="A50" s="351" t="s">
        <v>452</v>
      </c>
      <c r="B50" s="351"/>
      <c r="C50" s="351"/>
      <c r="D50" s="351"/>
      <c r="E50" s="351"/>
      <c r="F50" s="351"/>
      <c r="G50" s="351"/>
    </row>
    <row r="51" spans="1:7">
      <c r="A51" s="351" t="s">
        <v>453</v>
      </c>
      <c r="B51" s="351"/>
      <c r="C51" s="351"/>
      <c r="D51" s="351"/>
      <c r="E51" s="351"/>
      <c r="F51" s="351"/>
      <c r="G51" s="351"/>
    </row>
    <row r="52" spans="1:7">
      <c r="A52" s="351" t="s">
        <v>454</v>
      </c>
      <c r="B52" s="351"/>
      <c r="C52" s="351"/>
      <c r="D52" s="351"/>
      <c r="E52" s="351"/>
      <c r="F52" s="351"/>
      <c r="G52" s="351"/>
    </row>
    <row r="53" spans="1:7">
      <c r="A53" s="351" t="s">
        <v>455</v>
      </c>
      <c r="B53" s="351"/>
      <c r="C53" s="351"/>
      <c r="D53" s="351"/>
      <c r="E53" s="351"/>
      <c r="F53" s="351"/>
      <c r="G53" s="351"/>
    </row>
    <row r="54" spans="1:7">
      <c r="A54" s="351" t="s">
        <v>456</v>
      </c>
      <c r="B54" s="351"/>
      <c r="C54" s="351"/>
      <c r="D54" s="351"/>
      <c r="E54" s="351"/>
      <c r="F54" s="351"/>
      <c r="G54" s="351"/>
    </row>
    <row r="55" spans="1:7">
      <c r="A55" s="351"/>
      <c r="B55" s="351"/>
      <c r="C55" s="351"/>
      <c r="D55" s="351"/>
      <c r="E55" s="351"/>
      <c r="F55" s="351"/>
      <c r="G55" s="351"/>
    </row>
    <row r="56" spans="1:7">
      <c r="A56" s="363" t="s">
        <v>394</v>
      </c>
      <c r="B56" s="351"/>
      <c r="C56" s="351"/>
      <c r="D56" s="351"/>
      <c r="E56" s="351"/>
      <c r="F56" s="351"/>
    </row>
    <row r="57" spans="1:7">
      <c r="A57" s="363" t="s">
        <v>395</v>
      </c>
      <c r="B57" s="351"/>
      <c r="C57" s="351"/>
      <c r="D57" s="351"/>
      <c r="E57" s="351"/>
      <c r="F57" s="351"/>
    </row>
    <row r="58" spans="1:7">
      <c r="A58" s="363" t="s">
        <v>396</v>
      </c>
      <c r="B58" s="351"/>
      <c r="C58" s="351"/>
      <c r="D58" s="351"/>
      <c r="E58" s="351"/>
      <c r="F58" s="351"/>
    </row>
    <row r="59" spans="1:7">
      <c r="A59" s="363"/>
      <c r="B59" s="351"/>
      <c r="C59" s="351"/>
      <c r="D59" s="351"/>
      <c r="E59" s="351"/>
      <c r="F59" s="351"/>
    </row>
    <row r="60" spans="1:7">
      <c r="A60" s="351" t="s">
        <v>535</v>
      </c>
      <c r="B60" s="351"/>
      <c r="C60" s="351"/>
      <c r="D60" s="351"/>
      <c r="E60" s="351"/>
      <c r="F60" s="351"/>
      <c r="G60" s="351"/>
    </row>
    <row r="61" spans="1:7">
      <c r="A61" s="351" t="s">
        <v>536</v>
      </c>
      <c r="B61" s="351"/>
      <c r="C61" s="351"/>
      <c r="D61" s="351"/>
      <c r="E61" s="351"/>
      <c r="F61" s="351"/>
      <c r="G61" s="351"/>
    </row>
    <row r="62" spans="1:7">
      <c r="A62" s="351" t="s">
        <v>537</v>
      </c>
      <c r="B62" s="351"/>
      <c r="C62" s="351"/>
      <c r="D62" s="351"/>
      <c r="E62" s="351"/>
      <c r="F62" s="351"/>
      <c r="G62" s="351"/>
    </row>
    <row r="63" spans="1:7">
      <c r="A63" s="351" t="s">
        <v>538</v>
      </c>
      <c r="B63" s="351"/>
      <c r="C63" s="351"/>
      <c r="D63" s="351"/>
      <c r="E63" s="351"/>
      <c r="F63" s="351"/>
      <c r="G63" s="351"/>
    </row>
    <row r="64" spans="1:7">
      <c r="A64" s="351" t="s">
        <v>539</v>
      </c>
      <c r="B64" s="351"/>
      <c r="C64" s="351"/>
      <c r="D64" s="351"/>
      <c r="E64" s="351"/>
      <c r="F64" s="351"/>
      <c r="G64" s="351"/>
    </row>
    <row r="66" spans="1:6">
      <c r="A66" s="363" t="s">
        <v>502</v>
      </c>
      <c r="B66" s="351"/>
      <c r="C66" s="351"/>
      <c r="D66" s="351"/>
      <c r="E66" s="351"/>
      <c r="F66" s="351"/>
    </row>
    <row r="67" spans="1:6">
      <c r="A67" s="363" t="s">
        <v>503</v>
      </c>
      <c r="B67" s="351"/>
      <c r="C67" s="351"/>
      <c r="D67" s="351"/>
      <c r="E67" s="351"/>
      <c r="F67" s="351"/>
    </row>
    <row r="68" spans="1:6">
      <c r="A68" s="363" t="s">
        <v>504</v>
      </c>
      <c r="B68" s="351"/>
      <c r="C68" s="351"/>
      <c r="D68" s="351"/>
      <c r="E68" s="351"/>
      <c r="F68" s="351"/>
    </row>
    <row r="69" spans="1:6">
      <c r="A69" s="363" t="s">
        <v>505</v>
      </c>
      <c r="B69" s="351"/>
      <c r="C69" s="351"/>
      <c r="D69" s="351"/>
      <c r="E69" s="351"/>
      <c r="F69" s="351"/>
    </row>
    <row r="70" spans="1:6">
      <c r="A70" s="363" t="s">
        <v>506</v>
      </c>
      <c r="B70" s="351"/>
      <c r="C70" s="351"/>
      <c r="D70" s="351"/>
      <c r="E70" s="351"/>
      <c r="F70" s="351"/>
    </row>
    <row r="71" spans="1:6">
      <c r="A71" s="351"/>
    </row>
    <row r="72" spans="1:6">
      <c r="A72" s="351" t="s">
        <v>423</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540</v>
      </c>
      <c r="B3" s="352"/>
      <c r="C3" s="352"/>
      <c r="D3" s="352"/>
      <c r="E3" s="352"/>
      <c r="F3" s="352"/>
      <c r="G3" s="352"/>
    </row>
    <row r="4" spans="1:7">
      <c r="A4" s="352" t="s">
        <v>541</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370</v>
      </c>
    </row>
    <row r="8" spans="1:7">
      <c r="A8" s="351" t="str">
        <f>CONCATENATE("estimated ",inputPrYr!D5," 'total expenditures' exceed your ",inputPrYr!D5,"")</f>
        <v>estimated 2014 'total expenditures' exceed your 2014</v>
      </c>
    </row>
    <row r="9" spans="1:7">
      <c r="A9" s="366" t="s">
        <v>542</v>
      </c>
    </row>
    <row r="10" spans="1:7">
      <c r="A10" s="351"/>
    </row>
    <row r="11" spans="1:7">
      <c r="A11" s="351" t="s">
        <v>543</v>
      </c>
    </row>
    <row r="12" spans="1:7">
      <c r="A12" s="351" t="s">
        <v>544</v>
      </c>
    </row>
    <row r="13" spans="1:7">
      <c r="A13" s="351" t="s">
        <v>545</v>
      </c>
    </row>
    <row r="14" spans="1:7">
      <c r="A14" s="351"/>
    </row>
    <row r="15" spans="1:7">
      <c r="A15" s="350" t="s">
        <v>546</v>
      </c>
    </row>
    <row r="16" spans="1:7">
      <c r="A16" s="352"/>
      <c r="B16" s="352"/>
      <c r="C16" s="352"/>
      <c r="D16" s="352"/>
      <c r="E16" s="352"/>
      <c r="F16" s="352"/>
      <c r="G16" s="352"/>
    </row>
    <row r="17" spans="1:8">
      <c r="A17" s="367" t="s">
        <v>547</v>
      </c>
      <c r="B17" s="346"/>
      <c r="C17" s="346"/>
      <c r="D17" s="346"/>
      <c r="E17" s="346"/>
      <c r="F17" s="346"/>
      <c r="G17" s="346"/>
      <c r="H17" s="346"/>
    </row>
    <row r="18" spans="1:8">
      <c r="A18" s="351" t="s">
        <v>548</v>
      </c>
      <c r="B18" s="368"/>
      <c r="C18" s="368"/>
      <c r="D18" s="368"/>
      <c r="E18" s="368"/>
      <c r="F18" s="368"/>
      <c r="G18" s="368"/>
    </row>
    <row r="19" spans="1:8">
      <c r="A19" s="351" t="s">
        <v>549</v>
      </c>
    </row>
    <row r="20" spans="1:8">
      <c r="A20" s="351" t="s">
        <v>550</v>
      </c>
    </row>
    <row r="22" spans="1:8">
      <c r="A22" s="350" t="s">
        <v>551</v>
      </c>
    </row>
    <row r="24" spans="1:8">
      <c r="A24" s="351" t="s">
        <v>552</v>
      </c>
    </row>
    <row r="25" spans="1:8">
      <c r="A25" s="351" t="s">
        <v>553</v>
      </c>
    </row>
    <row r="26" spans="1:8">
      <c r="A26" s="351" t="s">
        <v>554</v>
      </c>
    </row>
    <row r="28" spans="1:8">
      <c r="A28" s="350" t="s">
        <v>555</v>
      </c>
    </row>
    <row r="30" spans="1:8">
      <c r="A30" t="s">
        <v>556</v>
      </c>
    </row>
    <row r="31" spans="1:8">
      <c r="A31" t="s">
        <v>557</v>
      </c>
    </row>
    <row r="32" spans="1:8">
      <c r="A32" t="s">
        <v>558</v>
      </c>
    </row>
    <row r="33" spans="1:1">
      <c r="A33" s="351" t="s">
        <v>559</v>
      </c>
    </row>
    <row r="35" spans="1:1">
      <c r="A35" t="s">
        <v>560</v>
      </c>
    </row>
    <row r="36" spans="1:1">
      <c r="A36" t="s">
        <v>561</v>
      </c>
    </row>
    <row r="37" spans="1:1">
      <c r="A37" t="s">
        <v>562</v>
      </c>
    </row>
    <row r="38" spans="1:1">
      <c r="A38" t="s">
        <v>563</v>
      </c>
    </row>
    <row r="40" spans="1:1">
      <c r="A40" t="s">
        <v>564</v>
      </c>
    </row>
    <row r="41" spans="1:1">
      <c r="A41" t="s">
        <v>565</v>
      </c>
    </row>
    <row r="42" spans="1:1">
      <c r="A42" t="s">
        <v>566</v>
      </c>
    </row>
    <row r="43" spans="1:1">
      <c r="A43" t="s">
        <v>567</v>
      </c>
    </row>
    <row r="44" spans="1:1">
      <c r="A44" t="s">
        <v>568</v>
      </c>
    </row>
    <row r="45" spans="1:1">
      <c r="A45" t="s">
        <v>569</v>
      </c>
    </row>
    <row r="47" spans="1:1">
      <c r="A47" t="s">
        <v>570</v>
      </c>
    </row>
    <row r="48" spans="1:1">
      <c r="A48" t="s">
        <v>571</v>
      </c>
    </row>
    <row r="49" spans="1:1">
      <c r="A49" s="351" t="s">
        <v>572</v>
      </c>
    </row>
    <row r="50" spans="1:1">
      <c r="A50" s="351" t="s">
        <v>573</v>
      </c>
    </row>
    <row r="52" spans="1:1">
      <c r="A52" t="s">
        <v>423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614</v>
      </c>
      <c r="C6" s="854"/>
      <c r="D6" s="854"/>
      <c r="E6" s="854"/>
      <c r="F6" s="854"/>
      <c r="G6" s="854"/>
      <c r="H6" s="854"/>
      <c r="I6" s="854"/>
      <c r="J6" s="854"/>
      <c r="K6" s="854"/>
      <c r="L6" s="405"/>
    </row>
    <row r="7" spans="1:12" ht="40.5" customHeight="1">
      <c r="A7" s="402"/>
      <c r="B7" s="855" t="s">
        <v>615</v>
      </c>
      <c r="C7" s="856"/>
      <c r="D7" s="856"/>
      <c r="E7" s="856"/>
      <c r="F7" s="856"/>
      <c r="G7" s="856"/>
      <c r="H7" s="856"/>
      <c r="I7" s="856"/>
      <c r="J7" s="856"/>
      <c r="K7" s="856"/>
      <c r="L7" s="402"/>
    </row>
    <row r="8" spans="1:12">
      <c r="A8" s="402"/>
      <c r="B8" s="857" t="s">
        <v>616</v>
      </c>
      <c r="C8" s="857"/>
      <c r="D8" s="857"/>
      <c r="E8" s="857"/>
      <c r="F8" s="857"/>
      <c r="G8" s="857"/>
      <c r="H8" s="857"/>
      <c r="I8" s="857"/>
      <c r="J8" s="857"/>
      <c r="K8" s="857"/>
      <c r="L8" s="402"/>
    </row>
    <row r="9" spans="1:12">
      <c r="A9" s="402"/>
      <c r="L9" s="402"/>
    </row>
    <row r="10" spans="1:12">
      <c r="A10" s="402"/>
      <c r="B10" s="857" t="s">
        <v>617</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618</v>
      </c>
      <c r="C12" s="858"/>
      <c r="D12" s="858"/>
      <c r="E12" s="858"/>
      <c r="F12" s="858"/>
      <c r="G12" s="858"/>
      <c r="H12" s="858"/>
      <c r="I12" s="858"/>
      <c r="J12" s="858"/>
      <c r="K12" s="858"/>
      <c r="L12" s="402"/>
    </row>
    <row r="13" spans="1:12">
      <c r="A13" s="402"/>
      <c r="L13" s="402"/>
    </row>
    <row r="14" spans="1:12">
      <c r="A14" s="402"/>
      <c r="B14" s="406" t="s">
        <v>619</v>
      </c>
      <c r="L14" s="402"/>
    </row>
    <row r="15" spans="1:12">
      <c r="A15" s="402"/>
      <c r="L15" s="402"/>
    </row>
    <row r="16" spans="1:12">
      <c r="A16" s="402"/>
      <c r="B16" s="404" t="s">
        <v>620</v>
      </c>
      <c r="L16" s="402"/>
    </row>
    <row r="17" spans="1:12">
      <c r="A17" s="402"/>
      <c r="B17" s="404" t="s">
        <v>621</v>
      </c>
      <c r="L17" s="402"/>
    </row>
    <row r="18" spans="1:12">
      <c r="A18" s="402"/>
      <c r="L18" s="402"/>
    </row>
    <row r="19" spans="1:12">
      <c r="A19" s="402"/>
      <c r="B19" s="406" t="s">
        <v>747</v>
      </c>
      <c r="L19" s="402"/>
    </row>
    <row r="20" spans="1:12">
      <c r="A20" s="402"/>
      <c r="B20" s="406"/>
      <c r="L20" s="402"/>
    </row>
    <row r="21" spans="1:12">
      <c r="A21" s="402"/>
      <c r="B21" s="404" t="s">
        <v>748</v>
      </c>
      <c r="L21" s="402"/>
    </row>
    <row r="22" spans="1:12">
      <c r="A22" s="402"/>
      <c r="L22" s="402"/>
    </row>
    <row r="23" spans="1:12">
      <c r="A23" s="402"/>
      <c r="B23" s="404" t="s">
        <v>622</v>
      </c>
      <c r="E23" s="404" t="s">
        <v>623</v>
      </c>
      <c r="F23" s="859">
        <v>312000000</v>
      </c>
      <c r="G23" s="859"/>
      <c r="L23" s="402"/>
    </row>
    <row r="24" spans="1:12">
      <c r="A24" s="402"/>
      <c r="L24" s="402"/>
    </row>
    <row r="25" spans="1:12">
      <c r="A25" s="402"/>
      <c r="C25" s="860">
        <f>F23</f>
        <v>312000000</v>
      </c>
      <c r="D25" s="860"/>
      <c r="E25" s="404" t="s">
        <v>624</v>
      </c>
      <c r="F25" s="407">
        <v>1000</v>
      </c>
      <c r="G25" s="407" t="s">
        <v>623</v>
      </c>
      <c r="H25" s="543">
        <f>F23/F25</f>
        <v>312000</v>
      </c>
      <c r="L25" s="402"/>
    </row>
    <row r="26" spans="1:12" ht="15" thickBot="1">
      <c r="A26" s="402"/>
      <c r="L26" s="402"/>
    </row>
    <row r="27" spans="1:12">
      <c r="A27" s="402"/>
      <c r="B27" s="408" t="s">
        <v>619</v>
      </c>
      <c r="C27" s="409"/>
      <c r="D27" s="409"/>
      <c r="E27" s="409"/>
      <c r="F27" s="409"/>
      <c r="G27" s="409"/>
      <c r="H27" s="409"/>
      <c r="I27" s="409"/>
      <c r="J27" s="409"/>
      <c r="K27" s="410"/>
      <c r="L27" s="402"/>
    </row>
    <row r="28" spans="1:12">
      <c r="A28" s="402"/>
      <c r="B28" s="411">
        <f>F23</f>
        <v>312000000</v>
      </c>
      <c r="C28" s="412" t="s">
        <v>625</v>
      </c>
      <c r="D28" s="412"/>
      <c r="E28" s="412" t="s">
        <v>624</v>
      </c>
      <c r="F28" s="546">
        <v>1000</v>
      </c>
      <c r="G28" s="546" t="s">
        <v>623</v>
      </c>
      <c r="H28" s="413">
        <f>B28/F28</f>
        <v>312000</v>
      </c>
      <c r="I28" s="412" t="s">
        <v>626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615</v>
      </c>
      <c r="C30" s="861"/>
      <c r="D30" s="861"/>
      <c r="E30" s="861"/>
      <c r="F30" s="861"/>
      <c r="G30" s="861"/>
      <c r="H30" s="861"/>
      <c r="I30" s="861"/>
      <c r="J30" s="861"/>
      <c r="K30" s="861"/>
      <c r="L30" s="402"/>
    </row>
    <row r="31" spans="1:12">
      <c r="A31" s="402"/>
      <c r="B31" s="857" t="s">
        <v>627</v>
      </c>
      <c r="C31" s="857"/>
      <c r="D31" s="857"/>
      <c r="E31" s="857"/>
      <c r="F31" s="857"/>
      <c r="G31" s="857"/>
      <c r="H31" s="857"/>
      <c r="I31" s="857"/>
      <c r="J31" s="857"/>
      <c r="K31" s="857"/>
      <c r="L31" s="402"/>
    </row>
    <row r="32" spans="1:12">
      <c r="A32" s="402"/>
      <c r="L32" s="402"/>
    </row>
    <row r="33" spans="1:12">
      <c r="A33" s="402"/>
      <c r="B33" s="857" t="s">
        <v>628</v>
      </c>
      <c r="C33" s="857"/>
      <c r="D33" s="857"/>
      <c r="E33" s="857"/>
      <c r="F33" s="857"/>
      <c r="G33" s="857"/>
      <c r="H33" s="857"/>
      <c r="I33" s="857"/>
      <c r="J33" s="857"/>
      <c r="K33" s="857"/>
      <c r="L33" s="402"/>
    </row>
    <row r="34" spans="1:12">
      <c r="A34" s="402"/>
      <c r="L34" s="402"/>
    </row>
    <row r="35" spans="1:12" ht="89.25" customHeight="1">
      <c r="A35" s="402"/>
      <c r="B35" s="858" t="s">
        <v>629</v>
      </c>
      <c r="C35" s="862"/>
      <c r="D35" s="862"/>
      <c r="E35" s="862"/>
      <c r="F35" s="862"/>
      <c r="G35" s="862"/>
      <c r="H35" s="862"/>
      <c r="I35" s="862"/>
      <c r="J35" s="862"/>
      <c r="K35" s="862"/>
      <c r="L35" s="402"/>
    </row>
    <row r="36" spans="1:12">
      <c r="A36" s="402"/>
      <c r="L36" s="402"/>
    </row>
    <row r="37" spans="1:12">
      <c r="A37" s="402"/>
      <c r="B37" s="406" t="s">
        <v>630</v>
      </c>
      <c r="L37" s="402"/>
    </row>
    <row r="38" spans="1:12">
      <c r="A38" s="402"/>
      <c r="L38" s="402"/>
    </row>
    <row r="39" spans="1:12">
      <c r="A39" s="402"/>
      <c r="B39" s="404" t="s">
        <v>631</v>
      </c>
      <c r="L39" s="402"/>
    </row>
    <row r="40" spans="1:12">
      <c r="A40" s="402"/>
      <c r="L40" s="402"/>
    </row>
    <row r="41" spans="1:12">
      <c r="A41" s="402"/>
      <c r="C41" s="863">
        <v>312000000</v>
      </c>
      <c r="D41" s="863"/>
      <c r="E41" s="404" t="s">
        <v>624</v>
      </c>
      <c r="F41" s="407">
        <v>1000</v>
      </c>
      <c r="G41" s="407" t="s">
        <v>623</v>
      </c>
      <c r="H41" s="418">
        <f>C41/F41</f>
        <v>312000</v>
      </c>
      <c r="L41" s="402"/>
    </row>
    <row r="42" spans="1:12">
      <c r="A42" s="402"/>
      <c r="L42" s="402"/>
    </row>
    <row r="43" spans="1:12">
      <c r="A43" s="402"/>
      <c r="B43" s="404" t="s">
        <v>632</v>
      </c>
      <c r="L43" s="402"/>
    </row>
    <row r="44" spans="1:12">
      <c r="A44" s="402"/>
      <c r="L44" s="402"/>
    </row>
    <row r="45" spans="1:12">
      <c r="A45" s="402"/>
      <c r="B45" s="404" t="s">
        <v>633</v>
      </c>
      <c r="L45" s="402"/>
    </row>
    <row r="46" spans="1:12" ht="15" thickBot="1">
      <c r="A46" s="402"/>
      <c r="L46" s="402"/>
    </row>
    <row r="47" spans="1:12">
      <c r="A47" s="402"/>
      <c r="B47" s="419" t="s">
        <v>619</v>
      </c>
      <c r="C47" s="409"/>
      <c r="D47" s="409"/>
      <c r="E47" s="409"/>
      <c r="F47" s="409"/>
      <c r="G47" s="409"/>
      <c r="H47" s="409"/>
      <c r="I47" s="409"/>
      <c r="J47" s="409"/>
      <c r="K47" s="410"/>
      <c r="L47" s="402"/>
    </row>
    <row r="48" spans="1:12">
      <c r="A48" s="402"/>
      <c r="B48" s="864">
        <v>312000000</v>
      </c>
      <c r="C48" s="859"/>
      <c r="D48" s="412" t="s">
        <v>634</v>
      </c>
      <c r="E48" s="412" t="s">
        <v>624</v>
      </c>
      <c r="F48" s="546">
        <v>1000</v>
      </c>
      <c r="G48" s="546" t="s">
        <v>623</v>
      </c>
      <c r="H48" s="413">
        <f>B48/F48</f>
        <v>312000</v>
      </c>
      <c r="I48" s="412" t="s">
        <v>635</v>
      </c>
      <c r="J48" s="412"/>
      <c r="K48" s="414"/>
      <c r="L48" s="402"/>
    </row>
    <row r="49" spans="1:24">
      <c r="A49" s="402"/>
      <c r="B49" s="420"/>
      <c r="C49" s="412"/>
      <c r="D49" s="412"/>
      <c r="E49" s="412"/>
      <c r="F49" s="412"/>
      <c r="G49" s="412"/>
      <c r="H49" s="412"/>
      <c r="I49" s="412"/>
      <c r="J49" s="412"/>
      <c r="K49" s="414"/>
      <c r="L49" s="402"/>
    </row>
    <row r="50" spans="1:24">
      <c r="A50" s="402"/>
      <c r="B50" s="421">
        <v>50000</v>
      </c>
      <c r="C50" s="412" t="s">
        <v>636</v>
      </c>
      <c r="D50" s="412"/>
      <c r="E50" s="412" t="s">
        <v>624</v>
      </c>
      <c r="F50" s="413">
        <f>H48</f>
        <v>312000</v>
      </c>
      <c r="G50" s="865" t="s">
        <v>637</v>
      </c>
      <c r="H50" s="866"/>
      <c r="I50" s="546" t="s">
        <v>623</v>
      </c>
      <c r="J50" s="422">
        <f>B50/F50</f>
        <v>0.16025641025641027</v>
      </c>
      <c r="K50" s="414"/>
      <c r="L50" s="402"/>
    </row>
    <row r="51" spans="1:24" ht="15" thickBot="1">
      <c r="A51" s="402"/>
      <c r="B51" s="415"/>
      <c r="C51" s="416"/>
      <c r="D51" s="416"/>
      <c r="E51" s="416"/>
      <c r="F51" s="416"/>
      <c r="G51" s="416"/>
      <c r="H51" s="416"/>
      <c r="I51" s="867" t="s">
        <v>638</v>
      </c>
      <c r="J51" s="867"/>
      <c r="K51" s="868"/>
      <c r="L51" s="402"/>
      <c r="O51" s="423"/>
    </row>
    <row r="52" spans="1:24" ht="40.5" customHeight="1">
      <c r="A52" s="402"/>
      <c r="B52" s="861" t="s">
        <v>615</v>
      </c>
      <c r="C52" s="861"/>
      <c r="D52" s="861"/>
      <c r="E52" s="861"/>
      <c r="F52" s="861"/>
      <c r="G52" s="861"/>
      <c r="H52" s="861"/>
      <c r="I52" s="861"/>
      <c r="J52" s="861"/>
      <c r="K52" s="861"/>
      <c r="L52" s="402"/>
    </row>
    <row r="53" spans="1:24">
      <c r="A53" s="402"/>
      <c r="B53" s="857" t="s">
        <v>639</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640</v>
      </c>
      <c r="C55" s="853"/>
      <c r="D55" s="853"/>
      <c r="E55" s="853"/>
      <c r="F55" s="853"/>
      <c r="G55" s="853"/>
      <c r="H55" s="853"/>
      <c r="I55" s="853"/>
      <c r="J55" s="853"/>
      <c r="K55" s="853"/>
      <c r="L55" s="402"/>
    </row>
    <row r="56" spans="1:24" ht="15" customHeight="1">
      <c r="A56" s="402"/>
      <c r="L56" s="402"/>
    </row>
    <row r="57" spans="1:24" ht="74.25" customHeight="1">
      <c r="A57" s="402"/>
      <c r="B57" s="858" t="s">
        <v>641</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630</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642</v>
      </c>
      <c r="L61" s="402"/>
      <c r="M61" s="425"/>
      <c r="N61" s="425"/>
      <c r="O61" s="425"/>
      <c r="P61" s="425"/>
      <c r="Q61" s="425"/>
      <c r="R61" s="425"/>
      <c r="S61" s="425"/>
      <c r="T61" s="425"/>
      <c r="U61" s="425"/>
      <c r="V61" s="425"/>
      <c r="W61" s="425"/>
      <c r="X61" s="425"/>
    </row>
    <row r="62" spans="1:24">
      <c r="A62" s="402"/>
      <c r="B62" s="404" t="s">
        <v>749</v>
      </c>
      <c r="L62" s="402"/>
      <c r="M62" s="425"/>
      <c r="N62" s="425"/>
      <c r="O62" s="425"/>
      <c r="P62" s="425"/>
      <c r="Q62" s="425"/>
      <c r="R62" s="425"/>
      <c r="S62" s="425"/>
      <c r="T62" s="425"/>
      <c r="U62" s="425"/>
      <c r="V62" s="425"/>
      <c r="W62" s="425"/>
      <c r="X62" s="425"/>
    </row>
    <row r="63" spans="1:24">
      <c r="A63" s="402"/>
      <c r="B63" s="404" t="s">
        <v>750</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643</v>
      </c>
      <c r="L65" s="402"/>
      <c r="M65" s="425"/>
      <c r="N65" s="425"/>
      <c r="O65" s="425"/>
      <c r="P65" s="425"/>
      <c r="Q65" s="425"/>
      <c r="R65" s="425"/>
      <c r="S65" s="425"/>
      <c r="T65" s="425"/>
      <c r="U65" s="425"/>
      <c r="V65" s="425"/>
      <c r="W65" s="425"/>
      <c r="X65" s="425"/>
    </row>
    <row r="66" spans="1:24">
      <c r="A66" s="402"/>
      <c r="B66" s="404" t="s">
        <v>644</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645</v>
      </c>
      <c r="L68" s="402"/>
      <c r="M68" s="426"/>
      <c r="N68" s="427"/>
      <c r="O68" s="427"/>
      <c r="P68" s="427"/>
      <c r="Q68" s="427"/>
      <c r="R68" s="427"/>
      <c r="S68" s="427"/>
      <c r="T68" s="427"/>
      <c r="U68" s="427"/>
      <c r="V68" s="427"/>
      <c r="W68" s="427"/>
      <c r="X68" s="425"/>
    </row>
    <row r="69" spans="1:24">
      <c r="A69" s="402"/>
      <c r="B69" s="404" t="s">
        <v>751</v>
      </c>
      <c r="L69" s="402"/>
      <c r="M69" s="425"/>
      <c r="N69" s="425"/>
      <c r="O69" s="425"/>
      <c r="P69" s="425"/>
      <c r="Q69" s="425"/>
      <c r="R69" s="425"/>
      <c r="S69" s="425"/>
      <c r="T69" s="425"/>
      <c r="U69" s="425"/>
      <c r="V69" s="425"/>
      <c r="W69" s="425"/>
      <c r="X69" s="425"/>
    </row>
    <row r="70" spans="1:24">
      <c r="A70" s="402"/>
      <c r="B70" s="404" t="s">
        <v>752</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619</v>
      </c>
      <c r="C72" s="409"/>
      <c r="D72" s="409"/>
      <c r="E72" s="409"/>
      <c r="F72" s="409"/>
      <c r="G72" s="409"/>
      <c r="H72" s="409"/>
      <c r="I72" s="409"/>
      <c r="J72" s="409"/>
      <c r="K72" s="410"/>
      <c r="L72" s="428"/>
    </row>
    <row r="73" spans="1:24">
      <c r="A73" s="402"/>
      <c r="B73" s="420"/>
      <c r="C73" s="412" t="s">
        <v>625</v>
      </c>
      <c r="D73" s="412"/>
      <c r="E73" s="412"/>
      <c r="F73" s="412"/>
      <c r="G73" s="412"/>
      <c r="H73" s="412"/>
      <c r="I73" s="412"/>
      <c r="J73" s="412"/>
      <c r="K73" s="414"/>
      <c r="L73" s="428"/>
    </row>
    <row r="74" spans="1:24">
      <c r="A74" s="402"/>
      <c r="B74" s="420" t="s">
        <v>646</v>
      </c>
      <c r="C74" s="859">
        <v>312000000</v>
      </c>
      <c r="D74" s="859"/>
      <c r="E74" s="546" t="s">
        <v>624</v>
      </c>
      <c r="F74" s="546">
        <v>1000</v>
      </c>
      <c r="G74" s="546" t="s">
        <v>623</v>
      </c>
      <c r="H74" s="547">
        <f>C74/F74</f>
        <v>312000</v>
      </c>
      <c r="I74" s="412" t="s">
        <v>647</v>
      </c>
      <c r="J74" s="412"/>
      <c r="K74" s="414"/>
      <c r="L74" s="428"/>
    </row>
    <row r="75" spans="1:24">
      <c r="A75" s="402"/>
      <c r="B75" s="420"/>
      <c r="C75" s="412"/>
      <c r="D75" s="412"/>
      <c r="E75" s="546"/>
      <c r="F75" s="412"/>
      <c r="G75" s="412"/>
      <c r="H75" s="412"/>
      <c r="I75" s="412"/>
      <c r="J75" s="412"/>
      <c r="K75" s="414"/>
      <c r="L75" s="428"/>
    </row>
    <row r="76" spans="1:24">
      <c r="A76" s="402"/>
      <c r="B76" s="420"/>
      <c r="C76" s="412" t="s">
        <v>648</v>
      </c>
      <c r="D76" s="412"/>
      <c r="E76" s="546"/>
      <c r="F76" s="412" t="s">
        <v>647</v>
      </c>
      <c r="G76" s="412"/>
      <c r="H76" s="412"/>
      <c r="I76" s="412"/>
      <c r="J76" s="412"/>
      <c r="K76" s="414"/>
      <c r="L76" s="428"/>
    </row>
    <row r="77" spans="1:24">
      <c r="A77" s="402"/>
      <c r="B77" s="420" t="s">
        <v>649</v>
      </c>
      <c r="C77" s="859">
        <v>50000</v>
      </c>
      <c r="D77" s="859"/>
      <c r="E77" s="546" t="s">
        <v>624</v>
      </c>
      <c r="F77" s="547">
        <f>H74</f>
        <v>312000</v>
      </c>
      <c r="G77" s="546" t="s">
        <v>623</v>
      </c>
      <c r="H77" s="422">
        <f>C77/F77</f>
        <v>0.16025641025641027</v>
      </c>
      <c r="I77" s="412" t="s">
        <v>650</v>
      </c>
      <c r="J77" s="412"/>
      <c r="K77" s="414"/>
      <c r="L77" s="428"/>
    </row>
    <row r="78" spans="1:24">
      <c r="A78" s="402"/>
      <c r="B78" s="420"/>
      <c r="C78" s="412"/>
      <c r="D78" s="412"/>
      <c r="E78" s="546"/>
      <c r="F78" s="412"/>
      <c r="G78" s="412"/>
      <c r="H78" s="412"/>
      <c r="I78" s="412"/>
      <c r="J78" s="412"/>
      <c r="K78" s="414"/>
      <c r="L78" s="428"/>
    </row>
    <row r="79" spans="1:24">
      <c r="A79" s="402"/>
      <c r="B79" s="429"/>
      <c r="C79" s="430" t="s">
        <v>651</v>
      </c>
      <c r="D79" s="430"/>
      <c r="E79" s="548"/>
      <c r="F79" s="430"/>
      <c r="G79" s="430"/>
      <c r="H79" s="430"/>
      <c r="I79" s="430"/>
      <c r="J79" s="430"/>
      <c r="K79" s="431"/>
      <c r="L79" s="428"/>
    </row>
    <row r="80" spans="1:24">
      <c r="A80" s="402"/>
      <c r="B80" s="420" t="s">
        <v>652</v>
      </c>
      <c r="C80" s="859">
        <v>100000</v>
      </c>
      <c r="D80" s="859"/>
      <c r="E80" s="546" t="s">
        <v>277</v>
      </c>
      <c r="F80" s="546">
        <v>0.115</v>
      </c>
      <c r="G80" s="546" t="s">
        <v>623</v>
      </c>
      <c r="H80" s="547">
        <f>C80*F80</f>
        <v>11500</v>
      </c>
      <c r="I80" s="412" t="s">
        <v>653</v>
      </c>
      <c r="J80" s="412"/>
      <c r="K80" s="414"/>
      <c r="L80" s="428"/>
    </row>
    <row r="81" spans="1:12">
      <c r="A81" s="402"/>
      <c r="B81" s="420"/>
      <c r="C81" s="412"/>
      <c r="D81" s="412"/>
      <c r="E81" s="546"/>
      <c r="F81" s="412"/>
      <c r="G81" s="412"/>
      <c r="H81" s="412"/>
      <c r="I81" s="412"/>
      <c r="J81" s="412"/>
      <c r="K81" s="414"/>
      <c r="L81" s="428"/>
    </row>
    <row r="82" spans="1:12">
      <c r="A82" s="402"/>
      <c r="B82" s="429"/>
      <c r="C82" s="430" t="s">
        <v>654</v>
      </c>
      <c r="D82" s="430"/>
      <c r="E82" s="548"/>
      <c r="F82" s="430" t="s">
        <v>650</v>
      </c>
      <c r="G82" s="430"/>
      <c r="H82" s="430"/>
      <c r="I82" s="430"/>
      <c r="J82" s="430" t="s">
        <v>655</v>
      </c>
      <c r="K82" s="431"/>
      <c r="L82" s="428"/>
    </row>
    <row r="83" spans="1:12">
      <c r="A83" s="402"/>
      <c r="B83" s="420" t="s">
        <v>656</v>
      </c>
      <c r="C83" s="869">
        <f>H80</f>
        <v>11500</v>
      </c>
      <c r="D83" s="869"/>
      <c r="E83" s="546" t="s">
        <v>277</v>
      </c>
      <c r="F83" s="422">
        <f>H77</f>
        <v>0.16025641025641027</v>
      </c>
      <c r="G83" s="546" t="s">
        <v>624</v>
      </c>
      <c r="H83" s="546">
        <v>1000</v>
      </c>
      <c r="I83" s="546" t="s">
        <v>623</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615</v>
      </c>
      <c r="C85" s="861"/>
      <c r="D85" s="861"/>
      <c r="E85" s="861"/>
      <c r="F85" s="861"/>
      <c r="G85" s="861"/>
      <c r="H85" s="861"/>
      <c r="I85" s="861"/>
      <c r="J85" s="861"/>
      <c r="K85" s="861"/>
      <c r="L85" s="402"/>
    </row>
    <row r="86" spans="1:12">
      <c r="A86" s="402"/>
      <c r="B86" s="853" t="s">
        <v>657</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658</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659</v>
      </c>
      <c r="C90" s="858"/>
      <c r="D90" s="858"/>
      <c r="E90" s="858"/>
      <c r="F90" s="858"/>
      <c r="G90" s="858"/>
      <c r="H90" s="858"/>
      <c r="I90" s="858"/>
      <c r="J90" s="858"/>
      <c r="K90" s="858"/>
      <c r="L90" s="402"/>
    </row>
    <row r="91" spans="1:12" ht="15" customHeight="1" thickBot="1">
      <c r="A91" s="402"/>
      <c r="L91" s="402"/>
    </row>
    <row r="92" spans="1:12" ht="15" customHeight="1">
      <c r="A92" s="402"/>
      <c r="B92" s="437" t="s">
        <v>619</v>
      </c>
      <c r="C92" s="438"/>
      <c r="D92" s="438"/>
      <c r="E92" s="438"/>
      <c r="F92" s="438"/>
      <c r="G92" s="438"/>
      <c r="H92" s="438"/>
      <c r="I92" s="438"/>
      <c r="J92" s="438"/>
      <c r="K92" s="439"/>
      <c r="L92" s="402"/>
    </row>
    <row r="93" spans="1:12" ht="15" customHeight="1">
      <c r="A93" s="402"/>
      <c r="B93" s="440"/>
      <c r="C93" s="544" t="s">
        <v>625</v>
      </c>
      <c r="D93" s="544"/>
      <c r="E93" s="544"/>
      <c r="F93" s="544"/>
      <c r="G93" s="544"/>
      <c r="H93" s="544"/>
      <c r="I93" s="544"/>
      <c r="J93" s="544"/>
      <c r="K93" s="441"/>
      <c r="L93" s="402"/>
    </row>
    <row r="94" spans="1:12" ht="15" customHeight="1">
      <c r="A94" s="402"/>
      <c r="B94" s="440" t="s">
        <v>646</v>
      </c>
      <c r="C94" s="859">
        <v>312000000</v>
      </c>
      <c r="D94" s="859"/>
      <c r="E94" s="546" t="s">
        <v>624</v>
      </c>
      <c r="F94" s="546">
        <v>1000</v>
      </c>
      <c r="G94" s="546" t="s">
        <v>623</v>
      </c>
      <c r="H94" s="547">
        <f>C94/F94</f>
        <v>312000</v>
      </c>
      <c r="I94" s="544" t="s">
        <v>647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648</v>
      </c>
      <c r="D96" s="544"/>
      <c r="E96" s="546"/>
      <c r="F96" s="544" t="s">
        <v>647</v>
      </c>
      <c r="G96" s="544"/>
      <c r="H96" s="544"/>
      <c r="I96" s="544"/>
      <c r="J96" s="544"/>
      <c r="K96" s="441"/>
      <c r="L96" s="402"/>
    </row>
    <row r="97" spans="1:12" ht="15" customHeight="1">
      <c r="A97" s="402"/>
      <c r="B97" s="440" t="s">
        <v>649</v>
      </c>
      <c r="C97" s="859">
        <v>50000</v>
      </c>
      <c r="D97" s="859"/>
      <c r="E97" s="546" t="s">
        <v>624</v>
      </c>
      <c r="F97" s="547">
        <f>H94</f>
        <v>312000</v>
      </c>
      <c r="G97" s="546" t="s">
        <v>623</v>
      </c>
      <c r="H97" s="422">
        <f>C97/F97</f>
        <v>0.16025641025641027</v>
      </c>
      <c r="I97" s="544" t="s">
        <v>650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660</v>
      </c>
      <c r="D99" s="443"/>
      <c r="E99" s="548"/>
      <c r="F99" s="443"/>
      <c r="G99" s="443"/>
      <c r="H99" s="443"/>
      <c r="I99" s="443"/>
      <c r="J99" s="443"/>
      <c r="K99" s="444"/>
      <c r="L99" s="402"/>
    </row>
    <row r="100" spans="1:12" ht="15" customHeight="1">
      <c r="A100" s="402"/>
      <c r="B100" s="440" t="s">
        <v>652</v>
      </c>
      <c r="C100" s="859">
        <v>2500000</v>
      </c>
      <c r="D100" s="859"/>
      <c r="E100" s="546" t="s">
        <v>277</v>
      </c>
      <c r="F100" s="445">
        <v>0.3</v>
      </c>
      <c r="G100" s="546" t="s">
        <v>623</v>
      </c>
      <c r="H100" s="547">
        <f>C100*F100</f>
        <v>750000</v>
      </c>
      <c r="I100" s="544" t="s">
        <v>653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654</v>
      </c>
      <c r="D102" s="443"/>
      <c r="E102" s="548"/>
      <c r="F102" s="443" t="s">
        <v>650</v>
      </c>
      <c r="G102" s="443"/>
      <c r="H102" s="443"/>
      <c r="I102" s="443"/>
      <c r="J102" s="443" t="s">
        <v>655</v>
      </c>
      <c r="K102" s="444"/>
      <c r="L102" s="402"/>
    </row>
    <row r="103" spans="1:12" ht="15" customHeight="1">
      <c r="A103" s="402"/>
      <c r="B103" s="440" t="s">
        <v>656</v>
      </c>
      <c r="C103" s="869">
        <f>H100</f>
        <v>750000</v>
      </c>
      <c r="D103" s="869"/>
      <c r="E103" s="546" t="s">
        <v>277</v>
      </c>
      <c r="F103" s="422">
        <f>H97</f>
        <v>0.16025641025641027</v>
      </c>
      <c r="G103" s="546" t="s">
        <v>624</v>
      </c>
      <c r="H103" s="546">
        <v>1000</v>
      </c>
      <c r="I103" s="546" t="s">
        <v>623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615</v>
      </c>
      <c r="C105" s="870"/>
      <c r="D105" s="870"/>
      <c r="E105" s="870"/>
      <c r="F105" s="870"/>
      <c r="G105" s="870"/>
      <c r="H105" s="870"/>
      <c r="I105" s="870"/>
      <c r="J105" s="870"/>
      <c r="K105" s="870"/>
      <c r="L105" s="402"/>
    </row>
    <row r="106" spans="1:12" ht="15" customHeight="1">
      <c r="A106" s="402"/>
      <c r="B106" s="871" t="s">
        <v>661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663</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619</v>
      </c>
      <c r="C112" s="409"/>
      <c r="D112" s="409"/>
      <c r="E112" s="409"/>
      <c r="F112" s="409"/>
      <c r="G112" s="409"/>
      <c r="H112" s="409"/>
      <c r="I112" s="409"/>
      <c r="J112" s="409"/>
      <c r="K112" s="410"/>
      <c r="L112" s="402"/>
    </row>
    <row r="113" spans="1:12">
      <c r="A113" s="402"/>
      <c r="B113" s="420"/>
      <c r="C113" s="412" t="s">
        <v>625</v>
      </c>
      <c r="D113" s="412"/>
      <c r="E113" s="412"/>
      <c r="F113" s="412"/>
      <c r="G113" s="412"/>
      <c r="H113" s="412"/>
      <c r="I113" s="412"/>
      <c r="J113" s="412"/>
      <c r="K113" s="414"/>
      <c r="L113" s="402"/>
    </row>
    <row r="114" spans="1:12">
      <c r="A114" s="402"/>
      <c r="B114" s="420" t="s">
        <v>646</v>
      </c>
      <c r="C114" s="859">
        <v>312000000</v>
      </c>
      <c r="D114" s="859"/>
      <c r="E114" s="546" t="s">
        <v>624</v>
      </c>
      <c r="F114" s="546">
        <v>1000</v>
      </c>
      <c r="G114" s="546" t="s">
        <v>623</v>
      </c>
      <c r="H114" s="547">
        <f>C114/F114</f>
        <v>312000</v>
      </c>
      <c r="I114" s="412" t="s">
        <v>647</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648</v>
      </c>
      <c r="D116" s="412"/>
      <c r="E116" s="546"/>
      <c r="F116" s="412" t="s">
        <v>647</v>
      </c>
      <c r="G116" s="412"/>
      <c r="H116" s="412"/>
      <c r="I116" s="412"/>
      <c r="J116" s="412"/>
      <c r="K116" s="414"/>
      <c r="L116" s="402"/>
    </row>
    <row r="117" spans="1:12">
      <c r="A117" s="402"/>
      <c r="B117" s="420" t="s">
        <v>649</v>
      </c>
      <c r="C117" s="859">
        <v>50000</v>
      </c>
      <c r="D117" s="859"/>
      <c r="E117" s="546" t="s">
        <v>624</v>
      </c>
      <c r="F117" s="547">
        <f>H114</f>
        <v>312000</v>
      </c>
      <c r="G117" s="546" t="s">
        <v>623</v>
      </c>
      <c r="H117" s="422">
        <f>C117/F117</f>
        <v>0.16025641025641027</v>
      </c>
      <c r="I117" s="412" t="s">
        <v>650</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660</v>
      </c>
      <c r="D119" s="430"/>
      <c r="E119" s="548"/>
      <c r="F119" s="430"/>
      <c r="G119" s="430"/>
      <c r="H119" s="430"/>
      <c r="I119" s="430"/>
      <c r="J119" s="430"/>
      <c r="K119" s="431"/>
      <c r="L119" s="402"/>
    </row>
    <row r="120" spans="1:12">
      <c r="A120" s="402"/>
      <c r="B120" s="420" t="s">
        <v>652</v>
      </c>
      <c r="C120" s="859">
        <v>2500000</v>
      </c>
      <c r="D120" s="859"/>
      <c r="E120" s="546" t="s">
        <v>277</v>
      </c>
      <c r="F120" s="445">
        <v>0.25</v>
      </c>
      <c r="G120" s="546" t="s">
        <v>623</v>
      </c>
      <c r="H120" s="547">
        <f>C120*F120</f>
        <v>625000</v>
      </c>
      <c r="I120" s="412" t="s">
        <v>653</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654</v>
      </c>
      <c r="D122" s="430"/>
      <c r="E122" s="548"/>
      <c r="F122" s="430" t="s">
        <v>650</v>
      </c>
      <c r="G122" s="430"/>
      <c r="H122" s="430"/>
      <c r="I122" s="430"/>
      <c r="J122" s="430" t="s">
        <v>655</v>
      </c>
      <c r="K122" s="431"/>
      <c r="L122" s="402"/>
    </row>
    <row r="123" spans="1:12">
      <c r="A123" s="402"/>
      <c r="B123" s="420" t="s">
        <v>656</v>
      </c>
      <c r="C123" s="869">
        <f>H120</f>
        <v>625000</v>
      </c>
      <c r="D123" s="869"/>
      <c r="E123" s="546" t="s">
        <v>277</v>
      </c>
      <c r="F123" s="422">
        <f>H117</f>
        <v>0.16025641025641027</v>
      </c>
      <c r="G123" s="546" t="s">
        <v>624</v>
      </c>
      <c r="H123" s="546">
        <v>1000</v>
      </c>
      <c r="I123" s="546" t="s">
        <v>623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615</v>
      </c>
      <c r="C125" s="861"/>
      <c r="D125" s="861"/>
      <c r="E125" s="861"/>
      <c r="F125" s="861"/>
      <c r="G125" s="861"/>
      <c r="H125" s="861"/>
      <c r="I125" s="861"/>
      <c r="J125" s="861"/>
      <c r="K125" s="861"/>
      <c r="L125" s="448"/>
    </row>
    <row r="126" spans="1:12">
      <c r="A126" s="402"/>
      <c r="B126" s="853" t="s">
        <v>664</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665</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666</v>
      </c>
      <c r="C130" s="858"/>
      <c r="D130" s="858"/>
      <c r="E130" s="858"/>
      <c r="F130" s="858"/>
      <c r="G130" s="858"/>
      <c r="H130" s="858"/>
      <c r="I130" s="858"/>
      <c r="J130" s="858"/>
      <c r="K130" s="858"/>
      <c r="L130" s="448"/>
    </row>
    <row r="131" spans="1:12" ht="15" thickBot="1">
      <c r="A131" s="402"/>
      <c r="L131" s="402"/>
    </row>
    <row r="132" spans="1:12">
      <c r="A132" s="402"/>
      <c r="B132" s="408" t="s">
        <v>619</v>
      </c>
      <c r="C132" s="409"/>
      <c r="D132" s="409"/>
      <c r="E132" s="409"/>
      <c r="F132" s="409"/>
      <c r="G132" s="409"/>
      <c r="H132" s="409"/>
      <c r="I132" s="409"/>
      <c r="J132" s="409"/>
      <c r="K132" s="410"/>
      <c r="L132" s="402"/>
    </row>
    <row r="133" spans="1:12">
      <c r="A133" s="402"/>
      <c r="B133" s="420"/>
      <c r="C133" s="874" t="s">
        <v>667</v>
      </c>
      <c r="D133" s="874"/>
      <c r="E133" s="412"/>
      <c r="F133" s="546" t="s">
        <v>668</v>
      </c>
      <c r="G133" s="412"/>
      <c r="H133" s="874" t="s">
        <v>653</v>
      </c>
      <c r="I133" s="874"/>
      <c r="J133" s="412"/>
      <c r="K133" s="414"/>
      <c r="L133" s="402"/>
    </row>
    <row r="134" spans="1:12">
      <c r="A134" s="402"/>
      <c r="B134" s="420" t="s">
        <v>646</v>
      </c>
      <c r="C134" s="859">
        <v>100000</v>
      </c>
      <c r="D134" s="859"/>
      <c r="E134" s="546" t="s">
        <v>277</v>
      </c>
      <c r="F134" s="546">
        <v>0.115</v>
      </c>
      <c r="G134" s="546" t="s">
        <v>623</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653</v>
      </c>
      <c r="D136" s="880"/>
      <c r="E136" s="430"/>
      <c r="F136" s="548" t="s">
        <v>669</v>
      </c>
      <c r="G136" s="548"/>
      <c r="H136" s="430"/>
      <c r="I136" s="430"/>
      <c r="J136" s="430" t="s">
        <v>670</v>
      </c>
      <c r="K136" s="431"/>
      <c r="L136" s="402"/>
    </row>
    <row r="137" spans="1:12">
      <c r="A137" s="402"/>
      <c r="B137" s="420" t="s">
        <v>649</v>
      </c>
      <c r="C137" s="875">
        <f>H134</f>
        <v>11500</v>
      </c>
      <c r="D137" s="875"/>
      <c r="E137" s="546" t="s">
        <v>277</v>
      </c>
      <c r="F137" s="449">
        <v>52.869</v>
      </c>
      <c r="G137" s="546" t="s">
        <v>624</v>
      </c>
      <c r="H137" s="546">
        <v>1000</v>
      </c>
      <c r="I137" s="546" t="s">
        <v>623</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615</v>
      </c>
      <c r="C139" s="455"/>
      <c r="D139" s="455"/>
      <c r="E139" s="456"/>
      <c r="F139" s="457"/>
      <c r="G139" s="456"/>
      <c r="H139" s="456"/>
      <c r="I139" s="456"/>
      <c r="J139" s="458"/>
      <c r="K139" s="459"/>
      <c r="L139" s="402"/>
    </row>
    <row r="140" spans="1:12">
      <c r="A140" s="402"/>
      <c r="B140" s="460" t="s">
        <v>671</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672</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673</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619</v>
      </c>
      <c r="C146" s="467"/>
      <c r="D146" s="467"/>
      <c r="E146" s="468"/>
      <c r="F146" s="469"/>
      <c r="G146" s="468"/>
      <c r="H146" s="468"/>
      <c r="I146" s="468"/>
      <c r="J146" s="470"/>
      <c r="K146" s="410"/>
      <c r="L146" s="402"/>
    </row>
    <row r="147" spans="1:12">
      <c r="A147" s="402"/>
      <c r="B147" s="420"/>
      <c r="C147" s="875" t="s">
        <v>674</v>
      </c>
      <c r="D147" s="875"/>
      <c r="E147" s="546"/>
      <c r="F147" s="466" t="s">
        <v>675</v>
      </c>
      <c r="G147" s="546"/>
      <c r="H147" s="546"/>
      <c r="I147" s="546"/>
      <c r="J147" s="876" t="s">
        <v>676</v>
      </c>
      <c r="K147" s="877"/>
      <c r="L147" s="402"/>
    </row>
    <row r="148" spans="1:12">
      <c r="A148" s="402"/>
      <c r="B148" s="420"/>
      <c r="C148" s="878">
        <v>52.869</v>
      </c>
      <c r="D148" s="878"/>
      <c r="E148" s="546" t="s">
        <v>277</v>
      </c>
      <c r="F148" s="542">
        <v>312000000</v>
      </c>
      <c r="G148" s="471" t="s">
        <v>624</v>
      </c>
      <c r="H148" s="546">
        <v>1000</v>
      </c>
      <c r="I148" s="546" t="s">
        <v>623</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677</v>
      </c>
    </row>
    <row r="3" spans="1:1" ht="31.5">
      <c r="A3" s="475" t="s">
        <v>678</v>
      </c>
    </row>
    <row r="4" spans="1:1">
      <c r="A4" s="476" t="s">
        <v>679</v>
      </c>
    </row>
    <row r="7" spans="1:1" ht="31.5">
      <c r="A7" s="475" t="s">
        <v>680</v>
      </c>
    </row>
    <row r="8" spans="1:1">
      <c r="A8" s="476" t="s">
        <v>681</v>
      </c>
    </row>
    <row r="11" spans="1:1">
      <c r="A11" s="474" t="s">
        <v>682</v>
      </c>
    </row>
    <row r="12" spans="1:1">
      <c r="A12" s="476" t="s">
        <v>683</v>
      </c>
    </row>
    <row r="15" spans="1:1">
      <c r="A15" s="474" t="s">
        <v>684</v>
      </c>
    </row>
    <row r="16" spans="1:1">
      <c r="A16" s="476" t="s">
        <v>685</v>
      </c>
    </row>
    <row r="19" spans="1:1">
      <c r="A19" s="474" t="s">
        <v>686</v>
      </c>
    </row>
    <row r="20" spans="1:1">
      <c r="A20" s="476" t="s">
        <v>687</v>
      </c>
    </row>
    <row r="23" spans="1:1">
      <c r="A23" s="474" t="s">
        <v>688</v>
      </c>
    </row>
    <row r="24" spans="1:1">
      <c r="A24" s="476" t="s">
        <v>689</v>
      </c>
    </row>
    <row r="27" spans="1:1">
      <c r="A27" s="474" t="s">
        <v>690</v>
      </c>
    </row>
    <row r="28" spans="1:1">
      <c r="A28" s="476" t="s">
        <v>691</v>
      </c>
    </row>
    <row r="31" spans="1:1">
      <c r="A31" s="474" t="s">
        <v>692</v>
      </c>
    </row>
    <row r="32" spans="1:1">
      <c r="A32" s="476" t="s">
        <v>693</v>
      </c>
    </row>
    <row r="35" spans="1:1">
      <c r="A35" s="474" t="s">
        <v>694</v>
      </c>
    </row>
    <row r="36" spans="1:1">
      <c r="A36" s="476" t="s">
        <v>695</v>
      </c>
    </row>
    <row r="39" spans="1:1">
      <c r="A39" s="474" t="s">
        <v>696</v>
      </c>
    </row>
    <row r="40" spans="1:1">
      <c r="A40" s="476" t="s">
        <v>697</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927</v>
      </c>
    </row>
    <row r="2" spans="1:1">
      <c r="A2" s="747" t="s">
        <v>928</v>
      </c>
    </row>
    <row r="4" spans="1:1">
      <c r="A4" s="370" t="s">
        <v>922</v>
      </c>
    </row>
    <row r="5" spans="1:1">
      <c r="A5" s="741" t="s">
        <v>923</v>
      </c>
    </row>
    <row r="7" spans="1:1">
      <c r="A7" s="370" t="s">
        <v>924</v>
      </c>
    </row>
    <row r="8" spans="1:1">
      <c r="A8" s="745" t="s">
        <v>925</v>
      </c>
    </row>
    <row r="10" spans="1:1">
      <c r="A10" s="370" t="s">
        <v>919</v>
      </c>
    </row>
    <row r="11" spans="1:1">
      <c r="A11" s="80" t="s">
        <v>920</v>
      </c>
    </row>
    <row r="13" spans="1:1">
      <c r="A13" s="370" t="s">
        <v>917</v>
      </c>
    </row>
    <row r="14" spans="1:1">
      <c r="A14" s="741" t="s">
        <v>918</v>
      </c>
    </row>
    <row r="16" spans="1:1">
      <c r="A16" s="370" t="s">
        <v>883</v>
      </c>
    </row>
    <row r="17" spans="1:1">
      <c r="A17" s="80" t="s">
        <v>884</v>
      </c>
    </row>
    <row r="18" spans="1:1">
      <c r="A18" s="80" t="s">
        <v>885</v>
      </c>
    </row>
    <row r="19" spans="1:1">
      <c r="A19" s="80" t="s">
        <v>886</v>
      </c>
    </row>
    <row r="20" spans="1:1">
      <c r="A20" s="80" t="s">
        <v>887</v>
      </c>
    </row>
    <row r="21" spans="1:1">
      <c r="A21" s="80" t="s">
        <v>888</v>
      </c>
    </row>
    <row r="22" spans="1:1">
      <c r="A22" s="80" t="s">
        <v>889</v>
      </c>
    </row>
    <row r="23" spans="1:1">
      <c r="A23" s="80" t="s">
        <v>890</v>
      </c>
    </row>
    <row r="24" spans="1:1">
      <c r="A24" s="80" t="s">
        <v>891</v>
      </c>
    </row>
    <row r="25" spans="1:1">
      <c r="A25" s="80" t="s">
        <v>892</v>
      </c>
    </row>
    <row r="26" spans="1:1">
      <c r="A26" s="80" t="s">
        <v>893</v>
      </c>
    </row>
    <row r="27" spans="1:1">
      <c r="A27" s="80" t="s">
        <v>894</v>
      </c>
    </row>
    <row r="28" spans="1:1">
      <c r="A28" s="80" t="s">
        <v>895</v>
      </c>
    </row>
    <row r="29" spans="1:1">
      <c r="A29" s="80" t="s">
        <v>896</v>
      </c>
    </row>
    <row r="30" spans="1:1">
      <c r="A30" s="80" t="s">
        <v>897</v>
      </c>
    </row>
    <row r="31" spans="1:1">
      <c r="A31" s="80" t="s">
        <v>898</v>
      </c>
    </row>
    <row r="32" spans="1:1">
      <c r="A32" s="80" t="s">
        <v>899</v>
      </c>
    </row>
    <row r="33" spans="1:1">
      <c r="A33" s="80" t="s">
        <v>900</v>
      </c>
    </row>
    <row r="34" spans="1:1">
      <c r="A34" s="80" t="s">
        <v>901</v>
      </c>
    </row>
    <row r="35" spans="1:1">
      <c r="A35" s="80" t="s">
        <v>902</v>
      </c>
    </row>
    <row r="36" spans="1:1">
      <c r="A36" s="80" t="s">
        <v>903</v>
      </c>
    </row>
    <row r="37" spans="1:1">
      <c r="A37" s="80" t="s">
        <v>904</v>
      </c>
    </row>
    <row r="38" spans="1:1">
      <c r="A38" s="80" t="s">
        <v>905</v>
      </c>
    </row>
    <row r="39" spans="1:1">
      <c r="A39" s="80" t="s">
        <v>906</v>
      </c>
    </row>
    <row r="40" spans="1:1">
      <c r="A40" s="80" t="s">
        <v>907</v>
      </c>
    </row>
    <row r="41" spans="1:1">
      <c r="A41" s="80" t="s">
        <v>908</v>
      </c>
    </row>
    <row r="42" spans="1:1">
      <c r="A42" s="80" t="s">
        <v>909</v>
      </c>
    </row>
    <row r="43" spans="1:1">
      <c r="A43" s="80" t="s">
        <v>910</v>
      </c>
    </row>
    <row r="44" spans="1:1">
      <c r="A44" s="80" t="s">
        <v>912</v>
      </c>
    </row>
    <row r="45" spans="1:1">
      <c r="A45" s="80" t="s">
        <v>911</v>
      </c>
    </row>
    <row r="47" spans="1:1">
      <c r="A47" s="370" t="s">
        <v>743</v>
      </c>
    </row>
    <row r="48" spans="1:1">
      <c r="A48" s="80" t="s">
        <v>744</v>
      </c>
    </row>
    <row r="50" spans="1:1">
      <c r="A50" s="370" t="s">
        <v>741</v>
      </c>
    </row>
    <row r="51" spans="1:1">
      <c r="A51" s="80" t="s">
        <v>742</v>
      </c>
    </row>
    <row r="53" spans="1:1">
      <c r="A53" s="370" t="s">
        <v>738</v>
      </c>
    </row>
    <row r="54" spans="1:1">
      <c r="A54" s="534" t="s">
        <v>739</v>
      </c>
    </row>
    <row r="56" spans="1:1">
      <c r="A56" s="370" t="s">
        <v>735</v>
      </c>
    </row>
    <row r="57" spans="1:1">
      <c r="A57" s="80" t="s">
        <v>736</v>
      </c>
    </row>
    <row r="58" spans="1:1">
      <c r="A58" s="80" t="s">
        <v>737</v>
      </c>
    </row>
    <row r="60" spans="1:1">
      <c r="A60" s="370" t="s">
        <v>710</v>
      </c>
    </row>
    <row r="61" spans="1:1">
      <c r="A61" s="534" t="s">
        <v>711</v>
      </c>
    </row>
    <row r="62" spans="1:1">
      <c r="A62" s="534" t="s">
        <v>712</v>
      </c>
    </row>
    <row r="63" spans="1:1" ht="31.5">
      <c r="A63" s="533" t="s">
        <v>713</v>
      </c>
    </row>
    <row r="64" spans="1:1">
      <c r="A64" s="534" t="s">
        <v>714</v>
      </c>
    </row>
    <row r="65" spans="1:1">
      <c r="A65" s="534" t="s">
        <v>715</v>
      </c>
    </row>
    <row r="66" spans="1:1">
      <c r="A66" s="534" t="s">
        <v>716</v>
      </c>
    </row>
    <row r="67" spans="1:1">
      <c r="A67" s="534" t="s">
        <v>717</v>
      </c>
    </row>
    <row r="68" spans="1:1">
      <c r="A68" s="534" t="s">
        <v>718</v>
      </c>
    </row>
    <row r="69" spans="1:1">
      <c r="A69" s="534" t="s">
        <v>719</v>
      </c>
    </row>
    <row r="70" spans="1:1">
      <c r="A70" s="534" t="s">
        <v>720</v>
      </c>
    </row>
    <row r="71" spans="1:1">
      <c r="A71" s="534" t="s">
        <v>721</v>
      </c>
    </row>
    <row r="72" spans="1:1">
      <c r="A72" s="534" t="s">
        <v>722</v>
      </c>
    </row>
    <row r="73" spans="1:1">
      <c r="A73" s="534" t="s">
        <v>733</v>
      </c>
    </row>
    <row r="74" spans="1:1">
      <c r="A74" s="534" t="s">
        <v>723</v>
      </c>
    </row>
    <row r="75" spans="1:1">
      <c r="A75" s="534" t="s">
        <v>724</v>
      </c>
    </row>
    <row r="76" spans="1:1">
      <c r="A76" s="534" t="s">
        <v>725</v>
      </c>
    </row>
    <row r="77" spans="1:1">
      <c r="A77" s="534" t="s">
        <v>726</v>
      </c>
    </row>
    <row r="78" spans="1:1">
      <c r="A78" s="534" t="s">
        <v>727</v>
      </c>
    </row>
    <row r="79" spans="1:1">
      <c r="A79" s="534" t="s">
        <v>728</v>
      </c>
    </row>
    <row r="80" spans="1:1">
      <c r="A80" s="534" t="s">
        <v>729</v>
      </c>
    </row>
    <row r="81" spans="1:1">
      <c r="A81" s="534" t="s">
        <v>730</v>
      </c>
    </row>
    <row r="82" spans="1:1">
      <c r="A82" s="534" t="s">
        <v>731</v>
      </c>
    </row>
    <row r="83" spans="1:1">
      <c r="A83" s="534" t="s">
        <v>734</v>
      </c>
    </row>
    <row r="85" spans="1:1">
      <c r="A85" s="370" t="s">
        <v>607</v>
      </c>
    </row>
    <row r="86" spans="1:1" ht="39" customHeight="1">
      <c r="A86" s="334" t="s">
        <v>608</v>
      </c>
    </row>
    <row r="87" spans="1:1" ht="23.25" customHeight="1"/>
    <row r="88" spans="1:1">
      <c r="A88" s="370" t="s">
        <v>603</v>
      </c>
    </row>
    <row r="89" spans="1:1">
      <c r="A89" s="80" t="s">
        <v>604</v>
      </c>
    </row>
    <row r="90" spans="1:1">
      <c r="A90" s="80" t="s">
        <v>605</v>
      </c>
    </row>
    <row r="91" spans="1:1">
      <c r="A91" s="80" t="s">
        <v>606</v>
      </c>
    </row>
    <row r="93" spans="1:1">
      <c r="A93" s="373" t="s">
        <v>592</v>
      </c>
    </row>
    <row r="94" spans="1:1">
      <c r="A94" s="80" t="s">
        <v>602</v>
      </c>
    </row>
    <row r="96" spans="1:1">
      <c r="A96" s="370" t="s">
        <v>576</v>
      </c>
    </row>
    <row r="97" spans="1:1">
      <c r="A97" s="371" t="s">
        <v>577</v>
      </c>
    </row>
    <row r="98" spans="1:1">
      <c r="A98" s="371" t="s">
        <v>578</v>
      </c>
    </row>
    <row r="99" spans="1:1">
      <c r="A99" s="371" t="s">
        <v>579</v>
      </c>
    </row>
    <row r="100" spans="1:1">
      <c r="A100" s="369" t="s">
        <v>580</v>
      </c>
    </row>
    <row r="102" spans="1:1">
      <c r="A102" s="345" t="s">
        <v>304</v>
      </c>
    </row>
    <row r="103" spans="1:1">
      <c r="A103" s="80" t="s">
        <v>306</v>
      </c>
    </row>
    <row r="104" spans="1:1">
      <c r="A104" s="80" t="s">
        <v>307</v>
      </c>
    </row>
    <row r="105" spans="1:1">
      <c r="A105" s="80" t="s">
        <v>308</v>
      </c>
    </row>
    <row r="106" spans="1:1">
      <c r="A106" s="80" t="s">
        <v>309</v>
      </c>
    </row>
    <row r="107" spans="1:1">
      <c r="A107" s="80" t="s">
        <v>310</v>
      </c>
    </row>
    <row r="108" spans="1:1">
      <c r="A108" s="80" t="s">
        <v>311</v>
      </c>
    </row>
    <row r="109" spans="1:1">
      <c r="A109" s="80" t="s">
        <v>326</v>
      </c>
    </row>
    <row r="110" spans="1:1">
      <c r="A110" s="80" t="s">
        <v>327</v>
      </c>
    </row>
    <row r="111" spans="1:1">
      <c r="A111" s="80" t="s">
        <v>328</v>
      </c>
    </row>
    <row r="112" spans="1:1">
      <c r="A112" s="80" t="s">
        <v>329</v>
      </c>
    </row>
    <row r="113" spans="1:1">
      <c r="A113" s="80" t="s">
        <v>344</v>
      </c>
    </row>
    <row r="114" spans="1:1" ht="31.5">
      <c r="A114" s="334" t="s">
        <v>345</v>
      </c>
    </row>
    <row r="115" spans="1:1">
      <c r="A115" s="334" t="s">
        <v>354</v>
      </c>
    </row>
    <row r="116" spans="1:1">
      <c r="A116" s="347" t="s">
        <v>357</v>
      </c>
    </row>
    <row r="117" spans="1:1">
      <c r="A117" s="348" t="s">
        <v>358</v>
      </c>
    </row>
    <row r="119" spans="1:1">
      <c r="A119" s="345" t="s">
        <v>299</v>
      </c>
    </row>
    <row r="120" spans="1:1">
      <c r="A120" s="80" t="s">
        <v>300</v>
      </c>
    </row>
    <row r="121" spans="1:1">
      <c r="A121" s="80" t="s">
        <v>301</v>
      </c>
    </row>
    <row r="123" spans="1:1">
      <c r="A123" s="345" t="s">
        <v>297</v>
      </c>
    </row>
    <row r="124" spans="1:1">
      <c r="A124" s="80" t="s">
        <v>298</v>
      </c>
    </row>
    <row r="126" spans="1:1">
      <c r="A126" s="345" t="s">
        <v>295</v>
      </c>
    </row>
    <row r="127" spans="1:1">
      <c r="A127" s="80" t="s">
        <v>296</v>
      </c>
    </row>
    <row r="129" spans="1:1">
      <c r="A129" s="345" t="s">
        <v>292</v>
      </c>
    </row>
    <row r="130" spans="1:1">
      <c r="A130" s="80" t="s">
        <v>293</v>
      </c>
    </row>
    <row r="131" spans="1:1">
      <c r="A131" s="80" t="s">
        <v>294</v>
      </c>
    </row>
    <row r="133" spans="1:1">
      <c r="A133" s="80" t="s">
        <v>288</v>
      </c>
    </row>
    <row r="134" spans="1:1">
      <c r="A134" s="80" t="s">
        <v>289</v>
      </c>
    </row>
    <row r="135" spans="1:1">
      <c r="A135" s="80" t="s">
        <v>290</v>
      </c>
    </row>
    <row r="136" spans="1:1">
      <c r="A136" s="80" t="s">
        <v>291</v>
      </c>
    </row>
    <row r="138" spans="1:1">
      <c r="A138" s="80" t="s">
        <v>284</v>
      </c>
    </row>
    <row r="139" spans="1:1">
      <c r="A139" s="80" t="s">
        <v>285</v>
      </c>
    </row>
    <row r="140" spans="1:1">
      <c r="A140" s="80" t="s">
        <v>286</v>
      </c>
    </row>
    <row r="142" spans="1:1">
      <c r="A142" s="80" t="s">
        <v>282</v>
      </c>
    </row>
    <row r="143" spans="1:1" ht="34.5" customHeight="1">
      <c r="A143" s="80" t="s">
        <v>283</v>
      </c>
    </row>
    <row r="145" spans="1:1">
      <c r="A145" s="80" t="s">
        <v>237</v>
      </c>
    </row>
    <row r="146" spans="1:1">
      <c r="A146" s="80" t="s">
        <v>238</v>
      </c>
    </row>
    <row r="147" spans="1:1" ht="31.5">
      <c r="A147" s="334" t="s">
        <v>254</v>
      </c>
    </row>
    <row r="148" spans="1:1">
      <c r="A148" s="80" t="s">
        <v>239</v>
      </c>
    </row>
    <row r="149" spans="1:1">
      <c r="A149" s="80" t="s">
        <v>240</v>
      </c>
    </row>
    <row r="150" spans="1:1">
      <c r="A150" s="80" t="s">
        <v>241</v>
      </c>
    </row>
    <row r="151" spans="1:1">
      <c r="A151" s="80" t="s">
        <v>242</v>
      </c>
    </row>
    <row r="152" spans="1:1" ht="31.5">
      <c r="A152" s="334" t="s">
        <v>222</v>
      </c>
    </row>
    <row r="153" spans="1:1" ht="31.5">
      <c r="A153" s="334" t="s">
        <v>250</v>
      </c>
    </row>
    <row r="154" spans="1:1" ht="31.5">
      <c r="A154" s="334" t="s">
        <v>243</v>
      </c>
    </row>
    <row r="155" spans="1:1">
      <c r="A155" s="334" t="s">
        <v>244</v>
      </c>
    </row>
    <row r="156" spans="1:1" ht="31.5">
      <c r="A156" s="334" t="s">
        <v>245</v>
      </c>
    </row>
    <row r="157" spans="1:1" ht="33.75" customHeight="1">
      <c r="A157" s="80" t="s">
        <v>246</v>
      </c>
    </row>
    <row r="158" spans="1:1" ht="26.25" customHeight="1">
      <c r="A158" s="80" t="s">
        <v>247</v>
      </c>
    </row>
    <row r="159" spans="1:1" ht="33.75" customHeight="1">
      <c r="A159" s="80" t="s">
        <v>248</v>
      </c>
    </row>
    <row r="160" spans="1:1" ht="30.75" customHeight="1">
      <c r="A160" s="80" t="s">
        <v>253</v>
      </c>
    </row>
    <row r="161" spans="1:1" ht="21" customHeight="1">
      <c r="A161" s="334" t="s">
        <v>251</v>
      </c>
    </row>
    <row r="162" spans="1:1" ht="38.25" customHeight="1">
      <c r="A162" s="334" t="s">
        <v>216</v>
      </c>
    </row>
    <row r="163" spans="1:1" ht="33.75" customHeight="1">
      <c r="A163" s="334" t="s">
        <v>223</v>
      </c>
    </row>
    <row r="164" spans="1:1" ht="33.75" customHeight="1">
      <c r="A164" s="334" t="s">
        <v>217</v>
      </c>
    </row>
    <row r="165" spans="1:1" ht="33.75" customHeight="1">
      <c r="A165" s="334" t="s">
        <v>218</v>
      </c>
    </row>
    <row r="166" spans="1:1" ht="33.75" customHeight="1">
      <c r="A166" s="334" t="s">
        <v>219</v>
      </c>
    </row>
    <row r="167" spans="1:1" ht="31.5">
      <c r="A167" s="334" t="s">
        <v>220</v>
      </c>
    </row>
    <row r="168" spans="1:1" ht="31.5">
      <c r="A168" s="334" t="s">
        <v>224</v>
      </c>
    </row>
    <row r="169" spans="1:1" ht="31.5">
      <c r="A169" s="334" t="s">
        <v>221</v>
      </c>
    </row>
    <row r="170" spans="1:1" ht="31.5">
      <c r="A170" s="334" t="s">
        <v>225</v>
      </c>
    </row>
    <row r="171" spans="1:1">
      <c r="A171" s="334" t="s">
        <v>231</v>
      </c>
    </row>
    <row r="173" spans="1:1">
      <c r="A173" s="80" t="s">
        <v>175</v>
      </c>
    </row>
    <row r="174" spans="1:1" ht="47.25">
      <c r="A174" s="334" t="s">
        <v>226</v>
      </c>
    </row>
    <row r="175" spans="1:1">
      <c r="A175" s="80" t="s">
        <v>176</v>
      </c>
    </row>
    <row r="176" spans="1:1">
      <c r="A176" s="80" t="s">
        <v>180</v>
      </c>
    </row>
    <row r="177" spans="1:1">
      <c r="A177" s="80" t="s">
        <v>181</v>
      </c>
    </row>
    <row r="178" spans="1:1">
      <c r="A178" s="80" t="s">
        <v>177</v>
      </c>
    </row>
    <row r="179" spans="1:1">
      <c r="A179" s="80" t="s">
        <v>178</v>
      </c>
    </row>
    <row r="180" spans="1:1">
      <c r="A180" s="80" t="s">
        <v>179</v>
      </c>
    </row>
    <row r="181" spans="1:1">
      <c r="A181" s="334" t="s">
        <v>182</v>
      </c>
    </row>
    <row r="182" spans="1:1">
      <c r="A182" s="80" t="s">
        <v>183</v>
      </c>
    </row>
    <row r="183" spans="1:1">
      <c r="A183" s="80" t="s">
        <v>184</v>
      </c>
    </row>
    <row r="184" spans="1:1">
      <c r="A184" s="80" t="s">
        <v>227</v>
      </c>
    </row>
    <row r="185" spans="1:1">
      <c r="A185" s="80" t="s">
        <v>185</v>
      </c>
    </row>
    <row r="186" spans="1:1">
      <c r="A186" s="80" t="s">
        <v>228</v>
      </c>
    </row>
    <row r="187" spans="1:1">
      <c r="A187" s="80" t="s">
        <v>186</v>
      </c>
    </row>
    <row r="188" spans="1:1">
      <c r="A188" s="80" t="s">
        <v>229</v>
      </c>
    </row>
    <row r="189" spans="1:1">
      <c r="A189" s="80" t="s">
        <v>187</v>
      </c>
    </row>
    <row r="190" spans="1:1">
      <c r="A190" s="80" t="s">
        <v>191</v>
      </c>
    </row>
    <row r="191" spans="1:1">
      <c r="A191" s="80" t="s">
        <v>230</v>
      </c>
    </row>
    <row r="192" spans="1:1">
      <c r="A192" s="80" t="s">
        <v>206</v>
      </c>
    </row>
    <row r="193" spans="1:1">
      <c r="A193" s="80" t="s">
        <v>207</v>
      </c>
    </row>
    <row r="194" spans="1:1">
      <c r="A194" s="80" t="s">
        <v>208</v>
      </c>
    </row>
    <row r="195" spans="1:1">
      <c r="A195" s="80" t="s">
        <v>192</v>
      </c>
    </row>
    <row r="196" spans="1:1">
      <c r="A196" s="80" t="s">
        <v>193</v>
      </c>
    </row>
    <row r="197" spans="1:1">
      <c r="A197" s="80" t="s">
        <v>194</v>
      </c>
    </row>
    <row r="198" spans="1:1">
      <c r="A198" s="80" t="s">
        <v>203</v>
      </c>
    </row>
    <row r="199" spans="1:1">
      <c r="A199" s="80" t="s">
        <v>204</v>
      </c>
    </row>
    <row r="200" spans="1:1">
      <c r="A200" s="80" t="s">
        <v>205</v>
      </c>
    </row>
    <row r="201" spans="1:1">
      <c r="A201" s="80" t="s">
        <v>215</v>
      </c>
    </row>
    <row r="202" spans="1:1">
      <c r="A202" s="80" t="s">
        <v>232</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C14" sqref="C14"/>
    </sheetView>
  </sheetViews>
  <sheetFormatPr defaultRowHeight="15.75"/>
  <cols>
    <col min="1" max="1" width="13.69921875" customWidth="1"/>
    <col min="2" max="2" width="16" customWidth="1"/>
  </cols>
  <sheetData>
    <row r="1" spans="1:10">
      <c r="J1" s="711" t="s">
        <v>828</v>
      </c>
    </row>
    <row r="2" spans="1:10" ht="54" customHeight="1">
      <c r="A2" s="761" t="s">
        <v>359</v>
      </c>
      <c r="B2" s="762"/>
      <c r="C2" s="762"/>
      <c r="D2" s="762"/>
      <c r="E2" s="762"/>
      <c r="F2" s="762"/>
      <c r="J2" s="711" t="s">
        <v>829</v>
      </c>
    </row>
    <row r="3" spans="1:10">
      <c r="J3" s="711" t="s">
        <v>830</v>
      </c>
    </row>
    <row r="4" spans="1:10">
      <c r="A4" s="474" t="s">
        <v>826</v>
      </c>
      <c r="B4" s="356" t="s">
        <v>946</v>
      </c>
      <c r="C4" s="710"/>
      <c r="J4" s="711" t="s">
        <v>831</v>
      </c>
    </row>
    <row r="5" spans="1:10">
      <c r="A5" s="474"/>
      <c r="B5" s="710"/>
      <c r="J5" s="711" t="s">
        <v>832</v>
      </c>
    </row>
    <row r="6" spans="1:10">
      <c r="A6" s="474" t="s">
        <v>827</v>
      </c>
      <c r="B6" s="356" t="s">
        <v>947</v>
      </c>
      <c r="J6" s="711" t="s">
        <v>833</v>
      </c>
    </row>
    <row r="7" spans="1:10">
      <c r="A7" s="353"/>
      <c r="B7" s="353"/>
      <c r="C7" s="353"/>
      <c r="D7" s="355"/>
      <c r="E7" s="353"/>
      <c r="F7" s="353"/>
      <c r="J7" s="711" t="s">
        <v>834</v>
      </c>
    </row>
    <row r="8" spans="1:10">
      <c r="A8" s="354" t="s">
        <v>360</v>
      </c>
      <c r="B8" s="356" t="s">
        <v>962</v>
      </c>
      <c r="C8" s="357"/>
      <c r="D8" s="354" t="s">
        <v>825</v>
      </c>
      <c r="E8" s="353"/>
      <c r="F8" s="353"/>
      <c r="J8" s="711" t="s">
        <v>835</v>
      </c>
    </row>
    <row r="9" spans="1:10">
      <c r="A9" s="354"/>
      <c r="B9" s="358"/>
      <c r="C9" s="359"/>
      <c r="D9" s="354" t="str">
        <f ca="1">IF(B8="","",CONCATENATE("Latest date for notice to be published in your newspaper: ",G19," ",G23,", ",G24))</f>
        <v>Latest date for notice to be published in your newspaper: August 9, 2013</v>
      </c>
      <c r="E9" s="353"/>
      <c r="F9" s="353"/>
      <c r="J9" s="711" t="s">
        <v>836</v>
      </c>
    </row>
    <row r="10" spans="1:10">
      <c r="A10" s="354" t="s">
        <v>361</v>
      </c>
      <c r="B10" s="356" t="s">
        <v>956</v>
      </c>
      <c r="C10" s="360"/>
      <c r="D10" s="354"/>
      <c r="E10" s="353"/>
      <c r="F10" s="353"/>
      <c r="J10" s="711" t="s">
        <v>837</v>
      </c>
    </row>
    <row r="11" spans="1:10">
      <c r="A11" s="354"/>
      <c r="B11" s="354"/>
      <c r="C11" s="354"/>
      <c r="D11" s="354"/>
      <c r="E11" s="353"/>
      <c r="F11" s="353"/>
      <c r="J11" s="711" t="s">
        <v>838</v>
      </c>
    </row>
    <row r="12" spans="1:10">
      <c r="A12" s="354" t="s">
        <v>362</v>
      </c>
      <c r="B12" s="361" t="s">
        <v>948</v>
      </c>
      <c r="C12" s="361"/>
      <c r="D12" s="361"/>
      <c r="E12" s="362"/>
      <c r="F12" s="353"/>
      <c r="J12" s="711" t="s">
        <v>839</v>
      </c>
    </row>
    <row r="13" spans="1:10">
      <c r="A13" s="354"/>
      <c r="B13" s="354"/>
      <c r="C13" s="354"/>
      <c r="D13" s="354"/>
      <c r="E13" s="353"/>
      <c r="F13" s="353"/>
    </row>
    <row r="14" spans="1:10">
      <c r="A14" s="354"/>
      <c r="B14" s="354"/>
      <c r="C14" s="354"/>
      <c r="D14" s="354"/>
      <c r="E14" s="353"/>
      <c r="F14" s="353"/>
    </row>
    <row r="15" spans="1:10">
      <c r="A15" s="354" t="s">
        <v>363</v>
      </c>
      <c r="B15" s="361" t="s">
        <v>957</v>
      </c>
      <c r="C15" s="361"/>
      <c r="D15" s="361"/>
      <c r="E15" s="362"/>
      <c r="F15" s="353"/>
    </row>
    <row r="18" spans="1:7">
      <c r="A18" s="763" t="s">
        <v>364</v>
      </c>
      <c r="B18" s="763"/>
      <c r="C18" s="354"/>
      <c r="D18" s="354"/>
      <c r="E18" s="354"/>
      <c r="F18" s="353"/>
    </row>
    <row r="19" spans="1:7">
      <c r="A19" s="354"/>
      <c r="B19" s="354"/>
      <c r="C19" s="354"/>
      <c r="D19" s="354"/>
      <c r="E19" s="354"/>
      <c r="F19" s="353"/>
      <c r="G19" s="711" t="str">
        <f ca="1">IF(B8="","",INDIRECT(G20))</f>
        <v>August</v>
      </c>
    </row>
    <row r="20" spans="1:7">
      <c r="A20" s="354" t="s">
        <v>360</v>
      </c>
      <c r="B20" s="358" t="s">
        <v>365</v>
      </c>
      <c r="C20" s="354"/>
      <c r="D20" s="354"/>
      <c r="E20" s="354"/>
      <c r="G20" s="712" t="str">
        <f>IF(B8="","",CONCATENATE("J",G22))</f>
        <v>J8</v>
      </c>
    </row>
    <row r="21" spans="1:7">
      <c r="A21" s="354"/>
      <c r="B21" s="354"/>
      <c r="C21" s="354"/>
      <c r="D21" s="354"/>
      <c r="E21" s="354"/>
      <c r="G21" s="713">
        <f>B8-10</f>
        <v>41495</v>
      </c>
    </row>
    <row r="22" spans="1:7">
      <c r="A22" s="354" t="s">
        <v>361</v>
      </c>
      <c r="B22" s="354" t="s">
        <v>366</v>
      </c>
      <c r="C22" s="354"/>
      <c r="D22" s="354"/>
      <c r="E22" s="354"/>
      <c r="G22" s="714">
        <f>IF(B8="","",MONTH(G21))</f>
        <v>8</v>
      </c>
    </row>
    <row r="23" spans="1:7">
      <c r="A23" s="354"/>
      <c r="B23" s="354"/>
      <c r="C23" s="354"/>
      <c r="D23" s="354"/>
      <c r="E23" s="354"/>
      <c r="G23" s="715">
        <f>IF(B8="","",DAY(G21))</f>
        <v>9</v>
      </c>
    </row>
    <row r="24" spans="1:7">
      <c r="A24" s="354" t="s">
        <v>362</v>
      </c>
      <c r="B24" s="354" t="s">
        <v>368</v>
      </c>
      <c r="C24" s="354"/>
      <c r="D24" s="354"/>
      <c r="E24" s="354"/>
      <c r="G24" s="716">
        <f>IF(B8="","",YEAR(G21))</f>
        <v>2013</v>
      </c>
    </row>
    <row r="25" spans="1:7">
      <c r="A25" s="354"/>
      <c r="B25" s="354"/>
      <c r="C25" s="354"/>
      <c r="D25" s="354"/>
      <c r="E25" s="354"/>
    </row>
    <row r="26" spans="1:7">
      <c r="A26" s="354" t="s">
        <v>363</v>
      </c>
      <c r="B26" s="354" t="s">
        <v>367</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2"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140</v>
      </c>
      <c r="C4" s="783"/>
      <c r="D4" s="783"/>
      <c r="E4" s="783"/>
      <c r="F4" s="783"/>
      <c r="G4" s="783"/>
    </row>
    <row r="5" spans="2:8" s="14" customFormat="1">
      <c r="B5" s="784" t="str">
        <f>inputPrYr!D2</f>
        <v xml:space="preserve">Lincoln Township </v>
      </c>
      <c r="C5" s="783"/>
      <c r="D5" s="783"/>
      <c r="E5" s="783"/>
      <c r="F5" s="783"/>
      <c r="G5" s="783"/>
    </row>
    <row r="6" spans="2:8" s="14" customFormat="1">
      <c r="B6" s="773" t="s">
        <v>138</v>
      </c>
      <c r="C6" s="774"/>
      <c r="D6" s="774"/>
      <c r="E6" s="774"/>
      <c r="F6" s="774"/>
      <c r="G6" s="774"/>
    </row>
    <row r="7" spans="2:8" s="14" customFormat="1" ht="15.75" customHeight="1">
      <c r="B7" s="775" t="s">
        <v>139</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265</v>
      </c>
      <c r="F12" s="767" t="str">
        <f>CONCATENATE("Amount of ",H1-1," Ad Valorem Tax")</f>
        <v>Amount of 2013 Ad Valorem Tax</v>
      </c>
      <c r="G12" s="23" t="s">
        <v>266</v>
      </c>
    </row>
    <row r="13" spans="2:8" s="14" customFormat="1">
      <c r="D13" s="23" t="s">
        <v>267</v>
      </c>
      <c r="E13" s="522" t="s">
        <v>196</v>
      </c>
      <c r="F13" s="768"/>
      <c r="G13" s="156" t="s">
        <v>268</v>
      </c>
    </row>
    <row r="14" spans="2:8" s="14" customFormat="1">
      <c r="B14" s="71" t="s">
        <v>269</v>
      </c>
      <c r="C14" s="20"/>
      <c r="D14" s="26" t="s">
        <v>270</v>
      </c>
      <c r="E14" s="523" t="s">
        <v>707</v>
      </c>
      <c r="F14" s="769"/>
      <c r="G14" s="26" t="s">
        <v>272</v>
      </c>
    </row>
    <row r="15" spans="2:8" s="14" customFormat="1">
      <c r="B15" s="27" t="str">
        <f>CONCATENATE("Computation to Determine Limit for ",H1,"")</f>
        <v>Computation to Determine Limit for 2014</v>
      </c>
      <c r="C15" s="28"/>
      <c r="D15" s="23">
        <v>2</v>
      </c>
      <c r="E15" s="19"/>
      <c r="F15" s="19"/>
      <c r="G15" s="256"/>
    </row>
    <row r="16" spans="2:8" s="14" customFormat="1">
      <c r="B16" s="27" t="s">
        <v>823</v>
      </c>
      <c r="C16" s="28"/>
      <c r="D16" s="161">
        <v>3</v>
      </c>
      <c r="E16" s="19"/>
      <c r="F16" s="19"/>
      <c r="G16" s="257"/>
    </row>
    <row r="17" spans="2:7" s="14" customFormat="1">
      <c r="B17" s="64" t="s">
        <v>157</v>
      </c>
      <c r="C17" s="28"/>
      <c r="D17" s="161">
        <v>4</v>
      </c>
      <c r="E17" s="19"/>
      <c r="F17" s="19"/>
      <c r="G17" s="257"/>
    </row>
    <row r="18" spans="2:7" s="14" customFormat="1">
      <c r="B18" s="64" t="s">
        <v>129</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273</v>
      </c>
      <c r="C20" s="146" t="s">
        <v>274</v>
      </c>
      <c r="D20" s="179"/>
      <c r="G20" s="259"/>
    </row>
    <row r="21" spans="2:7" s="14" customFormat="1">
      <c r="B21" s="85" t="str">
        <f>inputPrYr!B16</f>
        <v>General</v>
      </c>
      <c r="C21" s="260" t="str">
        <f>inputPrYr!C16</f>
        <v>79-1962</v>
      </c>
      <c r="D21" s="261">
        <f>IF(gen!C61&gt;0,gen!C61,"  ")</f>
        <v>6</v>
      </c>
      <c r="E21" s="722">
        <f>IF(gen!$E$50&lt;&gt;0,gen!$E$50,"  ")</f>
        <v>21768</v>
      </c>
      <c r="F21" s="722">
        <f>IF(gen!$E$57&lt;&gt;0,gen!$E$57,0)</f>
        <v>20954</v>
      </c>
      <c r="G21" s="723" t="str">
        <f>IF(AND(gen!E57=0,$C$40&gt;=0)," ",IF(AND(F21&gt;0,$C$40=0)," ",IF(AND(F21&gt;0,$C$40&gt;0),ROUND(F21/$C$40*1000,3))))</f>
        <v xml:space="preserve"> </v>
      </c>
    </row>
    <row r="22" spans="2:7" s="14" customFormat="1">
      <c r="B22" s="85" t="s">
        <v>287</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114927</v>
      </c>
      <c r="F24" s="722">
        <f>IF(road!$E$50&lt;&gt;0,road!$E$50,"  ")</f>
        <v>103551</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275</v>
      </c>
      <c r="C34" s="263"/>
      <c r="D34" s="264">
        <f>IF(road!C67&gt;0,road!C67,"  ")</f>
        <v>7</v>
      </c>
      <c r="E34" s="236"/>
      <c r="F34" s="236"/>
      <c r="G34" s="723"/>
    </row>
    <row r="35" spans="2:8" s="14" customFormat="1" ht="16.5" thickBot="1">
      <c r="B35" s="266" t="s">
        <v>276</v>
      </c>
      <c r="C35" s="267"/>
      <c r="D35" s="159" t="s">
        <v>277</v>
      </c>
      <c r="E35" s="724">
        <f>SUM(E21:E30)</f>
        <v>136695</v>
      </c>
      <c r="F35" s="724">
        <f>SUM(F21:F30)</f>
        <v>124505</v>
      </c>
      <c r="G35" s="725" t="str">
        <f>IF(SUM(G21:G30)&gt;0,SUM(G21:G30),"")</f>
        <v/>
      </c>
    </row>
    <row r="36" spans="2:8" s="14" customFormat="1" ht="16.5" thickTop="1">
      <c r="B36" s="27" t="s">
        <v>156</v>
      </c>
      <c r="C36" s="259"/>
      <c r="D36" s="264">
        <f>summ!D49</f>
        <v>8</v>
      </c>
    </row>
    <row r="37" spans="2:8" s="14" customFormat="1">
      <c r="B37" s="27" t="s">
        <v>202</v>
      </c>
      <c r="C37" s="28"/>
      <c r="D37" s="264" t="str">
        <f>IF(nhood!C38&gt;0,nhood!C38,"")</f>
        <v/>
      </c>
      <c r="E37" s="268" t="s">
        <v>145</v>
      </c>
      <c r="F37" s="269" t="str">
        <f>IF(F35&gt;computation!J34,"Yes","No")</f>
        <v>Yes</v>
      </c>
    </row>
    <row r="38" spans="2:8" s="14" customFormat="1">
      <c r="B38" s="27" t="s">
        <v>144</v>
      </c>
      <c r="C38" s="28"/>
      <c r="D38" s="264">
        <f>IF(Resolution!D50&gt;0,Resolution!D50,"")</f>
        <v>9</v>
      </c>
      <c r="E38" s="270"/>
      <c r="F38" s="271"/>
    </row>
    <row r="39" spans="2:8" s="14" customFormat="1">
      <c r="B39" s="64" t="s">
        <v>96</v>
      </c>
      <c r="C39" s="777" t="s">
        <v>120</v>
      </c>
      <c r="D39" s="778"/>
      <c r="E39" s="272"/>
      <c r="G39" s="22" t="s">
        <v>278</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279</v>
      </c>
      <c r="E42" s="19"/>
      <c r="G42" s="22"/>
    </row>
    <row r="43" spans="2:8" s="14" customFormat="1">
      <c r="B43" s="275" t="s">
        <v>929</v>
      </c>
      <c r="C43" s="275"/>
      <c r="E43" s="726" t="s">
        <v>840</v>
      </c>
      <c r="F43" s="726"/>
      <c r="G43" s="726"/>
    </row>
    <row r="44" spans="2:8" s="14" customFormat="1">
      <c r="B44" s="276"/>
      <c r="C44" s="276"/>
      <c r="E44" s="727"/>
      <c r="F44" s="727"/>
      <c r="G44" s="727"/>
    </row>
    <row r="45" spans="2:8" s="14" customFormat="1">
      <c r="B45" s="274" t="s">
        <v>133</v>
      </c>
      <c r="E45" s="726" t="s">
        <v>840</v>
      </c>
      <c r="F45" s="726"/>
      <c r="G45" s="726"/>
    </row>
    <row r="46" spans="2:8" s="14" customFormat="1">
      <c r="B46" s="275" t="s">
        <v>930</v>
      </c>
      <c r="C46" s="275"/>
      <c r="D46" s="22"/>
      <c r="E46" s="726"/>
      <c r="F46" s="726"/>
      <c r="G46" s="726"/>
    </row>
    <row r="47" spans="2:8" s="14" customFormat="1">
      <c r="B47" s="276" t="s">
        <v>931</v>
      </c>
      <c r="C47" s="276"/>
      <c r="D47" s="22"/>
      <c r="E47" s="726" t="s">
        <v>840</v>
      </c>
      <c r="F47" s="728"/>
      <c r="G47" s="728"/>
    </row>
    <row r="48" spans="2:8">
      <c r="B48" s="274" t="s">
        <v>824</v>
      </c>
      <c r="C48" s="14"/>
      <c r="D48" s="22"/>
      <c r="E48" s="729"/>
      <c r="F48" s="726"/>
      <c r="G48" s="726"/>
      <c r="H48" s="90"/>
    </row>
    <row r="49" spans="2:8">
      <c r="B49" s="275" t="s">
        <v>932</v>
      </c>
      <c r="C49" s="275"/>
      <c r="D49" s="22"/>
      <c r="E49" s="726" t="s">
        <v>840</v>
      </c>
      <c r="F49" s="728"/>
      <c r="G49" s="728"/>
      <c r="H49" s="90"/>
    </row>
    <row r="50" spans="2:8">
      <c r="B50" s="66"/>
      <c r="C50" s="14"/>
      <c r="D50" s="22"/>
      <c r="E50" s="729"/>
      <c r="F50" s="726"/>
      <c r="G50" s="726"/>
      <c r="H50" s="90"/>
    </row>
    <row r="51" spans="2:8">
      <c r="B51" s="531" t="s">
        <v>137</v>
      </c>
      <c r="C51" s="279">
        <f>H1-1</f>
        <v>2013</v>
      </c>
      <c r="D51" s="22"/>
      <c r="E51" s="726" t="s">
        <v>840</v>
      </c>
      <c r="F51" s="728"/>
      <c r="G51" s="728"/>
      <c r="H51" s="90"/>
    </row>
    <row r="52" spans="2:8">
      <c r="B52" s="14"/>
      <c r="C52" s="14"/>
      <c r="D52" s="14"/>
      <c r="E52" s="726"/>
      <c r="F52" s="729"/>
      <c r="G52" s="726"/>
      <c r="H52" s="90"/>
    </row>
    <row r="53" spans="2:8">
      <c r="B53" s="521"/>
      <c r="C53" s="14"/>
      <c r="D53" s="14"/>
      <c r="E53" s="726" t="s">
        <v>840</v>
      </c>
      <c r="F53" s="726"/>
      <c r="G53" s="726"/>
      <c r="H53" s="90"/>
    </row>
    <row r="54" spans="2:8">
      <c r="B54" s="49" t="s">
        <v>281</v>
      </c>
      <c r="C54" s="14"/>
      <c r="D54" s="14"/>
      <c r="E54" s="764" t="s">
        <v>280</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 xml:space="preserve">Lincoln Township </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118069</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103</v>
      </c>
      <c r="C7" s="14"/>
      <c r="D7" s="14"/>
      <c r="E7" s="55"/>
      <c r="F7" s="55"/>
      <c r="G7" s="55"/>
      <c r="H7" s="55"/>
      <c r="I7" s="55" t="s">
        <v>2</v>
      </c>
      <c r="J7" s="249">
        <f>J5-J6</f>
        <v>118069</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10117</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316144</v>
      </c>
      <c r="F14" s="246"/>
      <c r="G14" s="55"/>
      <c r="H14" s="55"/>
      <c r="I14" s="53"/>
      <c r="J14" s="55"/>
    </row>
    <row r="15" spans="1:10">
      <c r="A15" s="245"/>
      <c r="B15" s="14" t="s">
        <v>86</v>
      </c>
      <c r="C15" s="14" t="str">
        <f>CONCATENATE("Personal Property ",J1-2,"")</f>
        <v>Personal Property 2012</v>
      </c>
      <c r="D15" s="245" t="s">
        <v>81</v>
      </c>
      <c r="E15" s="249">
        <f>inputOth!E11</f>
        <v>292446</v>
      </c>
      <c r="F15" s="246"/>
      <c r="G15" s="53"/>
      <c r="H15" s="53"/>
      <c r="I15" s="55"/>
      <c r="J15" s="55"/>
    </row>
    <row r="16" spans="1:10">
      <c r="A16" s="245"/>
      <c r="B16" s="14" t="s">
        <v>87</v>
      </c>
      <c r="C16" s="14" t="s">
        <v>104</v>
      </c>
      <c r="D16" s="14"/>
      <c r="E16" s="55"/>
      <c r="F16" s="55" t="s">
        <v>15</v>
      </c>
      <c r="G16" s="247">
        <f>IF(E14&gt;E15,E14-E15,0)</f>
        <v>23698</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82297</v>
      </c>
      <c r="H18" s="55"/>
      <c r="I18" s="55"/>
      <c r="J18" s="55"/>
    </row>
    <row r="19" spans="1:10">
      <c r="A19" s="14" t="s">
        <v>265</v>
      </c>
      <c r="B19" s="14"/>
      <c r="C19" s="14"/>
      <c r="D19" s="245"/>
      <c r="E19" s="53"/>
      <c r="F19" s="53"/>
      <c r="G19" s="53"/>
      <c r="H19" s="55"/>
      <c r="I19" s="55"/>
      <c r="J19" s="55"/>
    </row>
    <row r="20" spans="1:10">
      <c r="A20" s="245" t="s">
        <v>89</v>
      </c>
      <c r="B20" s="17" t="s">
        <v>105</v>
      </c>
      <c r="C20" s="14"/>
      <c r="D20" s="14"/>
      <c r="E20" s="55"/>
      <c r="F20" s="55"/>
      <c r="G20" s="247">
        <f>G11+G16+G18</f>
        <v>116112</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7323618</v>
      </c>
      <c r="F22" s="55"/>
      <c r="G22" s="55"/>
      <c r="H22" s="55"/>
      <c r="I22" s="246"/>
      <c r="J22" s="55"/>
    </row>
    <row r="23" spans="1:10">
      <c r="A23" s="245"/>
      <c r="B23" s="245"/>
      <c r="C23" s="14"/>
      <c r="D23" s="14"/>
      <c r="E23" s="53"/>
      <c r="F23" s="55"/>
      <c r="G23" s="55"/>
      <c r="H23" s="55"/>
      <c r="I23" s="246"/>
      <c r="J23" s="55"/>
    </row>
    <row r="24" spans="1:10">
      <c r="A24" s="245" t="s">
        <v>91</v>
      </c>
      <c r="B24" s="17" t="s">
        <v>106</v>
      </c>
      <c r="C24" s="14"/>
      <c r="D24" s="14"/>
      <c r="E24" s="55"/>
      <c r="F24" s="55"/>
      <c r="G24" s="247">
        <f>E22-G20</f>
        <v>7207506</v>
      </c>
      <c r="H24" s="53"/>
      <c r="I24" s="246"/>
      <c r="J24" s="55"/>
    </row>
    <row r="25" spans="1:10">
      <c r="A25" s="245"/>
      <c r="B25" s="245"/>
      <c r="C25" s="17"/>
      <c r="D25" s="14"/>
      <c r="E25" s="14"/>
      <c r="F25" s="14"/>
      <c r="G25" s="250"/>
      <c r="H25" s="19"/>
      <c r="I25" s="245"/>
      <c r="J25" s="14"/>
    </row>
    <row r="26" spans="1:10">
      <c r="A26" s="245" t="s">
        <v>92</v>
      </c>
      <c r="B26" s="14" t="s">
        <v>107</v>
      </c>
      <c r="C26" s="14"/>
      <c r="D26" s="14"/>
      <c r="E26" s="14"/>
      <c r="F26" s="14"/>
      <c r="G26" s="251">
        <f>IF(G20&gt;0,G20/G24,0)</f>
        <v>1.6109872124976377E-2</v>
      </c>
      <c r="H26" s="19"/>
      <c r="I26" s="14"/>
      <c r="J26" s="14"/>
    </row>
    <row r="27" spans="1:10">
      <c r="A27" s="245"/>
      <c r="B27" s="245"/>
      <c r="C27" s="14"/>
      <c r="D27" s="14"/>
      <c r="E27" s="14"/>
      <c r="F27" s="14"/>
      <c r="G27" s="19"/>
      <c r="H27" s="19"/>
      <c r="I27" s="14"/>
      <c r="J27" s="14"/>
    </row>
    <row r="28" spans="1:10">
      <c r="A28" s="245" t="s">
        <v>93</v>
      </c>
      <c r="B28" s="14" t="s">
        <v>108</v>
      </c>
      <c r="C28" s="14"/>
      <c r="D28" s="14"/>
      <c r="E28" s="14"/>
      <c r="F28" s="14"/>
      <c r="G28" s="19"/>
      <c r="H28" s="252" t="s">
        <v>15</v>
      </c>
      <c r="I28" s="14" t="s">
        <v>2</v>
      </c>
      <c r="J28" s="247">
        <f>ROUND(G26*J7,0)</f>
        <v>1902</v>
      </c>
    </row>
    <row r="29" spans="1:10">
      <c r="A29" s="245"/>
      <c r="B29" s="245"/>
      <c r="C29" s="14"/>
      <c r="D29" s="14"/>
      <c r="E29" s="14"/>
      <c r="F29" s="14"/>
      <c r="G29" s="19"/>
      <c r="H29" s="252"/>
      <c r="I29" s="14"/>
      <c r="J29" s="53"/>
    </row>
    <row r="30" spans="1:10" ht="16.5" thickBot="1">
      <c r="A30" s="245" t="s">
        <v>94</v>
      </c>
      <c r="B30" s="17" t="s">
        <v>112</v>
      </c>
      <c r="C30" s="14"/>
      <c r="D30" s="14"/>
      <c r="E30" s="14"/>
      <c r="F30" s="14"/>
      <c r="G30" s="14"/>
      <c r="H30" s="14"/>
      <c r="I30" s="14" t="s">
        <v>2</v>
      </c>
      <c r="J30" s="253">
        <f>J7+J28</f>
        <v>119971</v>
      </c>
    </row>
    <row r="31" spans="1:10" ht="16.5" thickTop="1">
      <c r="A31" s="14"/>
      <c r="B31" s="14"/>
      <c r="C31" s="14"/>
      <c r="D31" s="14"/>
      <c r="E31" s="14"/>
      <c r="F31" s="14"/>
      <c r="G31" s="14"/>
      <c r="H31" s="14"/>
      <c r="I31" s="14"/>
      <c r="J31" s="14"/>
    </row>
    <row r="32" spans="1:10">
      <c r="A32" s="245" t="s">
        <v>110</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111</v>
      </c>
      <c r="B34" s="17" t="s">
        <v>113</v>
      </c>
      <c r="C34" s="14"/>
      <c r="D34" s="14"/>
      <c r="E34" s="14"/>
      <c r="F34" s="14"/>
      <c r="G34" s="14"/>
      <c r="H34" s="14"/>
      <c r="I34" s="14"/>
      <c r="J34" s="253">
        <f>J30+J32</f>
        <v>119971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109</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 xml:space="preserve">Lincoln Township </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756</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754</v>
      </c>
      <c r="C9" s="171"/>
      <c r="D9" s="553" t="s">
        <v>755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117</v>
      </c>
      <c r="K10" s="90"/>
      <c r="L10" s="90"/>
      <c r="M10" s="550"/>
    </row>
    <row r="11" spans="2:13">
      <c r="B11" s="85" t="str">
        <f>inputPrYr!B16</f>
        <v>General</v>
      </c>
      <c r="C11" s="234"/>
      <c r="D11" s="161">
        <f>IF(inputPrYr!E16&gt;0,inputPrYr!E16,"  ")</f>
        <v>15556</v>
      </c>
      <c r="E11" s="131">
        <f>IF(inputOth!D17&gt;0,inputOth!D17,"  ")</f>
        <v>2.2400000000000002</v>
      </c>
      <c r="F11" s="717"/>
      <c r="G11" s="161">
        <f>IF(inputPrYr!E16=0,0,G23-SUM(G12:G20))</f>
        <v>710</v>
      </c>
      <c r="H11" s="718"/>
      <c r="I11" s="161">
        <f>IF(inputPrYr!E16=0,0,I25-SUM(I12:I20))</f>
        <v>15</v>
      </c>
      <c r="J11" s="161">
        <f>IF(inputPrYr!E16=0,0,J27-SUM(J12:J20))</f>
        <v>89</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102513</v>
      </c>
      <c r="E14" s="131">
        <f>IF(inputOth!D20&gt;0,inputOth!D20,"  ")</f>
        <v>14.76</v>
      </c>
      <c r="F14" s="717"/>
      <c r="G14" s="161">
        <f>IF(inputPrYr!E19=0,0,ROUND(D14*$G$30,0))</f>
        <v>4677</v>
      </c>
      <c r="H14" s="718"/>
      <c r="I14" s="161">
        <f>IF(inputPrYr!$E$19=0,0,ROUND($D$14*$I$32,0))</f>
        <v>102</v>
      </c>
      <c r="J14" s="161">
        <f>IF(inputPrYr!E19=0,0,ROUND($D14*$J$34,0))</f>
        <v>586</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263</v>
      </c>
      <c r="C21" s="237"/>
      <c r="D21" s="719">
        <f>SUM(D11:D20)</f>
        <v>118069</v>
      </c>
      <c r="E21" s="720">
        <f>SUM(E11:E20)</f>
        <v>17</v>
      </c>
      <c r="F21" s="721"/>
      <c r="G21" s="719">
        <f>SUM(G11:G20)</f>
        <v>5387</v>
      </c>
      <c r="H21" s="719"/>
      <c r="I21" s="719">
        <f>SUM(I11:I20)</f>
        <v>117</v>
      </c>
      <c r="J21" s="719">
        <f>SUM(J11:J20)</f>
        <v>675</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5387</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117</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675</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4.5625862842913888E-2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9.909459722704521E-4</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5.7169959938679921E-3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 xml:space="preserve">Lincoln Township </v>
      </c>
      <c r="B2" s="88"/>
      <c r="C2" s="14"/>
      <c r="D2" s="14"/>
      <c r="E2" s="52"/>
      <c r="F2" s="14"/>
    </row>
    <row r="3" spans="1:6">
      <c r="A3" s="13"/>
      <c r="B3" s="88"/>
      <c r="C3" s="14"/>
      <c r="D3" s="14"/>
      <c r="E3" s="52"/>
      <c r="F3" s="14"/>
    </row>
    <row r="4" spans="1:6">
      <c r="A4" s="13"/>
      <c r="B4" s="14"/>
      <c r="C4" s="14"/>
      <c r="D4" s="14"/>
      <c r="E4" s="52"/>
      <c r="F4" s="14"/>
    </row>
    <row r="5" spans="1:6" ht="15" customHeight="1">
      <c r="A5" s="766" t="s">
        <v>157</v>
      </c>
      <c r="B5" s="766"/>
      <c r="C5" s="766"/>
      <c r="D5" s="766"/>
      <c r="E5" s="766"/>
      <c r="F5" s="766"/>
    </row>
    <row r="6" spans="1:6" ht="14.25" customHeight="1">
      <c r="A6" s="125"/>
      <c r="B6" s="213"/>
      <c r="C6" s="213"/>
      <c r="D6" s="213"/>
      <c r="E6" s="213"/>
      <c r="F6" s="213"/>
    </row>
    <row r="7" spans="1:6" ht="15" customHeight="1">
      <c r="A7" s="214" t="s">
        <v>271</v>
      </c>
      <c r="B7" s="214" t="s">
        <v>598</v>
      </c>
      <c r="C7" s="215" t="s">
        <v>32</v>
      </c>
      <c r="D7" s="215" t="s">
        <v>158</v>
      </c>
      <c r="E7" s="214" t="s">
        <v>159</v>
      </c>
      <c r="F7" s="214" t="s">
        <v>160</v>
      </c>
    </row>
    <row r="8" spans="1:6" ht="15" customHeight="1">
      <c r="A8" s="216" t="s">
        <v>599</v>
      </c>
      <c r="B8" s="216" t="s">
        <v>600</v>
      </c>
      <c r="C8" s="217" t="s">
        <v>161</v>
      </c>
      <c r="D8" s="217" t="s">
        <v>161</v>
      </c>
      <c r="E8" s="217" t="s">
        <v>161</v>
      </c>
      <c r="F8" s="217" t="s">
        <v>162</v>
      </c>
    </row>
    <row r="9" spans="1:6" s="220" customFormat="1" ht="15" customHeight="1" thickBot="1">
      <c r="A9" s="218" t="s">
        <v>163</v>
      </c>
      <c r="B9" s="219" t="s">
        <v>164</v>
      </c>
      <c r="C9" s="219">
        <f>F1-2</f>
        <v>2012</v>
      </c>
      <c r="D9" s="219">
        <f>F1-1</f>
        <v>2013</v>
      </c>
      <c r="E9" s="219">
        <f>F1</f>
        <v>2014</v>
      </c>
      <c r="F9" s="219" t="s">
        <v>258</v>
      </c>
    </row>
    <row r="10" spans="1:6" ht="15" customHeight="1" thickTop="1">
      <c r="A10" s="221"/>
      <c r="B10" s="221"/>
      <c r="C10" s="222"/>
      <c r="D10" s="222"/>
      <c r="E10" s="222"/>
      <c r="F10" s="221"/>
    </row>
    <row r="11" spans="1:6" ht="15" customHeight="1">
      <c r="A11" s="73" t="s">
        <v>236</v>
      </c>
      <c r="B11" s="73" t="s">
        <v>275</v>
      </c>
      <c r="C11" s="223">
        <f>gen!$C$43</f>
        <v>0</v>
      </c>
      <c r="D11" s="223">
        <f>gen!$D$43</f>
        <v>0</v>
      </c>
      <c r="E11" s="223">
        <f>gen!$E$43</f>
        <v>0</v>
      </c>
      <c r="F11" s="73" t="str">
        <f>IF(C11+D11+E11&gt;0,"80-1406b","")</f>
        <v/>
      </c>
    </row>
    <row r="12" spans="1:6" ht="15" customHeight="1">
      <c r="A12" s="73" t="s">
        <v>236</v>
      </c>
      <c r="B12" s="73" t="s">
        <v>275</v>
      </c>
      <c r="C12" s="223">
        <f>gen!$C$45</f>
        <v>0</v>
      </c>
      <c r="D12" s="223">
        <f>gen!$D$45</f>
        <v>0</v>
      </c>
      <c r="E12" s="223">
        <f>gen!$E$45</f>
        <v>0</v>
      </c>
      <c r="F12" s="73" t="str">
        <f>IF(C12+D12+E12&gt;0,"80-122","")</f>
        <v/>
      </c>
    </row>
    <row r="13" spans="1:6" ht="15" customHeight="1">
      <c r="A13" s="73" t="s">
        <v>262</v>
      </c>
      <c r="B13" s="73" t="s">
        <v>275</v>
      </c>
      <c r="C13" s="223">
        <f>road!$C$38</f>
        <v>25500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263</v>
      </c>
      <c r="C27" s="228">
        <f>SUM(C10:C26)</f>
        <v>25500</v>
      </c>
      <c r="D27" s="228">
        <f>SUM(D10:D26)</f>
        <v>0</v>
      </c>
      <c r="E27" s="228">
        <f>SUM(E10:E26)</f>
        <v>0</v>
      </c>
      <c r="F27" s="129"/>
    </row>
    <row r="28" spans="1:6">
      <c r="A28" s="129"/>
      <c r="B28" s="227" t="s">
        <v>597</v>
      </c>
      <c r="C28" s="129"/>
      <c r="D28" s="224"/>
      <c r="E28" s="224"/>
      <c r="F28" s="129"/>
    </row>
    <row r="29" spans="1:6">
      <c r="A29" s="129"/>
      <c r="B29" s="179" t="s">
        <v>165</v>
      </c>
      <c r="C29" s="229">
        <f>C27</f>
        <v>25500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2013-08-05T19:36:49Z</cp:lastPrinted>
  <dcterms:created xsi:type="dcterms:W3CDTF">1998-08-26T16:30:41Z</dcterms:created>
  <dcterms:modified xsi:type="dcterms:W3CDTF">2013-11-18T23:51:12Z</dcterms:modified>
</cp:coreProperties>
</file>