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<sst xmlns="http://schemas.openxmlformats.org/spreadsheetml/2006/main" count="1190" uniqueCount="808">
  <si>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</si>
  <si>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</si>
  <si>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</si>
  <si>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</si>
  <si>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</si>
  <si>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</si>
  <si>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</si>
  <si>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</si>
  <si>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</si>
  <si>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</si>
  <si>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</si>
  <si>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</si>
  <si>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</si>
  <si>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</si>
  <si>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</si>
  <si>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</si>
  <si>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</si>
  <si>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</si>
  <si>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</si>
  <si>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</si>
  <si>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</si>
  <si>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</si>
  <si>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</si>
  <si>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</si>
  <si>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</si>
  <si>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</si>
  <si>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</si>
  <si>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</si>
  <si>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</si>
  <si>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</si>
  <si>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</si>
  <si>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</si>
  <si>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</si>
  <si>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</si>
  <si>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</si>
  <si>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</si>
  <si>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</si>
  <si>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</si>
  <si>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</si>
  <si>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</si>
  <si>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</si>
  <si>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</si>
  <si>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</si>
  <si>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</si>
  <si>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</si>
  <si>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</si>
  <si>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</si>
  <si>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</si>
  <si>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</si>
  <si>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</si>
  <si>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</si>
  <si>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</si>
  <si>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</si>
  <si>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</si>
  <si>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</si>
  <si>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</si>
  <si>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</si>
  <si>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</si>
  <si>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</si>
  <si>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</si>
  <si>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</si>
  <si>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</si>
  <si>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</si>
  <si>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</si>
  <si>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</si>
  <si>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</si>
  <si>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</si>
  <si>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</si>
  <si>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</si>
  <si>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</si>
  <si>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</si>
  <si>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</si>
  <si>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</si>
  <si>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</si>
  <si>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</si>
  <si>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</si>
  <si>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</si>
  <si>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</si>
  <si>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</si>
  <si>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</si>
  <si>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</si>
  <si>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</si>
  <si>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</si>
  <si>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</si>
  <si>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</si>
  <si>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</si>
  <si>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</si>
  <si>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</si>
  <si>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</si>
  <si>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</si>
  <si>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</si>
  <si>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</si>
  <si>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</si>
  <si>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</si>
  <si>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</si>
  <si>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</si>
  <si>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</si>
  <si>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</si>
  <si>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</si>
  <si>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</si>
  <si>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</si>
  <si>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</si>
  <si>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</si>
  <si>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</si>
  <si>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</si>
  <si>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</si>
  <si>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</si>
  <si>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</si>
  <si>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</si>
  <si>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</si>
  <si>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</si>
  <si>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</si>
  <si>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</si>
  <si>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</si>
  <si>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</si>
  <si>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</si>
  <si>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</si>
  <si>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</si>
  <si>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</si>
  <si>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</si>
  <si>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</si>
  <si>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</si>
  <si>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</si>
  <si>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</si>
  <si>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</si>
  <si>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</si>
  <si>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</si>
  <si>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</si>
  <si>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</si>
  <si>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</si>
  <si>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</si>
  <si>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</si>
  <si>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</si>
  <si>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</si>
  <si>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</si>
  <si>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</si>
  <si>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</si>
  <si>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</si>
  <si>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</si>
  <si>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</si>
  <si>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</si>
  <si>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</si>
  <si>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</si>
  <si>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</si>
  <si>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</si>
  <si>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</si>
  <si>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</si>
  <si>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</si>
  <si>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</si>
  <si>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</si>
  <si>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</si>
  <si>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</si>
  <si>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</si>
  <si>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</si>
  <si>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</si>
  <si>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</si>
  <si>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</si>
  <si>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</si>
  <si>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</si>
  <si>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</si>
  <si>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</si>
  <si>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</si>
  <si>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</si>
  <si>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</si>
  <si>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</si>
  <si>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</si>
  <si>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</si>
  <si>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</si>
  <si>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</si>
  <si>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</si>
  <si>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</si>
  <si>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</si>
  <si>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</si>
  <si>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</si>
  <si>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</si>
  <si>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</si>
  <si>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</si>
  <si>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</si>
  <si>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</si>
  <si>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</si>
  <si>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</si>
  <si>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</si>
  <si>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</si>
  <si>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</si>
  <si>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</si>
  <si>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</si>
  <si>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</si>
  <si>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</si>
  <si>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</si>
  <si>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</si>
  <si>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</si>
  <si>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</si>
  <si>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</si>
  <si>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</si>
  <si>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</si>
  <si>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</si>
  <si>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</si>
  <si>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</si>
  <si>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</si>
  <si>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</si>
  <si>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</si>
  <si>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</si>
  <si>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</si>
  <si>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</si>
  <si>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</si>
  <si>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</si>
  <si>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</si>
  <si>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</si>
  <si>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</si>
  <si>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</si>
  <si>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</si>
  <si>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</si>
  <si>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</si>
  <si>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</si>
  <si>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</si>
  <si>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</si>
  <si>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</si>
  <si>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</si>
  <si>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</si>
  <si>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</si>
  <si>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</si>
  <si>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</si>
  <si>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</si>
  <si>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</si>
  <si>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</si>
  <si>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</si>
  <si>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</si>
  <si>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</si>
  <si>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</si>
  <si>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</si>
  <si>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</si>
  <si>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</si>
  <si>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</si>
  <si>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</si>
  <si>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</si>
  <si>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</si>
  <si>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</si>
  <si>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</si>
  <si>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</si>
  <si>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</si>
  <si>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</si>
  <si>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</si>
  <si>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</si>
  <si>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</si>
  <si>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</si>
  <si>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</si>
  <si>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</si>
  <si>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</si>
  <si>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</si>
  <si>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</si>
  <si>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</si>
  <si>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</si>
  <si>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</si>
  <si>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</si>
  <si>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</si>
  <si>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</si>
  <si>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</si>
  <si>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</si>
  <si>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</si>
  <si>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</si>
  <si>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</si>
  <si>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</si>
  <si>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</si>
  <si>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</si>
  <si>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</si>
  <si>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</si>
  <si>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</si>
  <si>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</si>
  <si>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</si>
  <si>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</si>
  <si>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</si>
  <si>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</si>
  <si>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</si>
  <si>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</si>
  <si>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</si>
  <si>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</si>
  <si>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</si>
  <si>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</si>
  <si>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</si>
  <si>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</si>
  <si>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</si>
  <si>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</si>
  <si>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</si>
  <si>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</si>
  <si>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</si>
  <si>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</si>
  <si>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</si>
  <si>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</si>
  <si>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</si>
  <si>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</si>
  <si>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</si>
  <si>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</si>
  <si>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</si>
  <si>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</si>
  <si>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</si>
  <si>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</si>
  <si>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</si>
  <si>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</si>
  <si>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</si>
  <si>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</si>
  <si>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</si>
  <si>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</si>
  <si>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</si>
  <si>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</si>
  <si>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</si>
  <si>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</si>
  <si>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</si>
  <si>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</si>
  <si>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</si>
  <si>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</si>
  <si>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</si>
  <si>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</si>
  <si>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</si>
  <si>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</si>
  <si>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</si>
  <si>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</si>
  <si>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</si>
  <si>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</si>
  <si>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</si>
  <si>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</si>
  <si>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</si>
  <si>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</si>
  <si>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</si>
  <si>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</si>
  <si>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</si>
  <si>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</si>
  <si>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</si>
  <si>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</si>
  <si>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</si>
  <si>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</si>
  <si>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</si>
  <si>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</si>
  <si>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</si>
  <si>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</si>
  <si>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</si>
  <si>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</si>
  <si>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</si>
  <si>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</si>
  <si>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</si>
  <si>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</si>
  <si>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</si>
  <si>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</si>
  <si>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</si>
  <si>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</si>
  <si>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</si>
  <si>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</si>
  <si>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</si>
  <si>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</si>
  <si>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</si>
  <si>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</si>
  <si>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</si>
  <si>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</si>
  <si>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</si>
  <si>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</si>
  <si>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</si>
  <si>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</si>
  <si>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</si>
  <si>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</si>
  <si>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</si>
  <si>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</si>
  <si>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</si>
  <si>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</si>
  <si>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</si>
  <si>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</si>
  <si>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</si>
  <si>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</si>
  <si>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</si>
  <si>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</si>
  <si>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</si>
  <si>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</si>
  <si>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</si>
  <si>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</si>
  <si>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</si>
  <si>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</si>
  <si>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</si>
  <si>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</si>
  <si>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</si>
  <si>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</si>
  <si>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</si>
  <si>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</si>
  <si>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</si>
  <si>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</si>
  <si>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</si>
  <si>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</si>
  <si>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</si>
  <si>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</si>
  <si>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</si>
  <si>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</si>
  <si>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</si>
  <si>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</si>
  <si>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</si>
  <si>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</si>
  <si>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</si>
  <si>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</si>
  <si>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</si>
  <si>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</si>
  <si>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</si>
  <si>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</si>
  <si>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</si>
  <si>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</si>
  <si>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</si>
  <si>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</si>
  <si>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</si>
  <si>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</si>
  <si>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</si>
  <si>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</si>
  <si>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</si>
  <si>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</si>
  <si>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</si>
  <si>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</si>
  <si>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</si>
  <si>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</si>
  <si>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</si>
  <si>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</si>
  <si>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</si>
  <si>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</si>
  <si>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</si>
  <si>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</si>
  <si>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</si>
  <si>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</si>
  <si>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</si>
  <si>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</si>
  <si>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</si>
  <si>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</si>
  <si>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</si>
  <si>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</si>
  <si>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</si>
  <si>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</si>
  <si>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</si>
  <si>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</si>
  <si>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</si>
  <si>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</si>
  <si>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</si>
  <si>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</si>
  <si>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</si>
  <si>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</si>
  <si>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</si>
  <si>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</si>
  <si>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</si>
  <si>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</si>
  <si>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</si>
  <si>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</si>
  <si>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</si>
  <si>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</si>
  <si>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</si>
  <si>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</si>
  <si>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</si>
  <si>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</si>
  <si>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</si>
  <si>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</si>
  <si>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</si>
  <si>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</si>
  <si>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</si>
  <si>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</si>
  <si>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</si>
  <si>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</si>
  <si>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</si>
  <si>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</si>
  <si>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</si>
  <si>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</si>
  <si>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</si>
  <si>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</si>
  <si>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</si>
  <si>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</si>
  <si>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</si>
  <si>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</si>
  <si>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</si>
  <si>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</si>
  <si>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</si>
  <si>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</si>
  <si>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</si>
  <si>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</si>
  <si>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</si>
  <si>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</si>
  <si>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</si>
  <si>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</si>
  <si>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</si>
  <si>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</si>
  <si>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</si>
  <si>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</si>
  <si>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</si>
  <si>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</si>
  <si>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</si>
  <si>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</si>
  <si>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</si>
  <si>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</si>
  <si>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</si>
  <si>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</si>
  <si>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</si>
  <si>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</si>
  <si>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</si>
  <si>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</si>
  <si>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</si>
  <si>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</si>
  <si>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</si>
  <si>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</si>
  <si>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</si>
  <si>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</si>
  <si>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</si>
  <si>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</si>
  <si>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</si>
  <si>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</si>
  <si>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</si>
  <si>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</si>
  <si>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</si>
  <si>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</si>
  <si>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</si>
  <si>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</si>
  <si>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</si>
  <si>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</si>
  <si>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</si>
  <si>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</si>
  <si>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</si>
  <si>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</si>
  <si>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</si>
  <si>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</si>
  <si>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</si>
  <si>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</si>
  <si>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</si>
  <si>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</si>
  <si>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</si>
  <si>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</si>
  <si>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</si>
  <si>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</si>
  <si>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</si>
  <si>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</si>
  <si>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</si>
  <si>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</si>
  <si>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</si>
  <si>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</si>
  <si>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</si>
  <si>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</si>
  <si>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</si>
  <si>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</si>
  <si>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</si>
  <si>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</si>
  <si>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</si>
  <si>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</si>
  <si>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</si>
  <si>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</si>
  <si>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</si>
  <si>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</si>
  <si>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</si>
  <si>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</si>
  <si>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</si>
  <si>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</si>
  <si>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</si>
  <si>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</si>
  <si>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</si>
  <si>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</si>
  <si>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</si>
  <si>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</si>
  <si>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</si>
  <si>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</si>
  <si>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</si>
  <si>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</si>
  <si>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</si>
  <si>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</si>
  <si>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</si>
  <si>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</si>
  <si>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</si>
  <si>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</si>
  <si>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</si>
  <si>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</si>
  <si>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</si>
  <si>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</si>
  <si>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</si>
  <si>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</si>
  <si>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</si>
  <si>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</si>
  <si>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</si>
  <si>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</si>
  <si>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</si>
  <si>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</si>
  <si>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</si>
  <si>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</si>
  <si>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</si>
  <si>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</si>
  <si>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</si>
  <si>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</si>
  <si>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</si>
  <si>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</si>
  <si>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</si>
  <si>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</si>
  <si>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</si>
  <si>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</si>
  <si>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</si>
  <si>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</si>
  <si>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</si>
  <si>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</si>
  <si>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</si>
  <si>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</si>
  <si>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</si>
  <si>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</si>
  <si>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</si>
  <si>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</si>
  <si>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</si>
  <si>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</si>
  <si>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</si>
  <si>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</si>
  <si>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</si>
  <si>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</si>
  <si>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</si>
  <si>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</si>
  <si>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</si>
  <si>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</si>
  <si>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</si>
  <si>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</si>
  <si>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</si>
  <si>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</si>
  <si>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</si>
  <si>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</si>
  <si>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</si>
  <si>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</si>
  <si>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</si>
  <si>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</si>
  <si>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</si>
  <si>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</si>
  <si>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</si>
  <si>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</si>
  <si>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</si>
  <si>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</si>
  <si>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</si>
  <si>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</si>
  <si>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</si>
  <si>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</si>
  <si>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</si>
  <si>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</si>
  <si>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</si>
  <si>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</si>
  <si>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</si>
  <si>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</si>
  <si>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</si>
  <si>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</si>
  <si>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</si>
  <si>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</si>
  <si>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</si>
  <si>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</si>
  <si>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</si>
  <si>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</si>
  <si>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</si>
  <si>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</si>
  <si>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</si>
  <si>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</si>
  <si>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</si>
  <si>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</si>
  <si>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</si>
  <si>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</si>
  <si>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</si>
  <si>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</si>
  <si>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</si>
  <si>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</si>
  <si>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</si>
  <si>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</si>
  <si>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</si>
  <si>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</si>
  <si>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</si>
  <si>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</si>
  <si>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</si>
  <si>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</si>
  <si>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</si>
  <si>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</si>
  <si>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</si>
  <si>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</si>
  <si>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</si>
  <si>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</si>
  <si>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</si>
  <si>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</si>
  <si>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</si>
  <si>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</si>
  <si>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</si>
  <si>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</si>
  <si>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</si>
  <si>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</si>
  <si>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</si>
  <si>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</si>
  <si>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</si>
  <si>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</si>
  <si>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</si>
  <si>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</si>
  <si>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</si>
  <si>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</si>
  <si>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</si>
  <si>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</si>
  <si>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</si>
  <si>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</si>
  <si>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</si>
  <si>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</si>
  <si>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</si>
  <si>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</si>
  <si>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</si>
  <si>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</si>
  <si>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</si>
  <si>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</si>
  <si>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</si>
  <si>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</si>
  <si>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</si>
  <si>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</si>
  <si>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</si>
  <si>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</si>
  <si>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</si>
  <si>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</si>
  <si>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</si>
  <si>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</si>
  <si>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</si>
  <si>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</si>
  <si>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</si>
  <si>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</si>
  <si>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</si>
  <si>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</si>
  <si>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</si>
  <si>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</si>
  <si>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</si>
  <si>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</si>
  <si>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</si>
  <si>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</si>
  <si>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</si>
  <si>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</si>
  <si>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</si>
  <si>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</si>
  <si>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</si>
  <si>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</si>
  <si>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</si>
  <si>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</si>
  <si>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</si>
  <si>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</si>
  <si>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</si>
  <si>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</si>
  <si>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</si>
  <si>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</si>
  <si>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</si>
  <si>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</si>
  <si>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</si>
  <si>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</si>
  <si>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</si>
  <si>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</si>
  <si>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</si>
  <si>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</si>
  <si>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</si>
  <si>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</si>
  <si>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</si>
  <si>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</si>
  <si>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</si>
  <si>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</si>
  <si>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</si>
  <si>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</si>
  <si>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</si>
  <si>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</si>
  <si>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</si>
  <si>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</si>
  <si>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</si>
  <si>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</si>
  <si>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</si>
  <si>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</si>
  <si>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</si>
  <si>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</si>
  <si>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</si>
  <si>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</si>
  <si>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</si>
  <si>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</si>
  <si>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</si>
  <si>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</si>
  <si>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</si>
  <si>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</si>
  <si>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</si>
  <si>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</si>
  <si>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</si>
  <si>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</si>
  <si>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</si>
  <si>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</si>
  <si>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</si>
  <si>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</si>
  <si>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</si>
  <si>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</si>
  <si>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</si>
  <si>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</si>
  <si>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</si>
  <si>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</si>
  <si>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</si>
  <si>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</si>
  <si>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</si>
  <si>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</si>
  <si>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</si>
  <si>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</si>
  <si>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</si>
  <si>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</si>
  <si>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</si>
  <si>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</si>
  <si>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</si>
  <si>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</si>
  <si>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</si>
  <si>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</si>
  <si>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</si>
  <si>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</si>
  <si>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</si>
  <si>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</si>
  <si>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Oak Hill Cemetery Dst. #11</t>
  </si>
  <si>
    <t>Oak Hill Cemetery Dst. No. 11</t>
  </si>
  <si>
    <t>Sale of Lots</t>
  </si>
  <si>
    <t>Donations</t>
  </si>
  <si>
    <t>Operations</t>
  </si>
  <si>
    <t>Mowing</t>
  </si>
  <si>
    <t>Taxes &amp; Insurance</t>
  </si>
  <si>
    <t>Wages</t>
  </si>
  <si>
    <t>Equipment</t>
  </si>
  <si>
    <t>Purchase of Land</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</si>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</sst>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Oak Hill Cemetery Dst. No. 11</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Oak Hill Cemetery Dst. No. 11</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25269.8</v>
      </c>
      <c r="D7" s="373">
        <f>C62</f>
        <v>39339.16</v>
      </c>
      <c r="E7" s="45">
        <f>D62</f>
        <v>21831.160000000003</v>
      </c>
    </row>
    <row r="8" spans="2:5" ht="15.75">
      <c r="B8" s="226" t="s">
        <v>127</v>
      </c>
      <c r="C8" s="227"/>
      <c r="D8" s="227"/>
      <c r="E8" s="123"/>
    </row>
    <row r="9" spans="2:5" ht="15.75">
      <c r="B9" s="119" t="s">
        <v>33</v>
      </c>
      <c r="C9" s="366">
        <v>8374.21</v>
      </c>
      <c r="D9" s="373">
        <f>IF(inputPrYr!H18&gt;0,inputPrYr!G19,inputPrYr!E19)</f>
        <v>11307</v>
      </c>
      <c r="E9" s="128" t="s">
        <v>28</v>
      </c>
    </row>
    <row r="10" spans="2:5" ht="15.75">
      <c r="B10" s="119" t="s">
        <v>34</v>
      </c>
      <c r="C10" s="366">
        <v>90</v>
      </c>
      <c r="D10" s="366">
        <v>50</v>
      </c>
      <c r="E10" s="198">
        <v>50</v>
      </c>
    </row>
    <row r="11" spans="2:5" ht="15.75">
      <c r="B11" s="119" t="s">
        <v>35</v>
      </c>
      <c r="C11" s="366">
        <v>791.87</v>
      </c>
      <c r="D11" s="366">
        <v>664</v>
      </c>
      <c r="E11" s="45">
        <f>mvalloc!D11</f>
        <v>818.97</v>
      </c>
    </row>
    <row r="12" spans="2:5" ht="15.75">
      <c r="B12" s="119" t="s">
        <v>36</v>
      </c>
      <c r="C12" s="366">
        <v>9.88</v>
      </c>
      <c r="D12" s="366">
        <v>12</v>
      </c>
      <c r="E12" s="45">
        <f>mvalloc!E11</f>
        <v>9.88</v>
      </c>
    </row>
    <row r="13" spans="2:5" ht="15.75">
      <c r="B13" s="227" t="s">
        <v>109</v>
      </c>
      <c r="C13" s="366">
        <v>11.87</v>
      </c>
      <c r="D13" s="366">
        <v>98</v>
      </c>
      <c r="E13" s="45">
        <f>mvalloc!F11</f>
        <v>86.71</v>
      </c>
    </row>
    <row r="14" spans="2:5" ht="15.75">
      <c r="B14" s="227" t="s">
        <v>159</v>
      </c>
      <c r="C14" s="366">
        <v>0</v>
      </c>
      <c r="D14" s="366">
        <v>0</v>
      </c>
      <c r="E14" s="45">
        <f>inputOth!E30</f>
        <v>0</v>
      </c>
    </row>
    <row r="15" spans="2:5" ht="15.75">
      <c r="B15" s="228" t="s">
        <v>37</v>
      </c>
      <c r="C15" s="366">
        <v>0</v>
      </c>
      <c r="D15" s="366">
        <v>0</v>
      </c>
      <c r="E15" s="198">
        <v>0</v>
      </c>
    </row>
    <row r="16" spans="2:5" ht="15.75">
      <c r="B16" s="228" t="s">
        <v>798</v>
      </c>
      <c r="C16" s="366">
        <v>300</v>
      </c>
      <c r="D16" s="366">
        <v>300</v>
      </c>
      <c r="E16" s="198">
        <v>300</v>
      </c>
    </row>
    <row r="17" spans="2:5" ht="15.75">
      <c r="B17" s="228" t="s">
        <v>799</v>
      </c>
      <c r="C17" s="366">
        <v>15070</v>
      </c>
      <c r="D17" s="366">
        <v>0</v>
      </c>
      <c r="E17" s="198">
        <v>0</v>
      </c>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61.25</v>
      </c>
      <c r="D30" s="366">
        <v>61</v>
      </c>
      <c r="E30" s="198">
        <v>61</v>
      </c>
    </row>
    <row r="31" spans="2:5" ht="15.75">
      <c r="B31" s="230" t="s">
        <v>218</v>
      </c>
      <c r="C31" s="228">
        <v>0</v>
      </c>
      <c r="D31" s="228">
        <v>0</v>
      </c>
      <c r="E31" s="198">
        <v>0</v>
      </c>
    </row>
    <row r="32" spans="2:5" ht="15.75">
      <c r="B32" s="230" t="s">
        <v>562</v>
      </c>
      <c r="C32" s="367">
        <f>IF(C33*0.1&lt;C31,"Exceed 10% Rule","")</f>
      </c>
      <c r="D32" s="367">
        <f>IF(D33*0.1&lt;D31,"Exceed 10% Rule","")</f>
      </c>
      <c r="E32" s="386">
        <f>IF(E33*0.1+E68&lt;E31,"Exceed 10% Rule","")</f>
      </c>
    </row>
    <row r="33" spans="2:5" ht="15.75">
      <c r="B33" s="233" t="s">
        <v>39</v>
      </c>
      <c r="C33" s="368">
        <f>SUM(C9:C31)</f>
        <v>24709.08</v>
      </c>
      <c r="D33" s="368">
        <f>SUM(D9:D31)</f>
        <v>12492</v>
      </c>
      <c r="E33" s="234">
        <f>SUM(E9:E31)</f>
        <v>1326.56</v>
      </c>
    </row>
    <row r="34" spans="2:5" ht="15.75">
      <c r="B34" s="233" t="s">
        <v>40</v>
      </c>
      <c r="C34" s="368">
        <f>C7+C33</f>
        <v>49978.880000000005</v>
      </c>
      <c r="D34" s="368">
        <f>D7+D33</f>
        <v>51831.16</v>
      </c>
      <c r="E34" s="234">
        <f>E7+E33</f>
        <v>23157.720000000005</v>
      </c>
    </row>
    <row r="35" spans="2:5" ht="15.75">
      <c r="B35" s="119" t="s">
        <v>41</v>
      </c>
      <c r="C35" s="121"/>
      <c r="D35" s="121"/>
      <c r="E35" s="36"/>
    </row>
    <row r="36" spans="2:5" ht="15.75">
      <c r="B36" s="228" t="s">
        <v>800</v>
      </c>
      <c r="C36" s="366">
        <v>3062</v>
      </c>
      <c r="D36" s="366">
        <v>3000</v>
      </c>
      <c r="E36" s="198">
        <v>3000</v>
      </c>
    </row>
    <row r="37" spans="2:5" ht="15.75">
      <c r="B37" s="228" t="s">
        <v>801</v>
      </c>
      <c r="C37" s="366">
        <v>6266.72</v>
      </c>
      <c r="D37" s="366">
        <v>3500</v>
      </c>
      <c r="E37" s="198">
        <v>6500</v>
      </c>
    </row>
    <row r="38" spans="2:5" ht="15.75">
      <c r="B38" s="228" t="s">
        <v>802</v>
      </c>
      <c r="C38" s="366">
        <v>1076</v>
      </c>
      <c r="D38" s="366">
        <v>2500</v>
      </c>
      <c r="E38" s="198">
        <v>2500</v>
      </c>
    </row>
    <row r="39" spans="2:5" ht="15.75">
      <c r="B39" s="228" t="s">
        <v>803</v>
      </c>
      <c r="C39" s="366">
        <v>0</v>
      </c>
      <c r="D39" s="366">
        <v>9000</v>
      </c>
      <c r="E39" s="198">
        <v>7000</v>
      </c>
    </row>
    <row r="40" spans="2:5" ht="15.75">
      <c r="B40" s="228" t="s">
        <v>804</v>
      </c>
      <c r="C40" s="366">
        <v>0</v>
      </c>
      <c r="D40" s="366">
        <v>2000</v>
      </c>
      <c r="E40" s="198">
        <v>5000</v>
      </c>
    </row>
    <row r="41" spans="2:5" ht="15.75">
      <c r="B41" s="228" t="s">
        <v>805</v>
      </c>
      <c r="C41" s="366">
        <v>0</v>
      </c>
      <c r="D41" s="366">
        <v>10000</v>
      </c>
      <c r="E41" s="198">
        <v>10000</v>
      </c>
    </row>
    <row r="42" spans="2:5" ht="15.75">
      <c r="B42" s="228" t="s">
        <v>18</v>
      </c>
      <c r="C42" s="366" t="s">
        <v>18</v>
      </c>
      <c r="D42" s="366" t="s">
        <v>18</v>
      </c>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v>0</v>
      </c>
      <c r="D58" s="366"/>
      <c r="E58" s="203">
        <f>Nhood!E7</f>
      </c>
      <c r="F58" s="16"/>
      <c r="G58" s="16"/>
      <c r="H58" s="16"/>
      <c r="I58" s="16"/>
      <c r="J58" s="16"/>
      <c r="K58" s="16"/>
    </row>
    <row r="59" spans="2:11" ht="15.75">
      <c r="B59" s="121" t="s">
        <v>218</v>
      </c>
      <c r="C59" s="366">
        <v>235</v>
      </c>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10639.720000000001</v>
      </c>
      <c r="D61" s="368">
        <f>SUM(D36:D59)</f>
        <v>30000</v>
      </c>
      <c r="E61" s="234">
        <f>SUM(E36:E59)</f>
        <v>34000</v>
      </c>
      <c r="F61" s="16"/>
      <c r="G61" s="489">
        <f>D62</f>
        <v>21831.160000000003</v>
      </c>
      <c r="H61" s="488" t="str">
        <f>CONCATENATE("",E3-1," Ending Cash Balance (est.)")</f>
        <v>2013 Ending Cash Balance (est.)</v>
      </c>
      <c r="I61" s="584"/>
      <c r="J61" s="483"/>
      <c r="K61" s="16"/>
    </row>
    <row r="62" spans="2:11" ht="15.75">
      <c r="B62" s="119" t="s">
        <v>126</v>
      </c>
      <c r="C62" s="369">
        <f>C34-C61</f>
        <v>39339.16</v>
      </c>
      <c r="D62" s="369">
        <f>D34-D61</f>
        <v>21831.160000000003</v>
      </c>
      <c r="E62" s="128" t="s">
        <v>28</v>
      </c>
      <c r="F62" s="16"/>
      <c r="G62" s="489">
        <f>E33</f>
        <v>1326.56</v>
      </c>
      <c r="H62" s="482" t="str">
        <f>CONCATENATE("",E3," Non-AV Receipts (est.)")</f>
        <v>2014 Non-AV Receipts (est.)</v>
      </c>
      <c r="I62" s="584"/>
      <c r="J62" s="483"/>
      <c r="K62" s="16"/>
    </row>
    <row r="63" spans="2:11" ht="15.75">
      <c r="B63" s="138" t="str">
        <f>CONCATENATE("",E3-2,"/",E3-1," Budget Authority Amount:")</f>
        <v>2012/2013 Budget Authority Amount:</v>
      </c>
      <c r="C63" s="120">
        <f>inputOth!B41</f>
        <v>20000</v>
      </c>
      <c r="D63" s="387">
        <f>inputPrYr!D19</f>
        <v>30500</v>
      </c>
      <c r="E63" s="128" t="s">
        <v>28</v>
      </c>
      <c r="F63" s="251"/>
      <c r="G63" s="481">
        <f>IF(E67&gt;0,E66,E68)</f>
        <v>10842.279999999995</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34000</v>
      </c>
      <c r="H64" s="482" t="str">
        <f>CONCATENATE("Total ",E3," Resources Available")</f>
        <v>Total 2014 Resources Available</v>
      </c>
      <c r="I64" s="584"/>
      <c r="J64" s="483"/>
      <c r="K64" s="16"/>
    </row>
    <row r="65" spans="2:11" ht="15.75">
      <c r="B65" s="385" t="str">
        <f>CONCATENATE(C81,"     ",D81)</f>
        <v>     </v>
      </c>
      <c r="C65" s="696" t="s">
        <v>659</v>
      </c>
      <c r="D65" s="697"/>
      <c r="E65" s="45">
        <f>E61+E64</f>
        <v>34000</v>
      </c>
      <c r="F65" s="16"/>
      <c r="G65" s="480"/>
      <c r="H65" s="482"/>
      <c r="I65" s="482"/>
      <c r="J65" s="483"/>
      <c r="K65" s="16"/>
    </row>
    <row r="66" spans="2:11" ht="15.75">
      <c r="B66" s="385" t="str">
        <f>CONCATENATE(C82,"     ",D82)</f>
        <v>     </v>
      </c>
      <c r="C66" s="493"/>
      <c r="D66" s="492" t="s">
        <v>660</v>
      </c>
      <c r="E66" s="42">
        <f>IF(E65-E34&gt;0,E65-E34,0)</f>
        <v>10842.279999999995</v>
      </c>
      <c r="F66" s="16"/>
      <c r="G66" s="481">
        <f>ROUND(C61*0.05+C61,0)</f>
        <v>11172</v>
      </c>
      <c r="H66" s="482" t="str">
        <f>CONCATENATE("Less ",E3-2," Expenditures + 5%")</f>
        <v>Less 2012 Expenditures + 5%</v>
      </c>
      <c r="I66" s="584"/>
      <c r="J66" s="483"/>
      <c r="K66" s="16"/>
    </row>
    <row r="67" spans="2:11" ht="15.75">
      <c r="B67" s="155"/>
      <c r="C67" s="491" t="s">
        <v>661</v>
      </c>
      <c r="D67" s="596">
        <f>inputOth!$E$35</f>
        <v>0.02</v>
      </c>
      <c r="E67" s="45">
        <f>ROUND(IF(D67&gt;0,(E66*D67),0),0)</f>
        <v>217</v>
      </c>
      <c r="F67" s="16"/>
      <c r="G67" s="479">
        <f>G64-G66</f>
        <v>22828</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11059.279999999995</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1.455</v>
      </c>
      <c r="H71" s="488" t="str">
        <f>CONCATENATE("",E3," Fund Mill Rate")</f>
        <v>2014 Fund Mill Rate</v>
      </c>
      <c r="I71" s="570"/>
      <c r="J71" s="589"/>
      <c r="K71" s="16"/>
    </row>
    <row r="72" spans="2:11" ht="15.75">
      <c r="B72" s="18"/>
      <c r="C72" s="18"/>
      <c r="D72" s="18"/>
      <c r="E72" s="18"/>
      <c r="F72" s="591"/>
      <c r="G72" s="592">
        <f>summ!E16</f>
        <v>1.335</v>
      </c>
      <c r="H72" s="488" t="str">
        <f>CONCATENATE("",E3-1," Fund Mill Rate")</f>
        <v>2013 Fund Mill Rate</v>
      </c>
      <c r="I72" s="570"/>
      <c r="J72" s="589"/>
      <c r="K72" s="16"/>
    </row>
    <row r="73" spans="2:11" ht="15.75">
      <c r="B73" s="18"/>
      <c r="C73" s="222"/>
      <c r="D73" s="222"/>
      <c r="E73" s="222"/>
      <c r="F73" s="575"/>
      <c r="G73" s="593">
        <f>summ!H23</f>
        <v>1.455</v>
      </c>
      <c r="H73" s="488" t="str">
        <f>CONCATENATE("Total ",E3," Mill Rate")</f>
        <v>Total 2014 Mill Rate</v>
      </c>
      <c r="I73" s="570"/>
      <c r="J73" s="589"/>
      <c r="K73" s="16"/>
    </row>
    <row r="74" spans="2:11" ht="15.75">
      <c r="B74" s="138"/>
      <c r="C74" s="18" t="s">
        <v>227</v>
      </c>
      <c r="D74" s="18"/>
      <c r="E74" s="18"/>
      <c r="F74" s="575"/>
      <c r="G74" s="592">
        <f>summ!E23</f>
        <v>1.335</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Oak Hill Cemetery Dst. No. 11</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0.02</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1.455</v>
      </c>
      <c r="H65" s="488" t="str">
        <f>CONCATENATE("Total ",E1," Mill Rate")</f>
        <v>Total 2014 Mill Rate</v>
      </c>
      <c r="I65" s="570"/>
      <c r="J65" s="589"/>
      <c r="K65" s="597"/>
    </row>
    <row r="66" spans="6:11" ht="15.75">
      <c r="F66"/>
      <c r="G66" s="592">
        <f>summ!E23</f>
        <v>1.335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Oak Hill Cemetery Dst. No. 11</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0.02</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1.455</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1.335</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0.02</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1.455</v>
      </c>
      <c r="H86" s="488" t="str">
        <f>CONCATENATE("Total ",E3," Mill Rate")</f>
        <v>Total 2014 Mill Rate</v>
      </c>
      <c r="I86" s="570"/>
      <c r="J86" s="589"/>
      <c r="K86" s="16"/>
    </row>
    <row r="87" spans="3:11" ht="15.75" customHeight="1">
      <c r="C87" s="95">
        <f>IF(C33&gt;C35,"See Tab A","")</f>
      </c>
      <c r="D87" s="95">
        <f>IF(D33&gt;D35,"See Tab C","")</f>
      </c>
      <c r="F87" s="16"/>
      <c r="G87" s="592">
        <f>summ!E23</f>
        <v>1.335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Oak Hill Cemetery Dst. No. 11</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Oak Hill Cemetery Dst. No. 11</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Oak Hill Cemetery Dst. No. 11</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7599</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10639.720000000001</v>
      </c>
      <c r="C16" s="622">
        <f>IF(inputPrYr!D38&gt;0,inputPrYr!D38,"  ")</f>
        <v>1.008</v>
      </c>
      <c r="D16" s="560">
        <f>IF(gen!$D$61&lt;&gt;0,gen!$D$61,"  ")</f>
        <v>30000</v>
      </c>
      <c r="E16" s="625">
        <f>IF(inputOth!D16&gt;0,inputOth!D16,"  ")</f>
        <v>1.335</v>
      </c>
      <c r="F16" s="560">
        <f>IF(gen!$E$61&lt;&gt;0,gen!$E$61,"  ")</f>
        <v>34000</v>
      </c>
      <c r="G16" s="243">
        <f>IF(gen!$E$68&lt;&gt;0,gen!$E$68,"  ")</f>
        <v>11059.279999999995</v>
      </c>
      <c r="H16" s="622">
        <f>IF(gen!E68&gt;0,ROUND(G16/$F$27*1000,3)," ")</f>
        <v>1.455</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1.335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-914.2799999999952</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10639.720000000001</v>
      </c>
      <c r="C23" s="624">
        <f aca="true" t="shared" si="0" ref="C23:H23">SUM(C16:C21)</f>
        <v>1.008</v>
      </c>
      <c r="D23" s="619">
        <f t="shared" si="0"/>
        <v>30000</v>
      </c>
      <c r="E23" s="627">
        <f t="shared" si="0"/>
        <v>1.335</v>
      </c>
      <c r="F23" s="619">
        <f t="shared" si="0"/>
        <v>34000</v>
      </c>
      <c r="G23" s="619">
        <f t="shared" si="0"/>
        <v>11059.279999999995</v>
      </c>
      <c r="H23" s="627">
        <f t="shared" si="0"/>
        <v>1.455</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10639.720000000001</v>
      </c>
      <c r="C25" s="296"/>
      <c r="D25" s="129">
        <f>SUM(D23-D24)</f>
        <v>30000</v>
      </c>
      <c r="E25" s="296"/>
      <c r="F25" s="484">
        <f>SUM(F23-F24)</f>
        <v>34000</v>
      </c>
      <c r="G25" s="238"/>
      <c r="H25" s="295"/>
      <c r="J25" s="503" t="str">
        <f>CONCATENATE("",I3," Ad Valorem Tax Revenue:")</f>
        <v>2014 Ad Valorem Tax Revenue:</v>
      </c>
      <c r="K25" s="498"/>
      <c r="L25" s="498"/>
      <c r="M25" s="499">
        <f>G23</f>
        <v>11059.279999999995</v>
      </c>
    </row>
    <row r="26" spans="1:13" ht="16.5" thickTop="1">
      <c r="A26" s="33" t="s">
        <v>54</v>
      </c>
      <c r="B26" s="619">
        <f>inputPrYr!E44</f>
        <v>11212</v>
      </c>
      <c r="C26" s="215"/>
      <c r="D26" s="619">
        <f>inputPrYr!E24</f>
        <v>11307</v>
      </c>
      <c r="E26" s="215"/>
      <c r="F26" s="83" t="s">
        <v>174</v>
      </c>
      <c r="G26" s="18"/>
      <c r="H26" s="18"/>
      <c r="J26" s="503" t="str">
        <f>CONCATENATE("",I3-1," Ad Valorem Tax Revenue:")</f>
        <v>2013 Ad Valorem Tax Revenue:</v>
      </c>
      <c r="K26" s="498"/>
      <c r="L26" s="498"/>
      <c r="M26" s="512">
        <f>ROUND(F27*M18/1000,0)</f>
        <v>10145</v>
      </c>
    </row>
    <row r="27" spans="1:13" ht="15.75">
      <c r="A27" s="33" t="s">
        <v>170</v>
      </c>
      <c r="B27" s="42">
        <f>inputPrYr!E45</f>
        <v>11120905</v>
      </c>
      <c r="C27" s="215"/>
      <c r="D27" s="42">
        <f>inputOth!E24</f>
        <v>8467088</v>
      </c>
      <c r="E27" s="215"/>
      <c r="F27" s="42">
        <f>inputOth!E7</f>
        <v>7599340</v>
      </c>
      <c r="G27" s="18"/>
      <c r="H27" s="18"/>
      <c r="J27" s="513" t="s">
        <v>667</v>
      </c>
      <c r="K27" s="514"/>
      <c r="L27" s="514"/>
      <c r="M27" s="502">
        <f>M25-M26</f>
        <v>914.2799999999952</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1.455</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Oak Hill Cemetery Dst. #11</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2">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Oak Hill Cemetery Dst. No. 11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7599340</v>
      </c>
      <c r="E16" s="18"/>
      <c r="F16" s="52"/>
    </row>
    <row r="17" spans="1:6" ht="15.75">
      <c r="A17" s="18"/>
      <c r="B17" s="18"/>
      <c r="C17" s="18"/>
      <c r="D17" s="18"/>
      <c r="E17" s="18"/>
      <c r="F17" s="52"/>
    </row>
    <row r="18" spans="1:6" ht="15.75">
      <c r="A18" s="18"/>
      <c r="B18" s="723" t="s">
        <v>318</v>
      </c>
      <c r="C18" s="723"/>
      <c r="D18" s="309">
        <f>IF(D16&gt;0,(D16*0.001),"")</f>
        <v>7599.34</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Oak Hill Cemetery Dst. No. 11 District with respect to financing the 2014 annual budget for Oak Hill Cemetery Dst. No. 11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Oak Hill Cemetery Dst. No. 11 district budget exceed the amount levied to finance the</v>
      </c>
      <c r="C9"/>
      <c r="D9"/>
      <c r="E9"/>
      <c r="F9"/>
      <c r="G9"/>
      <c r="H9"/>
    </row>
    <row r="10" spans="2:8" ht="15.75">
      <c r="B10" s="12" t="str">
        <f>CONCATENATE("",inputPrYr!D6-1," ",inputPrYr!D3," except with regard to revenue produced and attributable to the")</f>
        <v>2013 Oak Hill Cemetery Dst. No. 11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Oak Hill Cemetery Dst. No. 11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Oak Hill Cemetery Dst. No. 11 that is our desire to notify the public of the possibility of increased property taxes to finance the 2014 Oak Hill Cemetery Dst. No. 11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Oak Hill Cemetery Dst. No. 11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Oak Hill Cemetery Dst. No. 11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3">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797</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30500</v>
      </c>
      <c r="E19" s="35">
        <v>11307</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11307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30500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1.008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1.008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11212</v>
      </c>
    </row>
    <row r="45" spans="1:5" ht="15.75">
      <c r="A45" s="49" t="str">
        <f>CONCATENATE("Assessed Valuation (",D6-2," budget column)")</f>
        <v>Assessed Valuation (2012 budget column)</v>
      </c>
      <c r="B45" s="27"/>
      <c r="C45" s="18"/>
      <c r="D45" s="18"/>
      <c r="E45" s="51">
        <v>11120905</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Oak Hill Cemetery Dst. No. 11</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7599340</v>
      </c>
    </row>
    <row r="8" spans="1:5" ht="15.75">
      <c r="A8" s="66" t="str">
        <f>CONCATENATE("New Improvements for ",inputPrYr!D6-1,"")</f>
        <v>New Improvements for 2013</v>
      </c>
      <c r="B8" s="67"/>
      <c r="C8" s="67"/>
      <c r="D8" s="67"/>
      <c r="E8" s="68">
        <v>30621</v>
      </c>
    </row>
    <row r="9" spans="1:5" ht="15.75">
      <c r="A9" s="66" t="str">
        <f>CONCATENATE("Personal Property excluding oil, gas, and mobile homes- ",inputPrYr!D6-1,"")</f>
        <v>Personal Property excluding oil, gas, and mobile homes- 2013</v>
      </c>
      <c r="B9" s="67"/>
      <c r="C9" s="67"/>
      <c r="D9" s="67"/>
      <c r="E9" s="68">
        <v>59712</v>
      </c>
    </row>
    <row r="10" spans="1:5" ht="15.75">
      <c r="A10" s="66" t="str">
        <f>CONCATENATE("Property that has changed in use for ",inputPrYr!D6-1,"")</f>
        <v>Property that has changed in use for 2013</v>
      </c>
      <c r="B10" s="67"/>
      <c r="C10" s="67"/>
      <c r="D10" s="67"/>
      <c r="E10" s="68">
        <v>848</v>
      </c>
    </row>
    <row r="11" spans="1:5" ht="15.75">
      <c r="A11" s="65" t="str">
        <f>CONCATENATE("Personal Property excluding oil, gas, and mobile homes- ",inputPrYr!D6-2,"")</f>
        <v>Personal Property excluding oil, gas, and mobile homes- 2012</v>
      </c>
      <c r="B11" s="40"/>
      <c r="C11" s="40"/>
      <c r="D11" s="40"/>
      <c r="E11" s="68">
        <v>75944</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1.335</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1.335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8467088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818.97</v>
      </c>
    </row>
    <row r="28" spans="1:5" ht="15.75">
      <c r="A28" s="66" t="s">
        <v>15</v>
      </c>
      <c r="B28" s="67"/>
      <c r="C28" s="67"/>
      <c r="D28" s="84"/>
      <c r="E28" s="35">
        <v>9.88</v>
      </c>
    </row>
    <row r="29" spans="1:5" ht="15.75">
      <c r="A29" s="66" t="s">
        <v>171</v>
      </c>
      <c r="B29" s="67"/>
      <c r="C29" s="67"/>
      <c r="D29" s="84"/>
      <c r="E29" s="35">
        <v>86.71</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0.0209</v>
      </c>
    </row>
    <row r="35" spans="1:5" ht="15.75">
      <c r="A35" s="66" t="s">
        <v>707</v>
      </c>
      <c r="B35" s="86"/>
      <c r="C35" s="69"/>
      <c r="D35" s="69"/>
      <c r="E35" s="536">
        <v>0.02</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20000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806</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807</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6" sqref="O26"/>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Oak Hill Cemetery Dst. No. 11</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34000</v>
      </c>
      <c r="F23" s="558">
        <f>IF(gen!$E$68&lt;&gt;0,gen!$E$68,"  ")</f>
        <v>11059.279999999995</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34000</v>
      </c>
      <c r="F30" s="565">
        <f>SUM(F23:F28)</f>
        <v>11059.279999999995</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Oak Hill Cemetery Dst. No. 11</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11307</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11307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30621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59712</v>
      </c>
      <c r="F14" s="146"/>
      <c r="G14" s="37"/>
      <c r="H14" s="37"/>
      <c r="I14" s="149"/>
      <c r="J14" s="37"/>
    </row>
    <row r="15" spans="1:10" ht="15.75">
      <c r="A15" s="145"/>
      <c r="B15" s="18" t="s">
        <v>99</v>
      </c>
      <c r="C15" s="18" t="str">
        <f>CONCATENATE("Personal Property ",J1-2,"")</f>
        <v>Personal Property 2012</v>
      </c>
      <c r="D15" s="145" t="s">
        <v>95</v>
      </c>
      <c r="E15" s="41">
        <f>inputOth!E11</f>
        <v>75944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848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31469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7599340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7567871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0.004158236840982094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11354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11354</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Oak Hill Cemetery Dst. No. 11</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11307</v>
      </c>
      <c r="D11" s="123">
        <f>IF(E17=0,0,E17-D12-D13-D14)</f>
        <v>818.97</v>
      </c>
      <c r="E11" s="123">
        <f>IF(E19=0,0,E19-E12-E13-E14)</f>
        <v>9.88</v>
      </c>
      <c r="F11" s="123">
        <f>IF(E21=0,0,E21-F12-F13-F14)</f>
        <v>86.71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11307</v>
      </c>
      <c r="D15" s="130">
        <f>SUM(D11:D14)</f>
        <v>818.97</v>
      </c>
      <c r="E15" s="130">
        <f>SUM(E11:E14)</f>
        <v>9.88</v>
      </c>
      <c r="F15" s="203">
        <f>SUM(F11:F14)</f>
        <v>86.71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818.97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9.88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86.71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0.07243035287874768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0.0008737949942513488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0.007668700804811178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Oak Hill Cemetery Dst. No. 11</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2013-07-09T20:05:08Z</cp:lastPrinted>
  <dcterms:created xsi:type="dcterms:W3CDTF">1999-08-06T13:59:57Z</dcterms:created>
  <dcterms:modified xsi:type="dcterms:W3CDTF">2013-07-09T21:22:22Z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