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<sst xmlns="http://schemas.openxmlformats.org/spreadsheetml/2006/main" count="1184" uniqueCount="805">
  <si>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</si>
  <si>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</si>
  <si>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</si>
  <si>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</si>
  <si>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</si>
  <si>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</si>
  <si>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</si>
  <si>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</si>
  <si>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</si>
  <si>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</si>
  <si>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</si>
  <si>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</si>
  <si>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</si>
  <si>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</si>
  <si>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</si>
  <si>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</si>
  <si>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</si>
  <si>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</si>
  <si>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</si>
  <si>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</si>
  <si>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</si>
  <si>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</si>
  <si>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</si>
  <si>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</si>
  <si>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</si>
  <si>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</si>
  <si>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</si>
  <si>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</si>
  <si>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</si>
  <si>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</si>
  <si>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</si>
  <si>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</si>
  <si>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</si>
  <si>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</si>
  <si>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</si>
  <si>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</si>
  <si>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</si>
  <si>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</si>
  <si>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</si>
  <si>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</si>
  <si>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</si>
  <si>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</si>
  <si>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</si>
  <si>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</si>
  <si>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</si>
  <si>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</si>
  <si>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</si>
  <si>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</si>
  <si>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</si>
  <si>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</si>
  <si>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</si>
  <si>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</si>
  <si>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</si>
  <si>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</si>
  <si>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</si>
  <si>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</si>
  <si>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</si>
  <si>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</si>
  <si>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</si>
  <si>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</si>
  <si>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</si>
  <si>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</si>
  <si>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</si>
  <si>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</si>
  <si>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</si>
  <si>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</si>
  <si>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</si>
  <si>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</si>
  <si>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</si>
  <si>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</si>
  <si>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</si>
  <si>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</si>
  <si>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</si>
  <si>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</si>
  <si>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</si>
  <si>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</si>
  <si>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</si>
  <si>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</si>
  <si>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</si>
  <si>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</si>
  <si>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</si>
  <si>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</si>
  <si>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</si>
  <si>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</si>
  <si>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</si>
  <si>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</si>
  <si>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</si>
  <si>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</si>
  <si>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</si>
  <si>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</si>
  <si>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</si>
  <si>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</si>
  <si>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</si>
  <si>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</si>
  <si>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</si>
  <si>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</si>
  <si>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</si>
  <si>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</si>
  <si>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</si>
  <si>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</si>
  <si>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</si>
  <si>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</si>
  <si>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</si>
  <si>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</si>
  <si>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</si>
  <si>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</si>
  <si>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</si>
  <si>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</si>
  <si>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</si>
  <si>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</si>
  <si>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</si>
  <si>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</si>
  <si>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</si>
  <si>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</si>
  <si>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</si>
  <si>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</si>
  <si>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</si>
  <si>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</si>
  <si>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</si>
  <si>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</si>
  <si>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</si>
  <si>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</si>
  <si>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</si>
  <si>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</si>
  <si>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</si>
  <si>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</si>
  <si>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</si>
  <si>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</si>
  <si>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</si>
  <si>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</si>
  <si>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</si>
  <si>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</si>
  <si>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</si>
  <si>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</si>
  <si>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</si>
  <si>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</si>
  <si>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</si>
  <si>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</si>
  <si>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</si>
  <si>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</si>
  <si>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</si>
  <si>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</si>
  <si>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</si>
  <si>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</si>
  <si>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</si>
  <si>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</si>
  <si>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</si>
  <si>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</si>
  <si>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</si>
  <si>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</si>
  <si>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</si>
  <si>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</si>
  <si>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</si>
  <si>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</si>
  <si>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</si>
  <si>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</si>
  <si>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</si>
  <si>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</si>
  <si>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</si>
  <si>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</si>
  <si>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</si>
  <si>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</si>
  <si>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</si>
  <si>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</si>
  <si>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</si>
  <si>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</si>
  <si>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</si>
  <si>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</si>
  <si>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</si>
  <si>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</si>
  <si>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</si>
  <si>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</si>
  <si>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</si>
  <si>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</si>
  <si>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</si>
  <si>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</si>
  <si>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</si>
  <si>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</si>
  <si>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</si>
  <si>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</si>
  <si>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</si>
  <si>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</si>
  <si>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</si>
  <si>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</si>
  <si>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</si>
  <si>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</si>
  <si>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</si>
  <si>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</si>
  <si>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</si>
  <si>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</si>
  <si>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</si>
  <si>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</si>
  <si>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</si>
  <si>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</si>
  <si>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</si>
  <si>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</si>
  <si>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</si>
  <si>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</si>
  <si>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</si>
  <si>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</si>
  <si>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</si>
  <si>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</si>
  <si>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</si>
  <si>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</si>
  <si>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</si>
  <si>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</si>
  <si>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</si>
  <si>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</si>
  <si>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</si>
  <si>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</si>
  <si>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</si>
  <si>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</si>
  <si>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</si>
  <si>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</si>
  <si>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</si>
  <si>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</si>
  <si>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</si>
  <si>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</si>
  <si>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</si>
  <si>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</si>
  <si>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</si>
  <si>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</si>
  <si>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</si>
  <si>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</si>
  <si>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</si>
  <si>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</si>
  <si>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</si>
  <si>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</si>
  <si>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</si>
  <si>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</si>
  <si>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</si>
  <si>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</si>
  <si>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</si>
  <si>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</si>
  <si>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</si>
  <si>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</si>
  <si>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</si>
  <si>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</si>
  <si>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</si>
  <si>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</si>
  <si>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</si>
  <si>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</si>
  <si>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</si>
  <si>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</si>
  <si>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</si>
  <si>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</si>
  <si>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</si>
  <si>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</si>
  <si>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</si>
  <si>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</si>
  <si>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</si>
  <si>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</si>
  <si>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</si>
  <si>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</si>
  <si>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</si>
  <si>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</si>
  <si>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</si>
  <si>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</si>
  <si>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</si>
  <si>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</si>
  <si>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</si>
  <si>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</si>
  <si>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</si>
  <si>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</si>
  <si>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</si>
  <si>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</si>
  <si>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</si>
  <si>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</si>
  <si>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</si>
  <si>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</si>
  <si>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</si>
  <si>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</si>
  <si>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</si>
  <si>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</si>
  <si>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</si>
  <si>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</si>
  <si>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</si>
  <si>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</si>
  <si>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</si>
  <si>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</si>
  <si>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</si>
  <si>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</si>
  <si>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</si>
  <si>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</si>
  <si>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</si>
  <si>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</si>
  <si>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</si>
  <si>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</si>
  <si>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</si>
  <si>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</si>
  <si>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</si>
  <si>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</si>
  <si>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</si>
  <si>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</si>
  <si>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</si>
  <si>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</si>
  <si>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</si>
  <si>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</si>
  <si>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</si>
  <si>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</si>
  <si>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</si>
  <si>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</si>
  <si>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</si>
  <si>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</si>
  <si>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</si>
  <si>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</si>
  <si>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</si>
  <si>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</si>
  <si>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</si>
  <si>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</si>
  <si>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</si>
  <si>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</si>
  <si>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</si>
  <si>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</si>
  <si>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</si>
  <si>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</si>
  <si>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</si>
  <si>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</si>
  <si>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</si>
  <si>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</si>
  <si>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</si>
  <si>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</si>
  <si>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</si>
  <si>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</si>
  <si>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</si>
  <si>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</si>
  <si>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</si>
  <si>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</si>
  <si>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</si>
  <si>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</si>
  <si>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</si>
  <si>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</si>
  <si>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</si>
  <si>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</si>
  <si>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</si>
  <si>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</si>
  <si>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</si>
  <si>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</si>
  <si>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</si>
  <si>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</si>
  <si>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</si>
  <si>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</si>
  <si>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</si>
  <si>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</si>
  <si>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</si>
  <si>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</si>
  <si>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</si>
  <si>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</si>
  <si>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</si>
  <si>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</si>
  <si>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</si>
  <si>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</si>
  <si>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</si>
  <si>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</si>
  <si>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</si>
  <si>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</si>
  <si>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</si>
  <si>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</si>
  <si>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</si>
  <si>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</si>
  <si>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</si>
  <si>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</si>
  <si>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</si>
  <si>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</si>
  <si>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</si>
  <si>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</si>
  <si>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</si>
  <si>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</si>
  <si>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</si>
  <si>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</si>
  <si>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</si>
  <si>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</si>
  <si>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</si>
  <si>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</si>
  <si>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</si>
  <si>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</si>
  <si>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</si>
  <si>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</si>
  <si>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</si>
  <si>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</si>
  <si>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</si>
  <si>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</si>
  <si>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</si>
  <si>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</si>
  <si>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</si>
  <si>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</si>
  <si>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</si>
  <si>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</si>
  <si>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</si>
  <si>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</si>
  <si>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</si>
  <si>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</si>
  <si>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</si>
  <si>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</si>
  <si>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</si>
  <si>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</si>
  <si>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</si>
  <si>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</si>
  <si>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</si>
  <si>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</si>
  <si>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</si>
  <si>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</si>
  <si>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</si>
  <si>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</si>
  <si>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</si>
  <si>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</si>
  <si>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</si>
  <si>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</si>
  <si>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</si>
  <si>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</si>
  <si>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</si>
  <si>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</si>
  <si>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</si>
  <si>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</si>
  <si>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</si>
  <si>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</si>
  <si>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</si>
  <si>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</si>
  <si>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</si>
  <si>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</si>
  <si>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</si>
  <si>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</si>
  <si>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</si>
  <si>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</si>
  <si>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</si>
  <si>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</si>
  <si>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</si>
  <si>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</si>
  <si>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</si>
  <si>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</si>
  <si>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</si>
  <si>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</si>
  <si>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</si>
  <si>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</si>
  <si>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</si>
  <si>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</si>
  <si>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</si>
  <si>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</si>
  <si>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</si>
  <si>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</si>
  <si>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</si>
  <si>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</si>
  <si>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</si>
  <si>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</si>
  <si>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</si>
  <si>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</si>
  <si>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</si>
  <si>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</si>
  <si>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</si>
  <si>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</si>
  <si>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</si>
  <si>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</si>
  <si>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</si>
  <si>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</si>
  <si>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</si>
  <si>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</si>
  <si>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</si>
  <si>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</si>
  <si>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</si>
  <si>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</si>
  <si>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</si>
  <si>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</si>
  <si>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</si>
  <si>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</si>
  <si>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</si>
  <si>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</si>
  <si>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</si>
  <si>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</si>
  <si>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</si>
  <si>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</si>
  <si>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</si>
  <si>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</si>
  <si>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</si>
  <si>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</si>
  <si>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</si>
  <si>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</si>
  <si>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</si>
  <si>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</si>
  <si>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</si>
  <si>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</si>
  <si>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</si>
  <si>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</si>
  <si>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</si>
  <si>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</si>
  <si>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</si>
  <si>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</si>
  <si>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</si>
  <si>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</si>
  <si>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</si>
  <si>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</si>
  <si>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</si>
  <si>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</si>
  <si>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</si>
  <si>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</si>
  <si>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</si>
  <si>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</si>
  <si>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</si>
  <si>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</si>
  <si>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</si>
  <si>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</si>
  <si>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</si>
  <si>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</si>
  <si>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</si>
  <si>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</si>
  <si>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</si>
  <si>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</si>
  <si>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</si>
  <si>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</si>
  <si>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</si>
  <si>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</si>
  <si>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</si>
  <si>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</si>
  <si>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</si>
  <si>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</si>
  <si>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</si>
  <si>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</si>
  <si>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</si>
  <si>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</si>
  <si>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</si>
  <si>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</si>
  <si>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</si>
  <si>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</si>
  <si>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</si>
  <si>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</si>
  <si>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</si>
  <si>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</si>
  <si>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</si>
  <si>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</si>
  <si>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</si>
  <si>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</si>
  <si>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</si>
  <si>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</si>
  <si>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</si>
  <si>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</si>
  <si>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</si>
  <si>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</si>
  <si>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</si>
  <si>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</si>
  <si>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</si>
  <si>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</si>
  <si>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</si>
  <si>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</si>
  <si>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</si>
  <si>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</si>
  <si>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</si>
  <si>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</si>
  <si>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</si>
  <si>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</si>
  <si>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</si>
  <si>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</si>
  <si>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</si>
  <si>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</si>
  <si>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</si>
  <si>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</si>
  <si>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</si>
  <si>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</si>
  <si>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</si>
  <si>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</si>
  <si>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</si>
  <si>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</si>
  <si>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</si>
  <si>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</si>
  <si>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</si>
  <si>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</si>
  <si>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</si>
  <si>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</si>
  <si>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</si>
  <si>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</si>
  <si>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</si>
  <si>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</si>
  <si>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</si>
  <si>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</si>
  <si>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</si>
  <si>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</si>
  <si>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</si>
  <si>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</si>
  <si>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</si>
  <si>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</si>
  <si>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</si>
  <si>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</si>
  <si>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</si>
  <si>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</si>
  <si>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</si>
  <si>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</si>
  <si>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</si>
  <si>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</si>
  <si>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</si>
  <si>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</si>
  <si>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</si>
  <si>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</si>
  <si>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</si>
  <si>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</si>
  <si>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</si>
  <si>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</si>
  <si>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</si>
  <si>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</si>
  <si>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</si>
  <si>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</si>
  <si>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</si>
  <si>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</si>
  <si>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</si>
  <si>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</si>
  <si>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</si>
  <si>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</si>
  <si>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</si>
  <si>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</si>
  <si>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</si>
  <si>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</si>
  <si>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</si>
  <si>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</si>
  <si>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</si>
  <si>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</si>
  <si>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</si>
  <si>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</si>
  <si>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</si>
  <si>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</si>
  <si>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</si>
  <si>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</si>
  <si>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</si>
  <si>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</si>
  <si>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</si>
  <si>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</si>
  <si>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</si>
  <si>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</si>
  <si>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</si>
  <si>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</si>
  <si>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</si>
  <si>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</si>
  <si>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</si>
  <si>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</si>
  <si>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</si>
  <si>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</si>
  <si>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</si>
  <si>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</si>
  <si>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</si>
  <si>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</si>
  <si>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</si>
  <si>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</si>
  <si>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</si>
  <si>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</si>
  <si>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</si>
  <si>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</si>
  <si>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</si>
  <si>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</si>
  <si>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</si>
  <si>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</si>
  <si>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</si>
  <si>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</si>
  <si>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</si>
  <si>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</si>
  <si>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</si>
  <si>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</si>
  <si>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</si>
  <si>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</si>
  <si>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</si>
  <si>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</si>
  <si>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</si>
  <si>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</si>
  <si>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</si>
  <si>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</si>
  <si>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</si>
  <si>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</si>
  <si>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</si>
  <si>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</si>
  <si>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</si>
  <si>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</si>
  <si>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</si>
  <si>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</si>
  <si>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</si>
  <si>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</si>
  <si>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</si>
  <si>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</si>
  <si>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</si>
  <si>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</si>
  <si>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</si>
  <si>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</si>
  <si>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</si>
  <si>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</si>
  <si>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</si>
  <si>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</si>
  <si>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</si>
  <si>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</si>
  <si>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</si>
  <si>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</si>
  <si>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</si>
  <si>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</si>
  <si>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</si>
  <si>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</si>
  <si>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</si>
  <si>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</si>
  <si>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</si>
  <si>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</si>
  <si>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</si>
  <si>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</si>
  <si>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</si>
  <si>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</si>
  <si>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</si>
  <si>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</si>
  <si>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</si>
  <si>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</si>
  <si>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</si>
  <si>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</si>
  <si>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</si>
  <si>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</si>
  <si>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</si>
  <si>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</si>
  <si>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</si>
  <si>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</si>
  <si>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</si>
  <si>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</si>
  <si>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</si>
  <si>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</si>
  <si>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</si>
  <si>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</si>
  <si>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</si>
  <si>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</si>
  <si>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</si>
  <si>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</si>
  <si>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</si>
  <si>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</si>
  <si>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</si>
  <si>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</si>
  <si>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</si>
  <si>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</si>
  <si>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</si>
  <si>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</si>
  <si>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</si>
  <si>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</si>
  <si>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</si>
  <si>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</si>
  <si>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</si>
  <si>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</si>
  <si>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</si>
  <si>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</si>
  <si>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</si>
  <si>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</si>
  <si>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</si>
  <si>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</si>
  <si>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</si>
  <si>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</si>
  <si>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</si>
  <si>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</si>
  <si>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</si>
  <si>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</si>
  <si>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</si>
  <si>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</si>
  <si>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</si>
  <si>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</si>
  <si>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</si>
  <si>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</si>
  <si>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</si>
  <si>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</si>
  <si>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</si>
  <si>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</si>
  <si>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</si>
  <si>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</si>
  <si>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</si>
  <si>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</si>
  <si>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</si>
  <si>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</si>
  <si>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</si>
  <si>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</si>
  <si>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</si>
  <si>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</si>
  <si>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</si>
  <si>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</si>
  <si>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</si>
  <si>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</si>
  <si>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</si>
  <si>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</si>
  <si>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</si>
  <si>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</si>
  <si>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</si>
  <si>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</si>
  <si>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</si>
  <si>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</si>
  <si>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</si>
  <si>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</si>
  <si>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</si>
  <si>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</si>
  <si>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</si>
  <si>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</si>
  <si>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</si>
  <si>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</si>
  <si>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</si>
  <si>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</si>
  <si>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</si>
  <si>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</si>
  <si>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</si>
  <si>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</si>
  <si>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</si>
  <si>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</si>
  <si>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Mt. Hope Cemetery</t>
  </si>
  <si>
    <t xml:space="preserve">Marshall County </t>
  </si>
  <si>
    <t>15-1015</t>
  </si>
  <si>
    <t>Perpetual Care fund</t>
  </si>
  <si>
    <t>Transfer to Perpetual Care fund</t>
  </si>
  <si>
    <t>Operating Costs</t>
  </si>
  <si>
    <t>Transfer from Gen</t>
  </si>
  <si>
    <t>Steve Shubkagel</t>
  </si>
  <si>
    <t>Treasurer</t>
  </si>
  <si>
    <t>August 29, 2013</t>
  </si>
  <si>
    <t>5:00 p.m.</t>
  </si>
  <si>
    <t>402 W. 2nd St., Frankfort, KS  66427</t>
  </si>
  <si>
    <t>2318 21st Rd., Frankfort, KS  66427</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</si>
</sst>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Mt. Hope Cemetery</v>
      </c>
      <c r="C1" s="18"/>
      <c r="D1" s="18"/>
      <c r="E1" s="18"/>
      <c r="F1" s="18"/>
      <c r="G1" s="18"/>
      <c r="H1" s="18"/>
      <c r="I1" s="18"/>
      <c r="J1" s="18"/>
      <c r="K1" s="18"/>
      <c r="L1" s="182">
        <f>inputPrYr!D6</f>
        <v>2014</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8">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Mt. Hope Cemetery</v>
      </c>
      <c r="C1" s="222"/>
      <c r="D1" s="18"/>
      <c r="E1" s="182"/>
    </row>
    <row r="2" spans="2:5" ht="15.75">
      <c r="B2" s="18" t="str">
        <f>inputPrYr!D4</f>
        <v>Marshall County </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669.87</v>
      </c>
      <c r="D7" s="373">
        <f>C62</f>
        <v>740.1299999999997</v>
      </c>
      <c r="E7" s="45">
        <f>D62</f>
        <v>637.1299999999997</v>
      </c>
    </row>
    <row r="8" spans="2:5" ht="15.75">
      <c r="B8" s="226" t="s">
        <v>127</v>
      </c>
      <c r="C8" s="227"/>
      <c r="D8" s="227"/>
      <c r="E8" s="123"/>
    </row>
    <row r="9" spans="2:5" ht="15.75">
      <c r="B9" s="119" t="s">
        <v>33</v>
      </c>
      <c r="C9" s="366">
        <v>2396.54</v>
      </c>
      <c r="D9" s="373">
        <f>IF(inputPrYr!H18&gt;0,inputPrYr!G19,inputPrYr!E19)</f>
        <v>2419</v>
      </c>
      <c r="E9" s="128" t="s">
        <v>28</v>
      </c>
    </row>
    <row r="10" spans="2:5" ht="15.75">
      <c r="B10" s="119" t="s">
        <v>34</v>
      </c>
      <c r="C10" s="366"/>
      <c r="D10" s="366"/>
      <c r="E10" s="198"/>
    </row>
    <row r="11" spans="2:5" ht="15.75">
      <c r="B11" s="119" t="s">
        <v>35</v>
      </c>
      <c r="C11" s="366">
        <v>165.49</v>
      </c>
      <c r="D11" s="366">
        <v>160</v>
      </c>
      <c r="E11" s="45">
        <f>mvalloc!D11</f>
        <v>155.56</v>
      </c>
    </row>
    <row r="12" spans="2:5" ht="15.75">
      <c r="B12" s="119" t="s">
        <v>36</v>
      </c>
      <c r="C12" s="366">
        <v>1.62</v>
      </c>
      <c r="D12" s="366">
        <v>2</v>
      </c>
      <c r="E12" s="45">
        <f>mvalloc!E11</f>
        <v>0</v>
      </c>
    </row>
    <row r="13" spans="2:5" ht="15.75">
      <c r="B13" s="227" t="s">
        <v>109</v>
      </c>
      <c r="C13" s="366">
        <v>24.1</v>
      </c>
      <c r="D13" s="366">
        <v>24</v>
      </c>
      <c r="E13" s="45">
        <f>mvalloc!F11</f>
        <v>18.05</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2587.7499999999995</v>
      </c>
      <c r="D33" s="368">
        <f>SUM(D9:D31)</f>
        <v>2605</v>
      </c>
      <c r="E33" s="234">
        <f>SUM(E9:E31)</f>
        <v>173.61</v>
      </c>
    </row>
    <row r="34" spans="2:5" ht="15.75">
      <c r="B34" s="233" t="s">
        <v>40</v>
      </c>
      <c r="C34" s="368">
        <f>C7+C33</f>
        <v>3257.6199999999994</v>
      </c>
      <c r="D34" s="368">
        <f>D7+D33</f>
        <v>3345.1299999999997</v>
      </c>
      <c r="E34" s="234">
        <f>E7+E33</f>
        <v>810.7399999999997</v>
      </c>
    </row>
    <row r="35" spans="2:5" ht="15.75">
      <c r="B35" s="119" t="s">
        <v>41</v>
      </c>
      <c r="C35" s="121"/>
      <c r="D35" s="121"/>
      <c r="E35" s="36"/>
    </row>
    <row r="36" spans="2:5" ht="15.75">
      <c r="B36" s="228" t="s">
        <v>797</v>
      </c>
      <c r="C36" s="366">
        <v>1517.49</v>
      </c>
      <c r="D36" s="366">
        <v>2700</v>
      </c>
      <c r="E36" s="198">
        <v>3200</v>
      </c>
    </row>
    <row r="37" spans="2:5" ht="15.75">
      <c r="B37" s="228" t="s">
        <v>796</v>
      </c>
      <c r="C37" s="366">
        <v>1000</v>
      </c>
      <c r="D37" s="366"/>
      <c r="E37" s="198"/>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v>8</v>
      </c>
      <c r="E58" s="203">
        <f>Nhood!E7</f>
        <v>5</v>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2517.49</v>
      </c>
      <c r="D61" s="368">
        <f>SUM(D36:D59)</f>
        <v>2708</v>
      </c>
      <c r="E61" s="234">
        <f>SUM(E36:E59)</f>
        <v>3205</v>
      </c>
      <c r="F61" s="16"/>
      <c r="G61" s="489">
        <f>D62</f>
        <v>637.1299999999997</v>
      </c>
      <c r="H61" s="488" t="str">
        <f>CONCATENATE("",E3-1," Ending Cash Balance (est.)")</f>
        <v>2013 Ending Cash Balance (est.)</v>
      </c>
      <c r="I61" s="584"/>
      <c r="J61" s="483"/>
      <c r="K61" s="16"/>
    </row>
    <row r="62" spans="2:11" ht="15.75">
      <c r="B62" s="119" t="s">
        <v>126</v>
      </c>
      <c r="C62" s="369">
        <f>C34-C61</f>
        <v>740.1299999999997</v>
      </c>
      <c r="D62" s="369">
        <f>D34-D61</f>
        <v>637.1299999999997</v>
      </c>
      <c r="E62" s="128" t="s">
        <v>28</v>
      </c>
      <c r="F62" s="16"/>
      <c r="G62" s="489">
        <f>E33</f>
        <v>173.61</v>
      </c>
      <c r="H62" s="482" t="str">
        <f>CONCATENATE("",E3," Non-AV Receipts (est.)")</f>
        <v>2014 Non-AV Receipts (est.)</v>
      </c>
      <c r="I62" s="584"/>
      <c r="J62" s="483"/>
      <c r="K62" s="16"/>
    </row>
    <row r="63" spans="2:11" ht="15.75">
      <c r="B63" s="138" t="str">
        <f>CONCATENATE("",E3-2,"/",E3-1," Budget Authority Amount:")</f>
        <v>2012/2013 Budget Authority Amount:</v>
      </c>
      <c r="C63" s="120">
        <f>inputOth!B41</f>
        <v>3210</v>
      </c>
      <c r="D63" s="387">
        <f>inputPrYr!D19</f>
        <v>2708</v>
      </c>
      <c r="E63" s="128" t="s">
        <v>28</v>
      </c>
      <c r="F63" s="251"/>
      <c r="G63" s="481">
        <f>IF(E67&gt;0,E66,E68)</f>
        <v>2394.26</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3205</v>
      </c>
      <c r="H64" s="482" t="str">
        <f>CONCATENATE("Total ",E3," Resources Available")</f>
        <v>Total 2014 Resources Available</v>
      </c>
      <c r="I64" s="584"/>
      <c r="J64" s="483"/>
      <c r="K64" s="16"/>
    </row>
    <row r="65" spans="2:11" ht="15.75">
      <c r="B65" s="385" t="str">
        <f>CONCATENATE(C81,"     ",D81)</f>
        <v>     </v>
      </c>
      <c r="C65" s="696" t="s">
        <v>659</v>
      </c>
      <c r="D65" s="697"/>
      <c r="E65" s="45">
        <f>E61+E64</f>
        <v>3205</v>
      </c>
      <c r="F65" s="16"/>
      <c r="G65" s="480"/>
      <c r="H65" s="482"/>
      <c r="I65" s="482"/>
      <c r="J65" s="483"/>
      <c r="K65" s="16"/>
    </row>
    <row r="66" spans="2:11" ht="15.75">
      <c r="B66" s="385" t="str">
        <f>CONCATENATE(C82,"     ",D82)</f>
        <v>     </v>
      </c>
      <c r="C66" s="493"/>
      <c r="D66" s="492" t="s">
        <v>660</v>
      </c>
      <c r="E66" s="42">
        <f>IF(E65-E34&gt;0,E65-E34,0)</f>
        <v>2394.26</v>
      </c>
      <c r="F66" s="16"/>
      <c r="G66" s="481">
        <f>ROUND(C61*0.05+C61,0)</f>
        <v>2643</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562</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2394.26</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2.208</v>
      </c>
      <c r="H71" s="488" t="str">
        <f>CONCATENATE("",E3," Fund Mill Rate")</f>
        <v>2014 Fund Mill Rate</v>
      </c>
      <c r="I71" s="570"/>
      <c r="J71" s="589"/>
      <c r="K71" s="16"/>
    </row>
    <row r="72" spans="2:11" ht="15.75">
      <c r="B72" s="18"/>
      <c r="C72" s="18"/>
      <c r="D72" s="18"/>
      <c r="E72" s="18"/>
      <c r="F72" s="591"/>
      <c r="G72" s="592">
        <f>summ!E16</f>
        <v>2.59</v>
      </c>
      <c r="H72" s="488" t="str">
        <f>CONCATENATE("",E3-1," Fund Mill Rate")</f>
        <v>2013 Fund Mill Rate</v>
      </c>
      <c r="I72" s="570"/>
      <c r="J72" s="589"/>
      <c r="K72" s="16"/>
    </row>
    <row r="73" spans="2:11" ht="15.75">
      <c r="B73" s="18"/>
      <c r="C73" s="222"/>
      <c r="D73" s="222"/>
      <c r="E73" s="222"/>
      <c r="F73" s="575"/>
      <c r="G73" s="593">
        <f>summ!H23</f>
        <v>2.208</v>
      </c>
      <c r="H73" s="488" t="str">
        <f>CONCATENATE("Total ",E3," Mill Rate")</f>
        <v>Total 2014 Mill Rate</v>
      </c>
      <c r="I73" s="570"/>
      <c r="J73" s="589"/>
      <c r="K73" s="16"/>
    </row>
    <row r="74" spans="2:11" ht="15.75">
      <c r="B74" s="138"/>
      <c r="C74" s="18" t="s">
        <v>227</v>
      </c>
      <c r="D74" s="18"/>
      <c r="E74" s="18"/>
      <c r="F74" s="575"/>
      <c r="G74" s="592">
        <f>summ!E23</f>
        <v>2.59</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Mt. Hope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2.208</v>
      </c>
      <c r="H65" s="488" t="str">
        <f>CONCATENATE("Total ",E1," Mill Rate")</f>
        <v>Total 2014 Mill Rate</v>
      </c>
      <c r="I65" s="570"/>
      <c r="J65" s="589"/>
      <c r="K65" s="597"/>
    </row>
    <row r="66" spans="6:11" ht="15.75">
      <c r="F66"/>
      <c r="G66" s="592">
        <f>summ!E23</f>
        <v>2.59</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Mt. Hope Cemetery</v>
      </c>
      <c r="C1" s="18"/>
      <c r="D1" s="18"/>
      <c r="E1" s="182"/>
    </row>
    <row r="2" spans="2:5" ht="15.75">
      <c r="B2" s="18" t="str">
        <f>inputPrYr!D4</f>
        <v>Marshall County </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2.208</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2.59</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2.208</v>
      </c>
      <c r="H86" s="488" t="str">
        <f>CONCATENATE("Total ",E3," Mill Rate")</f>
        <v>Total 2014 Mill Rate</v>
      </c>
      <c r="I86" s="570"/>
      <c r="J86" s="589"/>
      <c r="K86" s="16"/>
    </row>
    <row r="87" spans="3:11" ht="15.75" customHeight="1">
      <c r="C87" s="95">
        <f>IF(C33&gt;C35,"See Tab A","")</f>
      </c>
      <c r="D87" s="95">
        <f>IF(D33&gt;D35,"See Tab C","")</f>
      </c>
      <c r="F87" s="16"/>
      <c r="G87" s="592">
        <f>summ!E23</f>
        <v>2.59</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Mt. Hope Cemetery</v>
      </c>
      <c r="C1" s="222"/>
      <c r="D1" s="18"/>
      <c r="E1" s="182"/>
    </row>
    <row r="2" spans="2:5" ht="15.75">
      <c r="B2" s="18" t="str">
        <f>inputPrYr!D4</f>
        <v>Marshall County </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Mt. Hope Cemetery</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t="str">
        <f>inputPrYr!B30</f>
        <v>Perpetual Care fund</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v>3645.5</v>
      </c>
      <c r="C7" s="268" t="s">
        <v>239</v>
      </c>
      <c r="D7" s="267"/>
      <c r="E7" s="268" t="s">
        <v>239</v>
      </c>
      <c r="F7" s="267"/>
      <c r="G7" s="268" t="s">
        <v>239</v>
      </c>
      <c r="H7" s="267"/>
      <c r="I7" s="268" t="s">
        <v>239</v>
      </c>
      <c r="J7" s="267"/>
      <c r="K7" s="269">
        <f>SUM(B7+D7+F7+H7+J7)</f>
        <v>3645.5</v>
      </c>
    </row>
    <row r="8" spans="1:11" ht="15.75">
      <c r="A8" s="270" t="s">
        <v>127</v>
      </c>
      <c r="B8" s="271"/>
      <c r="C8" s="270" t="s">
        <v>127</v>
      </c>
      <c r="D8" s="272"/>
      <c r="E8" s="270" t="s">
        <v>127</v>
      </c>
      <c r="F8" s="255"/>
      <c r="G8" s="270" t="s">
        <v>127</v>
      </c>
      <c r="H8" s="60"/>
      <c r="I8" s="270" t="s">
        <v>127</v>
      </c>
      <c r="J8" s="60"/>
      <c r="K8" s="255"/>
    </row>
    <row r="9" spans="1:11" ht="15.75">
      <c r="A9" s="273" t="s">
        <v>798</v>
      </c>
      <c r="B9" s="267">
        <v>1000</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1000</v>
      </c>
      <c r="C17" s="270" t="s">
        <v>39</v>
      </c>
      <c r="D17" s="269">
        <f>SUM(D9:D16)</f>
        <v>0</v>
      </c>
      <c r="E17" s="270" t="s">
        <v>39</v>
      </c>
      <c r="F17" s="283">
        <f>SUM(F9:F16)</f>
        <v>0</v>
      </c>
      <c r="G17" s="270" t="s">
        <v>39</v>
      </c>
      <c r="H17" s="269">
        <f>SUM(H9:H16)</f>
        <v>0</v>
      </c>
      <c r="I17" s="270" t="s">
        <v>39</v>
      </c>
      <c r="J17" s="269">
        <f>SUM(J9:J16)</f>
        <v>0</v>
      </c>
      <c r="K17" s="269">
        <f>SUM(B17+D17+F17+H17+J17)</f>
        <v>1000</v>
      </c>
    </row>
    <row r="18" spans="1:11" ht="15.75">
      <c r="A18" s="270" t="s">
        <v>40</v>
      </c>
      <c r="B18" s="269">
        <f>SUM(B7+B17)</f>
        <v>4645.5</v>
      </c>
      <c r="C18" s="270" t="s">
        <v>40</v>
      </c>
      <c r="D18" s="269">
        <f>SUM(D7+D17)</f>
        <v>0</v>
      </c>
      <c r="E18" s="270" t="s">
        <v>40</v>
      </c>
      <c r="F18" s="269">
        <f>SUM(F7+F17)</f>
        <v>0</v>
      </c>
      <c r="G18" s="270" t="s">
        <v>40</v>
      </c>
      <c r="H18" s="269">
        <f>SUM(H7+H17)</f>
        <v>0</v>
      </c>
      <c r="I18" s="270" t="s">
        <v>40</v>
      </c>
      <c r="J18" s="269">
        <f>SUM(J7+J17)</f>
        <v>0</v>
      </c>
      <c r="K18" s="269">
        <f>SUM(B18+D18+F18+H18+J18)</f>
        <v>4645.5</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4645.5</v>
      </c>
      <c r="C29" s="270" t="s">
        <v>240</v>
      </c>
      <c r="D29" s="269">
        <f>SUM(D18-D28)</f>
        <v>0</v>
      </c>
      <c r="E29" s="270" t="s">
        <v>240</v>
      </c>
      <c r="F29" s="269">
        <f>SUM(F18-F28)</f>
        <v>0</v>
      </c>
      <c r="G29" s="270" t="s">
        <v>240</v>
      </c>
      <c r="H29" s="269">
        <f>SUM(H18-H28)</f>
        <v>0</v>
      </c>
      <c r="I29" s="270" t="s">
        <v>240</v>
      </c>
      <c r="J29" s="269">
        <f>SUM(J18-J28)</f>
        <v>0</v>
      </c>
      <c r="K29" s="284">
        <f>SUM(B29+D29+F29+H29+J29)</f>
        <v>4645.5</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4645.5</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Mt. Hope Cemetery</v>
      </c>
      <c r="B4" s="650"/>
      <c r="C4" s="650"/>
      <c r="D4" s="650"/>
      <c r="E4" s="650"/>
      <c r="F4" s="650"/>
      <c r="G4" s="650"/>
      <c r="H4" s="650"/>
    </row>
    <row r="5" spans="1:8" ht="15.75">
      <c r="A5" s="717" t="str">
        <f>inputPrYr!D4</f>
        <v>Marshall County </v>
      </c>
      <c r="B5" s="717"/>
      <c r="C5" s="717"/>
      <c r="D5" s="717"/>
      <c r="E5" s="717"/>
      <c r="F5" s="717"/>
      <c r="G5" s="717"/>
      <c r="H5" s="717"/>
    </row>
    <row r="6" spans="1:8" ht="15.75">
      <c r="A6" s="670" t="str">
        <f>CONCATENATE("will meet on ",inputBudSum!B7," at ",inputBudSum!B9," at ",inputBudSum!B11," for the purpose of hearing and")</f>
        <v>will meet on August 29, 2013 at 5:00 p.m. at 402 W. 2nd St., Frankfort, KS  66427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2318 21st Rd., Frankfort, KS  66427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6" t="str">
        <f>CONCATENATE("Estimated Value Of One Mill For ",I3,"")</f>
        <v>Estimated Value Of One Mill For 2014</v>
      </c>
      <c r="K12" s="707"/>
      <c r="L12" s="707"/>
      <c r="M12" s="708"/>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5" t="str">
        <f>CONCATENATE("Amount of ",I3-1," Ad Valorem Tax")</f>
        <v>Amount of 2013 Ad Valorem Tax</v>
      </c>
      <c r="H14" s="293" t="s">
        <v>565</v>
      </c>
      <c r="J14" s="500" t="s">
        <v>666</v>
      </c>
      <c r="K14" s="501"/>
      <c r="L14" s="501"/>
      <c r="M14" s="502">
        <f>ROUND(F27/1000,0)</f>
        <v>1085</v>
      </c>
    </row>
    <row r="15" spans="1:13" ht="15.75">
      <c r="A15" s="169" t="s">
        <v>52</v>
      </c>
      <c r="B15" s="114" t="s">
        <v>53</v>
      </c>
      <c r="C15" s="294" t="s">
        <v>197</v>
      </c>
      <c r="D15" s="114" t="s">
        <v>53</v>
      </c>
      <c r="E15" s="294" t="s">
        <v>197</v>
      </c>
      <c r="F15" s="114" t="s">
        <v>560</v>
      </c>
      <c r="G15" s="716"/>
      <c r="H15" s="294" t="s">
        <v>197</v>
      </c>
      <c r="J15" s="16"/>
      <c r="K15" s="16"/>
      <c r="L15" s="16"/>
      <c r="M15" s="16"/>
    </row>
    <row r="16" spans="1:13" ht="15.75">
      <c r="A16" s="36" t="str">
        <f>inputPrYr!B19</f>
        <v>General</v>
      </c>
      <c r="B16" s="123">
        <f>IF(gen!$C$61&lt;&gt;0,gen!$C$61,"  ")</f>
        <v>2517.49</v>
      </c>
      <c r="C16" s="622">
        <f>IF(inputPrYr!D38&gt;0,inputPrYr!D38,"  ")</f>
        <v>2.354</v>
      </c>
      <c r="D16" s="560">
        <f>IF(gen!$D$61&lt;&gt;0,gen!$D$61,"  ")</f>
        <v>2708</v>
      </c>
      <c r="E16" s="625">
        <f>IF(inputOth!D16&gt;0,inputOth!D16,"  ")</f>
        <v>2.59</v>
      </c>
      <c r="F16" s="560">
        <f>IF(gen!$E$61&lt;&gt;0,gen!$E$61,"  ")</f>
        <v>3205</v>
      </c>
      <c r="G16" s="243">
        <f>IF(gen!$E$68&lt;&gt;0,gen!$E$68,"  ")</f>
        <v>2394.26</v>
      </c>
      <c r="H16" s="622">
        <f>IF(gen!E68&gt;0,ROUND(G16/$F$27*1000,3)," ")</f>
        <v>2.208</v>
      </c>
      <c r="J16" s="706" t="str">
        <f>CONCATENATE("Want The Mill Rate The Same As For ",I3-1,"?")</f>
        <v>Want The Mill Rate The Same As For 2013?</v>
      </c>
      <c r="K16" s="709"/>
      <c r="L16" s="709"/>
      <c r="M16" s="710"/>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2.59</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414.7399999999998</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t="str">
        <f>IF((inputPrYr!$B$30&gt;" "),(NonBud!$A$3),"")</f>
        <v>Non-Budgeted Funds</v>
      </c>
      <c r="B22" s="485">
        <f>IF(NonBud!K28&gt;0,NonBud!K28,"")</f>
      </c>
      <c r="C22" s="623"/>
      <c r="D22" s="621"/>
      <c r="E22" s="626"/>
      <c r="F22" s="621"/>
      <c r="G22" s="628"/>
      <c r="H22" s="623"/>
      <c r="J22" s="511"/>
      <c r="K22" s="511"/>
      <c r="L22" s="511"/>
      <c r="M22" s="511"/>
    </row>
    <row r="23" spans="1:13" ht="15.75">
      <c r="A23" s="33" t="s">
        <v>134</v>
      </c>
      <c r="B23" s="619">
        <f>SUM(B16:B22)</f>
        <v>2517.49</v>
      </c>
      <c r="C23" s="624">
        <f aca="true" t="shared" si="0" ref="C23:H23">SUM(C16:C21)</f>
        <v>2.354</v>
      </c>
      <c r="D23" s="619">
        <f t="shared" si="0"/>
        <v>2708</v>
      </c>
      <c r="E23" s="627">
        <f t="shared" si="0"/>
        <v>2.59</v>
      </c>
      <c r="F23" s="619">
        <f t="shared" si="0"/>
        <v>3205</v>
      </c>
      <c r="G23" s="619">
        <f t="shared" si="0"/>
        <v>2394.26</v>
      </c>
      <c r="H23" s="627">
        <f t="shared" si="0"/>
        <v>2.208</v>
      </c>
      <c r="J23" s="706" t="str">
        <f>CONCATENATE("Impact On Keeping The Same Mill Rate As For ",I3-1,"")</f>
        <v>Impact On Keeping The Same Mill Rate As For 2013</v>
      </c>
      <c r="K23" s="711"/>
      <c r="L23" s="711"/>
      <c r="M23" s="712"/>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2517.49</v>
      </c>
      <c r="C25" s="296"/>
      <c r="D25" s="129">
        <f>SUM(D23-D24)</f>
        <v>2708</v>
      </c>
      <c r="E25" s="296"/>
      <c r="F25" s="484">
        <f>SUM(F23-F24)</f>
        <v>3205</v>
      </c>
      <c r="G25" s="238"/>
      <c r="H25" s="295"/>
      <c r="J25" s="503" t="str">
        <f>CONCATENATE("",I3," Ad Valorem Tax Revenue:")</f>
        <v>2014 Ad Valorem Tax Revenue:</v>
      </c>
      <c r="K25" s="498"/>
      <c r="L25" s="498"/>
      <c r="M25" s="499">
        <f>G23</f>
        <v>2394.26</v>
      </c>
    </row>
    <row r="26" spans="1:13" ht="16.5" thickTop="1">
      <c r="A26" s="33" t="s">
        <v>54</v>
      </c>
      <c r="B26" s="619">
        <f>inputPrYr!E44</f>
        <v>2416</v>
      </c>
      <c r="C26" s="215"/>
      <c r="D26" s="619">
        <f>inputPrYr!E24</f>
        <v>2419</v>
      </c>
      <c r="E26" s="215"/>
      <c r="F26" s="83" t="s">
        <v>174</v>
      </c>
      <c r="G26" s="18"/>
      <c r="H26" s="18"/>
      <c r="J26" s="503" t="str">
        <f>CONCATENATE("",I3-1," Ad Valorem Tax Revenue:")</f>
        <v>2013 Ad Valorem Tax Revenue:</v>
      </c>
      <c r="K26" s="498"/>
      <c r="L26" s="498"/>
      <c r="M26" s="512">
        <f>ROUND(F27*M18/1000,0)</f>
        <v>2809</v>
      </c>
    </row>
    <row r="27" spans="1:13" ht="15.75">
      <c r="A27" s="33" t="s">
        <v>170</v>
      </c>
      <c r="B27" s="42">
        <f>inputPrYr!E45</f>
        <v>1026132</v>
      </c>
      <c r="C27" s="215"/>
      <c r="D27" s="42">
        <f>inputOth!E24</f>
        <v>934007</v>
      </c>
      <c r="E27" s="215"/>
      <c r="F27" s="42">
        <f>inputOth!E7</f>
        <v>1084508</v>
      </c>
      <c r="G27" s="18"/>
      <c r="H27" s="18"/>
      <c r="J27" s="513" t="s">
        <v>667</v>
      </c>
      <c r="K27" s="514"/>
      <c r="L27" s="514"/>
      <c r="M27" s="502">
        <f>M25-M26</f>
        <v>-414.7399999999998</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6" t="s">
        <v>668</v>
      </c>
      <c r="K29" s="709"/>
      <c r="L29" s="709"/>
      <c r="M29" s="710"/>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2.208</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3" t="str">
        <f>inputBudSum!B3</f>
        <v>Steve Shubkagel</v>
      </c>
      <c r="B40" s="678"/>
      <c r="C40" s="99"/>
      <c r="D40" s="18"/>
      <c r="E40" s="18"/>
      <c r="F40" s="18"/>
      <c r="G40" s="18"/>
      <c r="H40" s="52"/>
    </row>
    <row r="41" spans="1:8" ht="15.75">
      <c r="A41" s="718" t="str">
        <f>inputBudSum!B5</f>
        <v>Treasurer</v>
      </c>
      <c r="B41" s="719"/>
      <c r="C41" s="18"/>
      <c r="D41" s="138" t="s">
        <v>44</v>
      </c>
      <c r="E41" s="486">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Mt. Hope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9" t="str">
        <f>CONCATENATE("",F1," Neighborhood Revitalization Rebate")</f>
        <v>2014 Neighborhood Revitalization Rebate</v>
      </c>
      <c r="C4" s="722"/>
      <c r="D4" s="722"/>
      <c r="E4" s="714"/>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v>2389</v>
      </c>
      <c r="D7" s="305">
        <f aca="true" t="shared" si="0" ref="D7:D12">IF(C7&gt;0,C7/$D$18,"")</f>
        <v>2.2028422104770087</v>
      </c>
      <c r="E7" s="120">
        <f aca="true" t="shared" si="1" ref="E7:E12">IF(C7&gt;0,ROUND(D7*$D$22,0),"")</f>
        <v>5</v>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2389</v>
      </c>
      <c r="D13" s="307">
        <f>SUM(D7:D12)</f>
        <v>2.2028422104770087</v>
      </c>
      <c r="E13" s="306">
        <f>SUM(E7:E12)</f>
        <v>5</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1084508</v>
      </c>
      <c r="E16" s="18"/>
      <c r="F16" s="52"/>
    </row>
    <row r="17" spans="1:6" ht="15.75">
      <c r="A17" s="18"/>
      <c r="B17" s="18"/>
      <c r="C17" s="18"/>
      <c r="D17" s="18"/>
      <c r="E17" s="18"/>
      <c r="F17" s="52"/>
    </row>
    <row r="18" spans="1:6" ht="15.75">
      <c r="A18" s="18"/>
      <c r="B18" s="723" t="s">
        <v>318</v>
      </c>
      <c r="C18" s="723"/>
      <c r="D18" s="309">
        <f>IF(D16&gt;0,(D16*0.001),"")</f>
        <v>1084.508</v>
      </c>
      <c r="E18" s="18"/>
      <c r="F18" s="52"/>
    </row>
    <row r="19" spans="1:6" ht="15.75">
      <c r="A19" s="18"/>
      <c r="B19" s="138"/>
      <c r="C19" s="138"/>
      <c r="D19" s="310"/>
      <c r="E19" s="18"/>
      <c r="F19" s="52"/>
    </row>
    <row r="20" spans="1:6" ht="15.75">
      <c r="A20" s="720" t="s">
        <v>316</v>
      </c>
      <c r="B20" s="714"/>
      <c r="C20" s="714"/>
      <c r="D20" s="311">
        <f>inputOth!E12</f>
        <v>2098</v>
      </c>
      <c r="E20" s="62"/>
      <c r="F20" s="62"/>
    </row>
    <row r="21" spans="1:6" ht="15">
      <c r="A21" s="62"/>
      <c r="B21" s="62"/>
      <c r="C21" s="62"/>
      <c r="D21" s="312"/>
      <c r="E21" s="62"/>
      <c r="F21" s="62"/>
    </row>
    <row r="22" spans="1:6" ht="15.75">
      <c r="A22" s="62"/>
      <c r="B22" s="720" t="s">
        <v>317</v>
      </c>
      <c r="C22" s="721"/>
      <c r="D22" s="313">
        <f>IF(D20&gt;0,(D20*0.001),"")</f>
        <v>2.098</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v>9</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5.75">
      <c r="B2" s="6"/>
      <c r="C2"/>
      <c r="D2"/>
      <c r="E2"/>
      <c r="F2"/>
      <c r="G2"/>
      <c r="H2"/>
    </row>
    <row r="3" spans="2:8" ht="15.75">
      <c r="B3" s="725" t="s">
        <v>137</v>
      </c>
      <c r="C3" s="725"/>
      <c r="D3" s="725"/>
      <c r="E3" s="725"/>
      <c r="F3" s="725"/>
      <c r="G3" s="725"/>
      <c r="H3" s="725"/>
    </row>
    <row r="4" spans="2:8" ht="15.7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Mt. Hope Cemetery District with respect to financing the 2014 annual budget for Mt. Hope Cemetery , Marshall County  , Kansas.</v>
      </c>
      <c r="C5" s="731"/>
      <c r="D5" s="731"/>
      <c r="E5" s="731"/>
      <c r="F5" s="731"/>
      <c r="G5" s="731"/>
      <c r="H5" s="731"/>
    </row>
    <row r="6" spans="2:10" ht="15.75">
      <c r="B6" s="731"/>
      <c r="C6" s="731"/>
      <c r="D6" s="731"/>
      <c r="E6" s="731"/>
      <c r="F6" s="731"/>
      <c r="G6" s="731"/>
      <c r="H6" s="731"/>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Mt. Hope Cemetery district budget exceed the amount levied to finance the</v>
      </c>
      <c r="C9"/>
      <c r="D9"/>
      <c r="E9"/>
      <c r="F9"/>
      <c r="G9"/>
      <c r="H9"/>
    </row>
    <row r="10" spans="2:8" ht="15.75">
      <c r="B10" s="12" t="str">
        <f>CONCATENATE("",inputPrYr!D6-1," ",inputPrYr!D3," except with regard to revenue produced and attributable to the")</f>
        <v>2013 Mt. Hope Cemetery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5.7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5.75">
      <c r="B18" s="12"/>
      <c r="C18"/>
      <c r="D18"/>
      <c r="E18"/>
      <c r="F18"/>
      <c r="G18"/>
      <c r="H18"/>
    </row>
    <row r="19" spans="2:8" ht="15.75">
      <c r="B19" s="12" t="str">
        <f>CONCATENATE("Whereas, ",(inputPrYr!D3)," provides essential services to district residents; and")</f>
        <v>Whereas, Mt. Hope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Mt. Hope Cemetery that is our desire to notify the public of the possibility of increased property taxes to finance the 2014 Mt. Hope Cemetery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5.75">
      <c r="B26" s="12"/>
      <c r="C26"/>
      <c r="D26"/>
      <c r="E26"/>
      <c r="F26"/>
      <c r="G26"/>
      <c r="H26"/>
    </row>
    <row r="27" spans="2:8" ht="15.75">
      <c r="B27" s="732" t="str">
        <f>CONCATENATE("Adopted this _________ day of ___________, ",inputPrYr!D6-1," by the ",(inputPrYr!D3)," District Board, ",(inputPrYr!D4),", Kansas.")</f>
        <v>Adopted this _________ day of ___________, 2013 by the Mt. Hope Cemetery District Board, Marshall County , Kansas.</v>
      </c>
      <c r="C27" s="731"/>
      <c r="D27" s="731"/>
      <c r="E27" s="731"/>
      <c r="F27" s="731"/>
      <c r="G27" s="731"/>
      <c r="H27" s="731"/>
    </row>
    <row r="28" spans="2:8" ht="15.75">
      <c r="B28" s="731"/>
      <c r="C28" s="731"/>
      <c r="D28" s="731"/>
      <c r="E28" s="731"/>
      <c r="F28" s="731"/>
      <c r="G28" s="731"/>
      <c r="H28" s="731"/>
    </row>
    <row r="29" spans="2:8" ht="15.75">
      <c r="B29" s="8"/>
      <c r="C29"/>
      <c r="D29"/>
      <c r="E29"/>
      <c r="F29"/>
      <c r="G29"/>
      <c r="H29"/>
    </row>
    <row r="30" spans="2:8" ht="15.75">
      <c r="B30" s="8"/>
      <c r="C30"/>
      <c r="D30"/>
      <c r="E30"/>
      <c r="F30"/>
      <c r="G30"/>
      <c r="H30"/>
    </row>
    <row r="31" spans="2:8" ht="15.75">
      <c r="B31" s="9" t="str">
        <f>CONCATENATE(" ",(inputPrYr!D3)," District Board")</f>
        <v> Mt. Hope Cemetery District Board</v>
      </c>
      <c r="C31"/>
      <c r="D31"/>
      <c r="E31"/>
      <c r="F31"/>
      <c r="G31"/>
      <c r="H31"/>
    </row>
    <row r="32" spans="2:8" ht="15.75">
      <c r="B32" s="8"/>
      <c r="C32"/>
      <c r="D32"/>
      <c r="E32"/>
      <c r="F32"/>
      <c r="G32"/>
      <c r="H32"/>
    </row>
    <row r="33" spans="2:8" ht="15.75">
      <c r="B33"/>
      <c r="C33"/>
      <c r="D33"/>
      <c r="E33" s="728" t="s">
        <v>138</v>
      </c>
      <c r="F33" s="728"/>
      <c r="G33" s="728"/>
      <c r="H33" s="728"/>
    </row>
    <row r="34" spans="2:8" ht="15.75">
      <c r="B34"/>
      <c r="C34"/>
      <c r="D34"/>
      <c r="E34" s="728" t="s">
        <v>141</v>
      </c>
      <c r="F34" s="728"/>
      <c r="G34" s="728"/>
      <c r="H34" s="728"/>
    </row>
    <row r="35" spans="2:8" ht="15.75">
      <c r="B35" s="8"/>
      <c r="C35"/>
      <c r="D35"/>
      <c r="E35" s="728"/>
      <c r="F35" s="728"/>
      <c r="G35" s="728"/>
      <c r="H35" s="728"/>
    </row>
    <row r="36" spans="2:8" ht="15.75">
      <c r="B36"/>
      <c r="C36"/>
      <c r="D36"/>
      <c r="E36" s="728" t="s">
        <v>138</v>
      </c>
      <c r="F36" s="728"/>
      <c r="G36" s="728"/>
      <c r="H36" s="728"/>
    </row>
    <row r="37" spans="2:8" ht="15.75">
      <c r="B37"/>
      <c r="C37"/>
      <c r="D37"/>
      <c r="E37" s="728" t="s">
        <v>142</v>
      </c>
      <c r="F37" s="728"/>
      <c r="G37" s="728"/>
      <c r="H37" s="728"/>
    </row>
    <row r="38" spans="2:8" ht="15.75">
      <c r="B38" s="8"/>
      <c r="C38"/>
      <c r="D38"/>
      <c r="E38" s="728"/>
      <c r="F38" s="728"/>
      <c r="G38" s="728"/>
      <c r="H38" s="728"/>
    </row>
    <row r="39" spans="2:8" ht="15.75">
      <c r="B39"/>
      <c r="C39"/>
      <c r="D39"/>
      <c r="E39" s="728" t="s">
        <v>138</v>
      </c>
      <c r="F39" s="728"/>
      <c r="G39" s="728"/>
      <c r="H39" s="728"/>
    </row>
    <row r="40" spans="2:8" ht="15.75">
      <c r="B40"/>
      <c r="C40"/>
      <c r="D40"/>
      <c r="E40" s="728" t="s">
        <v>143</v>
      </c>
      <c r="F40" s="728"/>
      <c r="G40" s="728"/>
      <c r="H40" s="728"/>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2">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t="s">
        <v>794</v>
      </c>
      <c r="D19" s="35">
        <v>2708</v>
      </c>
      <c r="E19" s="35">
        <v>2419</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2419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2708</v>
      </c>
      <c r="E28" s="37"/>
    </row>
    <row r="29" spans="1:5" ht="15.75">
      <c r="A29" s="18" t="s">
        <v>243</v>
      </c>
      <c r="B29" s="18"/>
      <c r="C29" s="18"/>
      <c r="D29" s="18"/>
      <c r="E29" s="37"/>
    </row>
    <row r="30" spans="1:5" ht="15.75">
      <c r="A30" s="18">
        <v>1</v>
      </c>
      <c r="B30" s="46" t="s">
        <v>795</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2.354</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2.354</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2416</v>
      </c>
    </row>
    <row r="45" spans="1:5" ht="15.75">
      <c r="A45" s="49" t="str">
        <f>CONCATENATE("Assessed Valuation (",D6-2," budget column)")</f>
        <v>Assessed Valuation (2012 budget column)</v>
      </c>
      <c r="B45" s="27"/>
      <c r="C45" s="18"/>
      <c r="D45" s="18"/>
      <c r="E45" s="51">
        <v>1026132</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0">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Mt. Hope Cemetery</v>
      </c>
      <c r="B1" s="60"/>
      <c r="C1" s="60"/>
      <c r="D1" s="60"/>
      <c r="E1" s="60">
        <f>inputPrYr!D6</f>
        <v>2014</v>
      </c>
    </row>
    <row r="2" spans="1:5" ht="15.75">
      <c r="A2" s="60" t="str">
        <f>inputPrYr!D4</f>
        <v>Marshall County </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1084508</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3096</v>
      </c>
    </row>
    <row r="10" spans="1:5" ht="15.75">
      <c r="A10" s="66" t="str">
        <f>CONCATENATE("Property that has changed in use for ",inputPrYr!D6-1,"")</f>
        <v>Property that has changed in use for 2013</v>
      </c>
      <c r="B10" s="67"/>
      <c r="C10" s="67"/>
      <c r="D10" s="67"/>
      <c r="E10" s="68">
        <v>4131</v>
      </c>
    </row>
    <row r="11" spans="1:5" ht="15.75">
      <c r="A11" s="65" t="str">
        <f>CONCATENATE("Personal Property excluding oil, gas, and mobile homes- ",inputPrYr!D6-2,"")</f>
        <v>Personal Property excluding oil, gas, and mobile homes- 2012</v>
      </c>
      <c r="B11" s="40"/>
      <c r="C11" s="40"/>
      <c r="D11" s="40"/>
      <c r="E11" s="68">
        <v>2448</v>
      </c>
    </row>
    <row r="12" spans="1:5" ht="15.75">
      <c r="A12" s="66" t="str">
        <f>CONCATENATE("Neighborhood Revitalization - ",E1,"")</f>
        <v>Neighborhood Revitalization - 2014</v>
      </c>
      <c r="B12" s="67"/>
      <c r="C12" s="67"/>
      <c r="D12" s="67"/>
      <c r="E12" s="68">
        <v>2098</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2.59</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2.59</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934007</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155.56</v>
      </c>
    </row>
    <row r="28" spans="1:5" ht="15.75">
      <c r="A28" s="66" t="s">
        <v>15</v>
      </c>
      <c r="B28" s="67"/>
      <c r="C28" s="67"/>
      <c r="D28" s="84"/>
      <c r="E28" s="35"/>
    </row>
    <row r="29" spans="1:5" ht="15.75">
      <c r="A29" s="66" t="s">
        <v>171</v>
      </c>
      <c r="B29" s="67"/>
      <c r="C29" s="67"/>
      <c r="D29" s="84"/>
      <c r="E29" s="35">
        <v>18.05</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3210</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4">
      <selection activeCell="B14" sqref="B14"/>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799</v>
      </c>
      <c r="C3" s="538"/>
      <c r="J3" s="539" t="s">
        <v>713</v>
      </c>
    </row>
    <row r="4" spans="1:10" ht="15.75">
      <c r="A4" s="339"/>
      <c r="B4" s="339"/>
      <c r="C4" s="339"/>
      <c r="D4" s="340"/>
      <c r="E4" s="339"/>
      <c r="F4" s="339"/>
      <c r="J4" s="539" t="s">
        <v>714</v>
      </c>
    </row>
    <row r="5" spans="1:10" ht="15.75">
      <c r="A5" s="537" t="s">
        <v>710</v>
      </c>
      <c r="B5" s="538" t="s">
        <v>800</v>
      </c>
      <c r="C5" s="339"/>
      <c r="D5" s="340"/>
      <c r="E5" s="339"/>
      <c r="F5" s="339"/>
      <c r="J5" s="539" t="s">
        <v>715</v>
      </c>
    </row>
    <row r="6" spans="1:10" ht="15.75">
      <c r="A6" s="339"/>
      <c r="B6" s="339"/>
      <c r="C6" s="339"/>
      <c r="D6" s="340"/>
      <c r="E6" s="339"/>
      <c r="F6" s="339"/>
      <c r="J6" s="539" t="s">
        <v>716</v>
      </c>
    </row>
    <row r="7" spans="1:10" ht="15.75">
      <c r="A7" s="341" t="s">
        <v>320</v>
      </c>
      <c r="B7" s="342" t="s">
        <v>801</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19, 2013</v>
      </c>
      <c r="E8" s="339"/>
      <c r="F8" s="339"/>
      <c r="J8" s="539" t="s">
        <v>718</v>
      </c>
    </row>
    <row r="9" spans="1:10" ht="15.75">
      <c r="A9" s="341" t="s">
        <v>321</v>
      </c>
      <c r="B9" s="342" t="s">
        <v>802</v>
      </c>
      <c r="C9" s="346"/>
      <c r="D9" s="341"/>
      <c r="E9" s="339"/>
      <c r="F9" s="339"/>
      <c r="J9" s="539" t="s">
        <v>719</v>
      </c>
    </row>
    <row r="10" spans="1:10" ht="15.75">
      <c r="A10" s="341"/>
      <c r="B10" s="341"/>
      <c r="C10" s="341"/>
      <c r="D10" s="341"/>
      <c r="E10" s="339"/>
      <c r="F10" s="339"/>
      <c r="J10" s="539" t="s">
        <v>720</v>
      </c>
    </row>
    <row r="11" spans="1:10" ht="15.75">
      <c r="A11" s="341" t="s">
        <v>322</v>
      </c>
      <c r="B11" s="347" t="s">
        <v>803</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804</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41505</v>
      </c>
    </row>
    <row r="21" spans="1:7" ht="15.75">
      <c r="A21" s="341" t="s">
        <v>321</v>
      </c>
      <c r="B21" s="341" t="s">
        <v>326</v>
      </c>
      <c r="C21" s="341"/>
      <c r="D21" s="341"/>
      <c r="E21" s="341"/>
      <c r="G21" s="543">
        <f>IF(B7="","",MONTH(G20))</f>
        <v>8</v>
      </c>
    </row>
    <row r="22" spans="1:7" ht="15.75">
      <c r="A22" s="341"/>
      <c r="B22" s="341"/>
      <c r="C22" s="341"/>
      <c r="D22" s="341"/>
      <c r="E22" s="341"/>
      <c r="G22" s="544">
        <f>IF(B7="","",DAY(G20))</f>
        <v>19</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4">
      <selection activeCell="O25" sqref="O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2014</v>
      </c>
    </row>
    <row r="4" spans="1:7" ht="15.75">
      <c r="A4" s="670" t="str">
        <f>CONCATENATE("To the Clerk of ",inputPrYr!D4,", State of Kansas")</f>
        <v>To the Clerk of Marshall County , State of Kansas</v>
      </c>
      <c r="B4" s="670"/>
      <c r="C4" s="670"/>
      <c r="D4" s="670"/>
      <c r="E4" s="670"/>
      <c r="F4" s="670"/>
      <c r="G4" s="670"/>
    </row>
    <row r="5" spans="1:7" ht="15.75">
      <c r="A5" s="97" t="s">
        <v>156</v>
      </c>
      <c r="B5" s="24"/>
      <c r="C5" s="24"/>
      <c r="D5" s="24"/>
      <c r="E5" s="24"/>
      <c r="F5" s="24"/>
      <c r="G5" s="24"/>
    </row>
    <row r="6" spans="1:7" ht="15.75">
      <c r="A6" s="650" t="str">
        <f>inputPrYr!D3</f>
        <v>Mt. Hope Cemetery</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71" t="str">
        <f>CONCATENATE("",G3," Adopted Budget")</f>
        <v>2014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2013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15-1015</v>
      </c>
      <c r="D23" s="120">
        <v>6</v>
      </c>
      <c r="E23" s="558">
        <f>IF(gen!$E$61&lt;&gt;0,gen!$E$61,"  ")</f>
        <v>3205</v>
      </c>
      <c r="F23" s="558">
        <f>IF(gen!$E$68&lt;&gt;0,gen!$E$68,"  ")</f>
        <v>2394.26</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t="str">
        <f>IF((inputPrYr!$B$30&gt;" "),(NonBud!$A$3),"")</f>
        <v>Non-Budgeted Funds</v>
      </c>
      <c r="B29" s="125"/>
      <c r="C29" s="103"/>
      <c r="D29" s="120">
        <f>IF(NonBud!F33&gt;0,NonBud!F33,"")</f>
        <v>7</v>
      </c>
      <c r="E29" s="561"/>
      <c r="F29" s="562"/>
      <c r="G29" s="563"/>
    </row>
    <row r="30" spans="1:7" ht="15.75">
      <c r="A30" s="127" t="s">
        <v>134</v>
      </c>
      <c r="B30" s="67"/>
      <c r="C30" s="116"/>
      <c r="D30" s="128" t="s">
        <v>28</v>
      </c>
      <c r="E30" s="564">
        <f>SUM(E23:E28)</f>
        <v>3205</v>
      </c>
      <c r="F30" s="565">
        <f>SUM(F23:F28)</f>
        <v>2394.26</v>
      </c>
      <c r="G30" s="566">
        <f>IF(SUM(G23:G28)=0,"",SUM(G23:G28))</f>
      </c>
    </row>
    <row r="31" spans="1:7" ht="15.75">
      <c r="A31" s="119" t="s">
        <v>204</v>
      </c>
      <c r="B31" s="67"/>
      <c r="C31" s="116"/>
      <c r="D31" s="131">
        <f>summ!E41</f>
        <v>8</v>
      </c>
      <c r="E31" s="135" t="s">
        <v>199</v>
      </c>
      <c r="F31" s="383" t="str">
        <f>IF(F30&gt;computation!J34,"Yes","No")</f>
        <v>No</v>
      </c>
      <c r="G31" s="384" t="s">
        <v>136</v>
      </c>
    </row>
    <row r="32" spans="1:7" ht="15.75">
      <c r="A32" s="119" t="s">
        <v>219</v>
      </c>
      <c r="B32" s="133"/>
      <c r="C32" s="134"/>
      <c r="D32" s="131">
        <f>IF(Nhood!C35=0,"",Nhood!C35)</f>
        <v>9</v>
      </c>
      <c r="E32" s="382"/>
      <c r="F32" s="69"/>
      <c r="G32" s="140"/>
    </row>
    <row r="33" spans="1:7" ht="15.75">
      <c r="A33" s="136" t="s">
        <v>198</v>
      </c>
      <c r="B33" s="67"/>
      <c r="C33" s="116"/>
      <c r="D33" s="131">
        <f>IF(Resolution!E45=0,"",Resolution!E45)</f>
      </c>
      <c r="E33" s="60"/>
      <c r="F33" s="69"/>
      <c r="G33" s="675" t="str">
        <f>CONCATENATE("Nov. 1, ",G3-1," Total Assessed Valuation")</f>
        <v>Nov. 1, 2013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5.75">
      <c r="A38" s="20" t="s">
        <v>564</v>
      </c>
      <c r="B38" s="69"/>
      <c r="C38" s="69"/>
      <c r="D38" s="69"/>
      <c r="E38" s="553"/>
      <c r="F38" s="69"/>
      <c r="G38" s="69"/>
    </row>
    <row r="39" spans="1:7" ht="15.75">
      <c r="A39" s="520"/>
      <c r="B39" s="520"/>
      <c r="C39" s="69"/>
      <c r="D39" s="69" t="s">
        <v>729</v>
      </c>
      <c r="E39" s="554"/>
      <c r="F39" s="554"/>
      <c r="G39" s="69"/>
    </row>
    <row r="40" spans="1:7" ht="15.7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7"/>
      <c r="B49" s="678"/>
      <c r="C49" s="18"/>
      <c r="D49" s="69" t="s">
        <v>729</v>
      </c>
      <c r="E49" s="69"/>
      <c r="F49" s="69"/>
      <c r="G49" s="69"/>
    </row>
    <row r="50" spans="1:7" ht="15.7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Mt. Hope Cemetery</v>
      </c>
      <c r="D1" s="18"/>
      <c r="E1" s="18"/>
      <c r="F1" s="18"/>
      <c r="G1" s="18"/>
      <c r="H1" s="18"/>
      <c r="I1" s="18"/>
      <c r="J1" s="18">
        <f>inputPrYr!D6</f>
        <v>2014</v>
      </c>
    </row>
    <row r="2" spans="1:10" ht="15.75" customHeight="1">
      <c r="A2" s="18"/>
      <c r="B2" s="18"/>
      <c r="C2" s="18" t="str">
        <f>inputPrYr!D4</f>
        <v>Marshall County </v>
      </c>
      <c r="D2" s="18"/>
      <c r="E2" s="18"/>
      <c r="F2" s="18"/>
      <c r="G2" s="18"/>
      <c r="H2" s="18"/>
      <c r="I2" s="18"/>
      <c r="J2" s="18"/>
    </row>
    <row r="3" spans="1:10" ht="15.75">
      <c r="A3" s="652" t="str">
        <f>CONCATENATE("Computation to Determine Limit for ",J1,"")</f>
        <v>Computation to Determine Limit for 2014</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2419</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2419</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3096</v>
      </c>
      <c r="F14" s="146"/>
      <c r="G14" s="37"/>
      <c r="H14" s="37"/>
      <c r="I14" s="149"/>
      <c r="J14" s="37"/>
    </row>
    <row r="15" spans="1:10" ht="15.75">
      <c r="A15" s="145"/>
      <c r="B15" s="18" t="s">
        <v>99</v>
      </c>
      <c r="C15" s="18" t="str">
        <f>CONCATENATE("Personal Property ",J1-2,"")</f>
        <v>Personal Property 2012</v>
      </c>
      <c r="D15" s="145" t="s">
        <v>95</v>
      </c>
      <c r="E15" s="41">
        <f>inputOth!E11</f>
        <v>2448</v>
      </c>
      <c r="F15" s="146"/>
      <c r="G15" s="149"/>
      <c r="H15" s="149"/>
      <c r="I15" s="37"/>
      <c r="J15" s="37"/>
    </row>
    <row r="16" spans="1:10" ht="15.75">
      <c r="A16" s="145"/>
      <c r="B16" s="18" t="s">
        <v>100</v>
      </c>
      <c r="C16" s="18" t="s">
        <v>114</v>
      </c>
      <c r="D16" s="18"/>
      <c r="E16" s="37"/>
      <c r="F16" s="37" t="s">
        <v>92</v>
      </c>
      <c r="G16" s="148">
        <f>IF(E14&gt;E15,E14-E15,0)</f>
        <v>648</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4131</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4779</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1084508</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1079729</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0.004426110625907057</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11</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2430</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2430</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Mt. Hope Cemetery</v>
      </c>
      <c r="C1" s="18"/>
      <c r="D1" s="18"/>
      <c r="E1" s="18"/>
      <c r="F1" s="18"/>
      <c r="G1" s="18"/>
      <c r="H1" s="18"/>
      <c r="I1" s="155"/>
      <c r="J1" s="18"/>
    </row>
    <row r="2" spans="1:10" ht="15.75">
      <c r="A2" s="18"/>
      <c r="B2" s="18" t="str">
        <f>inputPrYr!D4</f>
        <v>Marshall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71"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2419</v>
      </c>
      <c r="D11" s="123">
        <f>IF(E17=0,0,E17-D12-D13-D14)</f>
        <v>155.56</v>
      </c>
      <c r="E11" s="123">
        <f>IF(E19=0,0,E19-E12-E13-E14)</f>
        <v>0</v>
      </c>
      <c r="F11" s="123">
        <f>IF(E21=0,0,E21-F12-F13-F14)</f>
        <v>18.05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2419</v>
      </c>
      <c r="D15" s="130">
        <f>SUM(D11:D14)</f>
        <v>155.56</v>
      </c>
      <c r="E15" s="130">
        <f>SUM(E11:E14)</f>
        <v>0</v>
      </c>
      <c r="F15" s="203">
        <f>SUM(F11:F14)</f>
        <v>18.05</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155.56</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0</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18.05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0.06430756510954941</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0.007461761058288549</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Mt. Hope Cemetery</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Sonya Stohs</cp:lastModifiedBy>
  <cp:lastPrinted>2012-05-29T21:21:55Z</cp:lastPrinted>
  <dcterms:created xsi:type="dcterms:W3CDTF">1999-08-06T13:59:57Z</dcterms:created>
  <dcterms:modified xsi:type="dcterms:W3CDTF">2013-07-26T19:32:45Z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