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<sst xmlns="http://schemas.openxmlformats.org/spreadsheetml/2006/main" count="1115" uniqueCount="750">
  <si>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</si>
  <si>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</si>
  <si>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</si>
  <si>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</si>
  <si>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</si>
  <si>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</si>
  <si>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</si>
  <si>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</si>
  <si>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</si>
  <si>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</si>
  <si>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</si>
  <si>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</si>
  <si>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</si>
  <si>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</si>
  <si>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</si>
  <si>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</si>
  <si>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</si>
  <si>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</si>
  <si>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</si>
  <si>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</si>
  <si>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</si>
  <si>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</si>
  <si>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</si>
  <si>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</si>
  <si>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</si>
  <si>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</si>
  <si>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</si>
  <si>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</si>
  <si>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</si>
  <si>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</si>
  <si>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</si>
  <si>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</si>
  <si>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</si>
  <si>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</si>
  <si>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</si>
  <si>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</si>
  <si>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</si>
  <si>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</si>
  <si>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</si>
  <si>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</si>
  <si>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</si>
  <si>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</si>
  <si>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</si>
  <si>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</si>
  <si>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</si>
  <si>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</si>
  <si>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</si>
  <si>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</si>
  <si>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</si>
  <si>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</si>
  <si>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</si>
  <si>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</si>
  <si>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</si>
  <si>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</si>
  <si>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</si>
  <si>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</si>
  <si>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</si>
  <si>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</si>
  <si>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</si>
  <si>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</si>
  <si>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</si>
  <si>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</si>
  <si>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</si>
  <si>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</si>
  <si>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</si>
  <si>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</si>
  <si>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</si>
  <si>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</si>
  <si>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</si>
  <si>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</si>
  <si>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</si>
  <si>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</si>
  <si>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</si>
  <si>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</si>
  <si>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</si>
  <si>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</si>
  <si>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</si>
  <si>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</si>
  <si>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</si>
  <si>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</si>
  <si>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</si>
  <si>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</si>
  <si>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</si>
  <si>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</si>
  <si>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</si>
  <si>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</si>
  <si>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</si>
  <si>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</si>
  <si>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</si>
  <si>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</si>
  <si>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</si>
  <si>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</si>
  <si>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</si>
  <si>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</si>
  <si>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</si>
  <si>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</si>
  <si>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</si>
  <si>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</si>
  <si>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</si>
  <si>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</si>
  <si>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</si>
  <si>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</si>
  <si>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</si>
  <si>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</si>
  <si>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</si>
  <si>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</si>
  <si>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</si>
  <si>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</si>
  <si>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</si>
  <si>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</si>
  <si>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</si>
  <si>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</si>
  <si>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</si>
  <si>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</si>
  <si>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</si>
  <si>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</si>
  <si>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</si>
  <si>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</si>
  <si>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</si>
  <si>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</si>
  <si>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</si>
  <si>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</si>
  <si>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</si>
  <si>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</si>
  <si>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</si>
  <si>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</si>
  <si>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</si>
  <si>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</si>
  <si>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</si>
  <si>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</si>
  <si>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</si>
  <si>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</si>
  <si>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</si>
  <si>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</si>
  <si>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</si>
  <si>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</si>
  <si>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</si>
  <si>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</si>
  <si>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</si>
  <si>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</si>
  <si>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</si>
  <si>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</si>
  <si>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</si>
  <si>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</si>
  <si>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</si>
  <si>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</si>
  <si>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</si>
  <si>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</si>
  <si>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</si>
  <si>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</si>
  <si>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</si>
  <si>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</si>
  <si>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</si>
  <si>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</si>
  <si>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</si>
  <si>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</si>
  <si>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</si>
  <si>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</si>
  <si>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</si>
  <si>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</si>
  <si>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</si>
  <si>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</si>
  <si>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</si>
  <si>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</si>
  <si>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</si>
  <si>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</si>
  <si>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</si>
  <si>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</si>
  <si>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</si>
  <si>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</si>
  <si>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</si>
  <si>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</si>
  <si>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</si>
  <si>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</si>
  <si>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</si>
  <si>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</si>
  <si>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</si>
  <si>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</si>
  <si>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</si>
  <si>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</si>
  <si>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</si>
  <si>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</si>
  <si>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</si>
  <si>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</si>
  <si>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</si>
  <si>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</si>
  <si>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</si>
  <si>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</si>
  <si>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</si>
  <si>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</si>
  <si>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</si>
  <si>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</si>
  <si>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</si>
  <si>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</si>
  <si>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</si>
  <si>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</si>
  <si>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</si>
  <si>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</si>
  <si>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</si>
  <si>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</si>
  <si>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</si>
  <si>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</si>
  <si>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</si>
  <si>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</si>
  <si>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</si>
  <si>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</si>
  <si>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</si>
  <si>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</si>
  <si>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</si>
  <si>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</si>
  <si>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</si>
  <si>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</si>
  <si>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</si>
  <si>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</si>
  <si>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</si>
  <si>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</si>
  <si>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</si>
  <si>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</si>
  <si>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</si>
  <si>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</si>
  <si>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</si>
  <si>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</si>
  <si>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</si>
  <si>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</si>
  <si>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</si>
  <si>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</si>
  <si>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</si>
  <si>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</si>
  <si>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</si>
  <si>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</si>
  <si>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</si>
  <si>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</si>
  <si>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</si>
  <si>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</si>
  <si>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</si>
  <si>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</si>
  <si>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</si>
  <si>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</si>
  <si>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</si>
  <si>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</si>
  <si>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</si>
  <si>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</si>
  <si>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</si>
  <si>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</si>
  <si>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</si>
  <si>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</si>
  <si>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</si>
  <si>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</si>
  <si>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</si>
  <si>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</si>
  <si>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</si>
  <si>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</si>
  <si>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</si>
  <si>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</si>
  <si>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</si>
  <si>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</si>
  <si>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</si>
  <si>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</si>
  <si>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</si>
  <si>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</si>
  <si>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</si>
  <si>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</si>
  <si>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</si>
  <si>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</si>
  <si>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</si>
  <si>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</si>
  <si>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</si>
  <si>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</si>
  <si>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</si>
  <si>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</si>
  <si>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</si>
  <si>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</si>
  <si>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</si>
  <si>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</si>
  <si>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</si>
  <si>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</si>
  <si>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</si>
  <si>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</si>
  <si>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</si>
  <si>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</si>
  <si>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</si>
  <si>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</si>
  <si>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</si>
  <si>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</si>
  <si>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</si>
  <si>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</si>
  <si>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</si>
  <si>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</si>
  <si>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</si>
  <si>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</si>
  <si>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</si>
  <si>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</si>
  <si>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</si>
  <si>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</si>
  <si>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</si>
  <si>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</si>
  <si>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</si>
  <si>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</si>
  <si>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</si>
  <si>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</si>
  <si>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</si>
  <si>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</si>
  <si>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</si>
  <si>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</si>
  <si>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</si>
  <si>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</si>
  <si>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</si>
  <si>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</si>
  <si>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</si>
  <si>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</si>
  <si>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</si>
  <si>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</si>
  <si>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</si>
  <si>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</si>
  <si>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</si>
  <si>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</si>
  <si>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</si>
  <si>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</si>
  <si>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</si>
  <si>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</si>
  <si>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</si>
  <si>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</si>
  <si>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</si>
  <si>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</si>
  <si>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</si>
  <si>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</si>
  <si>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</si>
  <si>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</si>
  <si>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</si>
  <si>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</si>
  <si>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</si>
  <si>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</si>
  <si>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</si>
  <si>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</si>
  <si>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</si>
  <si>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</si>
  <si>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</si>
  <si>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</si>
  <si>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</si>
  <si>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</si>
  <si>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</si>
  <si>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</si>
  <si>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</si>
  <si>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</si>
  <si>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</si>
  <si>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</si>
  <si>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</si>
  <si>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</si>
  <si>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</si>
  <si>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</si>
  <si>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</si>
  <si>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</si>
  <si>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</si>
  <si>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</si>
  <si>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</si>
  <si>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</si>
  <si>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</si>
  <si>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</si>
  <si>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</si>
  <si>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</si>
  <si>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</si>
  <si>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</si>
  <si>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</si>
  <si>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</si>
  <si>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</si>
  <si>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</si>
  <si>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</si>
  <si>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</si>
  <si>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</si>
  <si>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</si>
  <si>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</si>
  <si>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</si>
  <si>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</si>
  <si>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</si>
  <si>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</si>
  <si>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</si>
  <si>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</si>
  <si>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</si>
  <si>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</si>
  <si>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</si>
  <si>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</si>
  <si>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</si>
  <si>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</si>
  <si>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</si>
  <si>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</si>
  <si>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</si>
  <si>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</si>
  <si>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</si>
  <si>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</si>
  <si>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</si>
  <si>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</si>
  <si>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</si>
  <si>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</si>
  <si>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</si>
  <si>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</si>
  <si>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</si>
  <si>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</si>
  <si>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</si>
  <si>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</si>
  <si>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</si>
  <si>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</si>
  <si>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</si>
  <si>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</si>
  <si>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</si>
  <si>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</si>
  <si>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</si>
  <si>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</si>
  <si>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</si>
  <si>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</si>
  <si>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</si>
  <si>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</si>
  <si>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</si>
  <si>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</si>
  <si>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</si>
  <si>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</si>
  <si>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</si>
  <si>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</si>
  <si>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</si>
  <si>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</si>
  <si>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</si>
  <si>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</si>
  <si>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</si>
  <si>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</si>
  <si>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</si>
  <si>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</si>
  <si>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</si>
  <si>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</si>
  <si>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</si>
  <si>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</si>
  <si>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</si>
  <si>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</si>
  <si>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</si>
  <si>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</si>
  <si>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</si>
  <si>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</si>
  <si>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</si>
  <si>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</si>
  <si>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</si>
  <si>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</si>
  <si>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</si>
  <si>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</si>
  <si>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</si>
  <si>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</si>
  <si>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</si>
  <si>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</si>
  <si>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</si>
  <si>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</si>
  <si>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</si>
  <si>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</si>
  <si>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</si>
  <si>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</si>
  <si>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</si>
  <si>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</si>
  <si>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</si>
  <si>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</si>
  <si>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</si>
  <si>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</si>
  <si>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</si>
  <si>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</si>
  <si>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</si>
  <si>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</si>
  <si>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</si>
  <si>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</si>
  <si>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</si>
  <si>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</si>
  <si>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</si>
  <si>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</si>
  <si>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</si>
  <si>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</si>
  <si>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</si>
  <si>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</si>
  <si>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</si>
  <si>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</si>
  <si>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</si>
  <si>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</si>
  <si>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</si>
  <si>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</si>
  <si>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</si>
  <si>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</si>
  <si>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</si>
  <si>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</si>
  <si>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</si>
  <si>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</si>
  <si>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</si>
  <si>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</si>
  <si>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</si>
  <si>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</si>
  <si>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</si>
  <si>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</si>
  <si>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</si>
  <si>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</si>
  <si>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</si>
  <si>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</si>
  <si>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</si>
  <si>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</si>
  <si>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</si>
  <si>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</si>
  <si>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</si>
  <si>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</si>
  <si>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</si>
  <si>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</si>
  <si>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</si>
  <si>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</si>
  <si>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</si>
  <si>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</si>
  <si>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</si>
  <si>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</si>
  <si>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</si>
  <si>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</si>
  <si>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</si>
  <si>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</si>
  <si>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</si>
  <si>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</si>
  <si>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</si>
  <si>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</si>
  <si>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</si>
  <si>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</si>
  <si>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</si>
  <si>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</si>
  <si>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</si>
  <si>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</si>
  <si>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</si>
  <si>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</si>
  <si>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</si>
  <si>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</si>
  <si>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</si>
  <si>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</si>
  <si>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</si>
  <si>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</si>
  <si>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</si>
  <si>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</si>
  <si>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</si>
  <si>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</si>
  <si>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</si>
  <si>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</si>
  <si>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</si>
  <si>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</si>
  <si>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</si>
  <si>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</si>
  <si>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</si>
  <si>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</si>
  <si>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</si>
  <si>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</si>
  <si>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</si>
  <si>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</si>
  <si>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</si>
  <si>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</si>
  <si>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</si>
  <si>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</si>
  <si>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</si>
  <si>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</si>
  <si>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</si>
  <si>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</si>
  <si>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</si>
  <si>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</si>
  <si>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</si>
  <si>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</si>
  <si>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</si>
  <si>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</si>
  <si>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</si>
  <si>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</si>
  <si>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</si>
  <si>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</si>
  <si>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</si>
  <si>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</si>
  <si>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</si>
  <si>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</si>
  <si>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</si>
  <si>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</si>
  <si>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</si>
  <si>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</si>
  <si>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</si>
  <si>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</si>
  <si>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</si>
  <si>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</si>
  <si>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</si>
  <si>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</si>
  <si>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</si>
  <si>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</si>
  <si>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</si>
  <si>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</si>
  <si>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</si>
  <si>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</si>
  <si>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</si>
  <si>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</si>
  <si>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</si>
  <si>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</si>
  <si>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</si>
  <si>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</si>
  <si>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</si>
  <si>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</si>
  <si>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</si>
  <si>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</si>
  <si>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</si>
  <si>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</si>
  <si>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</si>
  <si>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</si>
  <si>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</si>
  <si>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</si>
  <si>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</si>
  <si>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</si>
  <si>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</si>
  <si>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</si>
  <si>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</si>
  <si>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</si>
  <si>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</si>
  <si>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</si>
  <si>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</si>
  <si>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</si>
  <si>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</si>
  <si>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</si>
  <si>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</si>
  <si>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</si>
  <si>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</si>
  <si>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</si>
  <si>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</si>
  <si>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</si>
  <si>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</si>
  <si>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</si>
  <si>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</si>
  <si>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</si>
  <si>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</si>
  <si>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</si>
  <si>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</si>
  <si>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</si>
  <si>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</si>
  <si>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</si>
  <si>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</si>
  <si>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</si>
  <si>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</si>
  <si>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</si>
  <si>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</si>
  <si>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</si>
  <si>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</si>
  <si>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</si>
  <si>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</si>
  <si>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</si>
  <si>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</si>
  <si>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</si>
  <si>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</si>
  <si>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</si>
  <si>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</si>
  <si>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</si>
  <si>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</si>
  <si>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</si>
  <si>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</si>
  <si>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</si>
  <si>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</si>
  <si>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</si>
  <si>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</si>
  <si>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</si>
  <si>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</si>
  <si>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</si>
  <si>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</si>
  <si>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</si>
  <si>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</si>
  <si>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</si>
  <si>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</si>
  <si>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</si>
  <si>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</si>
  <si>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</si>
  <si>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</si>
  <si>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</si>
  <si>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</si>
  <si>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</si>
  <si>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</si>
  <si>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</si>
  <si>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</si>
  <si>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</si>
  <si>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</si>
  <si>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</si>
  <si>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</si>
  <si>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</si>
  <si>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</si>
  <si>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</si>
  <si>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</si>
  <si>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</si>
  <si>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</si>
  <si>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</si>
  <si>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</si>
  <si>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</si>
  <si>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</si>
  <si>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</si>
  <si>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</si>
  <si>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</si>
  <si>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</si>
  <si>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</si>
  <si>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</si>
  <si>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</si>
  <si>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</si>
  <si>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</si>
  <si>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</si>
  <si>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</si>
  <si>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</si>
  <si>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</si>
  <si>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</si>
  <si>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</si>
  <si>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</si>
  <si>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</si>
  <si>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</si>
  <si>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</si>
  <si>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</si>
  <si>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</si>
  <si>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</si>
  <si>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</si>
  <si>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</si>
  <si>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</si>
  <si>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</si>
  <si>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</si>
  <si>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</si>
  <si>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</si>
  <si>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</si>
  <si>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</si>
  <si>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</si>
  <si>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</si>
  <si>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</si>
  <si>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</si>
  <si>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</si>
  <si>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</si>
  <si>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</si>
  <si>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</si>
  <si>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</si>
  <si>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</si>
  <si>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</si>
  <si>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</si>
  <si>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</si>
  <si>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</si>
  <si>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</si>
  <si>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</si>
  <si>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</si>
  <si>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</si>
  <si>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</si>
  <si>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</si>
  <si>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</si>
  <si>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</si>
  <si>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</si>
  <si>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</si>
  <si>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</si>
  <si>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</si>
  <si>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</si>
  <si>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</si>
  <si>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</si>
  <si>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</si>
  <si>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Transfer to Equipment Fund</t>
  </si>
  <si>
    <t>SUMNER COUNTY</t>
  </si>
  <si>
    <t>19-3610</t>
  </si>
  <si>
    <t>FIRE DISTRICT # 7</t>
  </si>
  <si>
    <t>Equipment</t>
  </si>
  <si>
    <t>Transfer from General Fund</t>
  </si>
  <si>
    <t>RESOLUTION NO.________1__________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</si>
</sst>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182</v>
      </c>
    </row>
    <row r="4" ht="15.75">
      <c r="A4" s="350"/>
    </row>
    <row r="5" ht="15.75">
      <c r="A5" s="350" t="s">
        <v>236</v>
      </c>
    </row>
    <row r="6" ht="15.75">
      <c r="A6" s="350"/>
    </row>
    <row r="7" ht="57.75" customHeight="1">
      <c r="A7" s="351" t="s">
        <v>275</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276</v>
      </c>
    </row>
    <row r="16" ht="15.75">
      <c r="A16" s="352" t="s">
        <v>5</v>
      </c>
    </row>
    <row r="17" ht="15.75">
      <c r="A17" s="153"/>
    </row>
    <row r="18" ht="15.75">
      <c r="A18" s="273" t="s">
        <v>226</v>
      </c>
    </row>
    <row r="19" ht="17.25" customHeight="1">
      <c r="A19" s="353" t="s">
        <v>132</v>
      </c>
    </row>
    <row r="20" ht="24.75" customHeight="1">
      <c r="A20" s="354" t="s">
        <v>131</v>
      </c>
    </row>
    <row r="21" ht="52.5" customHeight="1">
      <c r="A21" s="355" t="s">
        <v>133</v>
      </c>
    </row>
    <row r="22" ht="20.25" customHeight="1">
      <c r="A22" s="356" t="s">
        <v>183</v>
      </c>
    </row>
    <row r="23" s="357" customFormat="1" ht="20.25" customHeight="1">
      <c r="A23" s="308" t="s">
        <v>230</v>
      </c>
    </row>
    <row r="24" ht="21" customHeight="1">
      <c r="A24" s="353" t="s">
        <v>79</v>
      </c>
    </row>
    <row r="25" ht="15.75">
      <c r="A25" s="153"/>
    </row>
    <row r="26" ht="15.75">
      <c r="A26" s="358" t="s">
        <v>6</v>
      </c>
    </row>
    <row r="28" ht="21" customHeight="1">
      <c r="A28" s="341" t="s">
        <v>150</v>
      </c>
    </row>
    <row r="30" ht="71.25" customHeight="1">
      <c r="A30" s="341" t="s">
        <v>710</v>
      </c>
    </row>
    <row r="31" ht="49.5" customHeight="1">
      <c r="A31" s="359" t="s">
        <v>229</v>
      </c>
    </row>
    <row r="32" ht="73.5" customHeight="1">
      <c r="A32" s="390" t="s">
        <v>540</v>
      </c>
    </row>
    <row r="33" ht="69.75" customHeight="1">
      <c r="A33" s="391" t="s">
        <v>541</v>
      </c>
    </row>
    <row r="35" ht="71.25" customHeight="1">
      <c r="A35" s="341" t="s">
        <v>711</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54" t="s">
        <v>712</v>
      </c>
    </row>
    <row r="60" ht="53.25" customHeight="1">
      <c r="A60" s="554" t="s">
        <v>713</v>
      </c>
    </row>
    <row r="61" ht="53.25" customHeight="1">
      <c r="A61" s="555" t="s">
        <v>714</v>
      </c>
    </row>
    <row r="62" ht="68.25" customHeight="1">
      <c r="A62" s="554" t="s">
        <v>715</v>
      </c>
    </row>
    <row r="63" ht="69" customHeight="1">
      <c r="A63" s="341" t="s">
        <v>716</v>
      </c>
    </row>
    <row r="64" ht="90" customHeight="1">
      <c r="A64" s="341" t="s">
        <v>717</v>
      </c>
    </row>
    <row r="65" ht="113.25" customHeight="1">
      <c r="A65" s="361" t="s">
        <v>718</v>
      </c>
    </row>
    <row r="66" ht="105.75" customHeight="1">
      <c r="A66" s="362" t="s">
        <v>719</v>
      </c>
    </row>
    <row r="67" ht="77.25" customHeight="1">
      <c r="A67" s="363" t="s">
        <v>720</v>
      </c>
    </row>
    <row r="68" ht="91.5" customHeight="1">
      <c r="A68" s="341" t="s">
        <v>721</v>
      </c>
    </row>
    <row r="69" ht="113.25" customHeight="1">
      <c r="A69" s="364" t="s">
        <v>722</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54" t="s">
        <v>723</v>
      </c>
    </row>
    <row r="79" s="341" customFormat="1" ht="88.5" customHeight="1">
      <c r="A79" s="554" t="s">
        <v>724</v>
      </c>
    </row>
    <row r="80" s="341" customFormat="1" ht="43.5" customHeight="1">
      <c r="A80" s="341" t="s">
        <v>725</v>
      </c>
    </row>
    <row r="81" s="341" customFormat="1" ht="54" customHeight="1">
      <c r="A81" s="341" t="s">
        <v>726</v>
      </c>
    </row>
    <row r="83" s="341" customFormat="1" ht="33.75" customHeight="1">
      <c r="A83" s="341" t="s">
        <v>562</v>
      </c>
    </row>
    <row r="85" ht="21.75" customHeight="1">
      <c r="A85" s="341" t="s">
        <v>563</v>
      </c>
    </row>
    <row r="87" ht="49.5" customHeight="1">
      <c r="A87" s="554" t="s">
        <v>727</v>
      </c>
    </row>
    <row r="88" ht="81.75" customHeight="1">
      <c r="A88" s="554" t="s">
        <v>728</v>
      </c>
    </row>
    <row r="89" ht="97.5" customHeight="1">
      <c r="A89" s="554" t="s">
        <v>729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 7</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A25">
      <selection activeCell="D29" sqref="D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7</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2618</v>
      </c>
      <c r="D7" s="404">
        <f>C51</f>
        <v>3694.5099999999948</v>
      </c>
      <c r="E7" s="47">
        <f>D51</f>
        <v>3695.5099999999948</v>
      </c>
    </row>
    <row r="8" spans="2:5" ht="15.75">
      <c r="B8" s="246" t="s">
        <v>130</v>
      </c>
      <c r="C8" s="247"/>
      <c r="D8" s="247"/>
      <c r="E8" s="128"/>
    </row>
    <row r="9" spans="2:5" ht="15.75">
      <c r="B9" s="122" t="s">
        <v>33</v>
      </c>
      <c r="C9" s="397">
        <v>28360</v>
      </c>
      <c r="D9" s="404">
        <f>inputPrYr!E19</f>
        <v>31547</v>
      </c>
      <c r="E9" s="135" t="s">
        <v>28</v>
      </c>
    </row>
    <row r="10" spans="2:5" ht="15.75">
      <c r="B10" s="122" t="s">
        <v>34</v>
      </c>
      <c r="C10" s="397">
        <f>326.3+109.05</f>
        <v>435.35</v>
      </c>
      <c r="D10" s="397"/>
      <c r="E10" s="209"/>
    </row>
    <row r="11" spans="2:5" ht="15.75">
      <c r="B11" s="122" t="s">
        <v>35</v>
      </c>
      <c r="C11" s="397">
        <v>1847.98</v>
      </c>
      <c r="D11" s="397">
        <v>2337</v>
      </c>
      <c r="E11" s="47">
        <f>mvalloc!D11</f>
        <v>2484</v>
      </c>
    </row>
    <row r="12" spans="2:5" ht="15.75">
      <c r="B12" s="122" t="s">
        <v>36</v>
      </c>
      <c r="C12" s="397">
        <v>17.12</v>
      </c>
      <c r="D12" s="397">
        <v>32</v>
      </c>
      <c r="E12" s="47">
        <f>mvalloc!E11</f>
        <v>28</v>
      </c>
    </row>
    <row r="13" spans="2:5" ht="15.75">
      <c r="B13" s="247" t="s">
        <v>112</v>
      </c>
      <c r="C13" s="397">
        <v>338.06</v>
      </c>
      <c r="D13" s="397">
        <v>386</v>
      </c>
      <c r="E13" s="47">
        <f>mvalloc!F11</f>
        <v>389</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30998.51</v>
      </c>
      <c r="D28" s="399">
        <f>SUM(D9:D26)</f>
        <v>34302</v>
      </c>
      <c r="E28" s="254">
        <f>SUM(E9:E26)</f>
        <v>2901</v>
      </c>
    </row>
    <row r="29" spans="2:5" ht="15.75">
      <c r="B29" s="253" t="s">
        <v>40</v>
      </c>
      <c r="C29" s="399">
        <f>C7+C28</f>
        <v>33616.509999999995</v>
      </c>
      <c r="D29" s="399">
        <f>D7+D28</f>
        <v>37996.509999999995</v>
      </c>
      <c r="E29" s="254">
        <f>E7+E28</f>
        <v>6596.509999999995</v>
      </c>
    </row>
    <row r="30" spans="2:5" ht="15.75">
      <c r="B30" s="122" t="s">
        <v>41</v>
      </c>
      <c r="C30" s="126"/>
      <c r="D30" s="126"/>
      <c r="E30" s="38"/>
    </row>
    <row r="31" spans="2:5" ht="15.75">
      <c r="B31" s="248" t="s">
        <v>739</v>
      </c>
      <c r="C31" s="397">
        <f>8794+500</f>
        <v>9294</v>
      </c>
      <c r="D31" s="397">
        <v>10000</v>
      </c>
      <c r="E31" s="209">
        <v>10000</v>
      </c>
    </row>
    <row r="32" spans="2:5" ht="15.75">
      <c r="B32" s="248" t="s">
        <v>740</v>
      </c>
      <c r="C32" s="397">
        <v>2005</v>
      </c>
      <c r="D32" s="397">
        <v>6000</v>
      </c>
      <c r="E32" s="209">
        <v>6000</v>
      </c>
    </row>
    <row r="33" spans="2:5" ht="15.75">
      <c r="B33" s="248" t="s">
        <v>741</v>
      </c>
      <c r="C33" s="397">
        <v>1793</v>
      </c>
      <c r="D33" s="397">
        <v>3000</v>
      </c>
      <c r="E33" s="209">
        <v>3095</v>
      </c>
    </row>
    <row r="34" spans="2:5" ht="15.75">
      <c r="B34" s="248" t="s">
        <v>742</v>
      </c>
      <c r="C34" s="397">
        <f>4312+518</f>
        <v>4830</v>
      </c>
      <c r="D34" s="397">
        <v>14917</v>
      </c>
      <c r="E34" s="209">
        <v>21000</v>
      </c>
    </row>
    <row r="35" spans="2:5" ht="15.75">
      <c r="B35" s="248" t="s">
        <v>743</v>
      </c>
      <c r="C35" s="397">
        <v>12000</v>
      </c>
      <c r="D35" s="397"/>
      <c r="E35" s="209"/>
    </row>
    <row r="36" spans="2:5" ht="15.75">
      <c r="B36" s="248"/>
      <c r="C36" s="397"/>
      <c r="D36" s="397"/>
      <c r="E36" s="209"/>
    </row>
    <row r="37" spans="2:5" ht="15.75">
      <c r="B37" s="248"/>
      <c r="C37" s="397"/>
      <c r="D37" s="397"/>
      <c r="E37" s="209" t="s">
        <v>18</v>
      </c>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t="s">
        <v>18</v>
      </c>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228</v>
      </c>
      <c r="C47" s="397"/>
      <c r="D47" s="397">
        <v>384</v>
      </c>
      <c r="E47" s="214">
        <f>Nhood!E7</f>
        <v>289</v>
      </c>
    </row>
    <row r="48" spans="2:5" ht="15.75">
      <c r="B48" s="126" t="s">
        <v>227</v>
      </c>
      <c r="C48" s="397"/>
      <c r="D48" s="397"/>
      <c r="E48" s="37"/>
    </row>
    <row r="49" spans="2:5" ht="15.75">
      <c r="B49" s="126" t="s">
        <v>579</v>
      </c>
      <c r="C49" s="398">
        <f>IF(C50*0.1&lt;C48,"Exceed 10% Rule","")</f>
      </c>
      <c r="D49" s="398">
        <f>IF(D50*0.1&lt;D48,"Exceed 10% Rule","")</f>
      </c>
      <c r="E49" s="424">
        <f>IF(E50*0.1&lt;E48,"Exceed 10% Rule","")</f>
      </c>
    </row>
    <row r="50" spans="2:5" ht="15.75">
      <c r="B50" s="253" t="s">
        <v>42</v>
      </c>
      <c r="C50" s="399">
        <f>SUM(C31:C48)</f>
        <v>29922</v>
      </c>
      <c r="D50" s="399">
        <f>SUM(D31:D48)</f>
        <v>34301</v>
      </c>
      <c r="E50" s="254">
        <f>SUM(E31:E48)</f>
        <v>40384</v>
      </c>
    </row>
    <row r="51" spans="2:5" ht="15.75">
      <c r="B51" s="122" t="s">
        <v>129</v>
      </c>
      <c r="C51" s="400">
        <f>C29-C50</f>
        <v>3694.5099999999948</v>
      </c>
      <c r="D51" s="400">
        <f>D29-D50</f>
        <v>3695.5099999999948</v>
      </c>
      <c r="E51" s="135" t="s">
        <v>28</v>
      </c>
    </row>
    <row r="52" spans="2:6" ht="15.75">
      <c r="B52" s="145" t="str">
        <f>CONCATENATE("",F3-2,"/",F3-1," Budget Authority Amount:")</f>
        <v>2012/2013 Budget Authority Amount:</v>
      </c>
      <c r="C52" s="123">
        <v>34301</v>
      </c>
      <c r="D52" s="425">
        <f>inputPrYr!D19</f>
        <v>34301</v>
      </c>
      <c r="E52" s="135" t="s">
        <v>28</v>
      </c>
      <c r="F52" s="255"/>
    </row>
    <row r="53" spans="2:6" ht="15.75">
      <c r="B53" s="145"/>
      <c r="C53" s="599" t="s">
        <v>682</v>
      </c>
      <c r="D53" s="600"/>
      <c r="E53" s="37"/>
      <c r="F53" s="255">
        <f>IF(E50/0.95-E50&lt;E53,"Exceeds 5%","")</f>
      </c>
    </row>
    <row r="54" spans="2:5" ht="15.75">
      <c r="B54" s="423" t="str">
        <f>CONCATENATE(C70,"     ",D70)</f>
        <v>     </v>
      </c>
      <c r="C54" s="601" t="s">
        <v>683</v>
      </c>
      <c r="D54" s="602"/>
      <c r="E54" s="47">
        <f>E50+E53</f>
        <v>40384</v>
      </c>
    </row>
    <row r="55" spans="2:5" ht="15.75">
      <c r="B55" s="423" t="str">
        <f>CONCATENATE(C71,"     ",D71)</f>
        <v>     </v>
      </c>
      <c r="C55" s="541"/>
      <c r="D55" s="540" t="s">
        <v>684</v>
      </c>
      <c r="E55" s="44">
        <f>IF(E54-E29&gt;0,E54-E29,0)</f>
        <v>33787.490000000005</v>
      </c>
    </row>
    <row r="56" spans="2:5" ht="15.75">
      <c r="B56" s="165"/>
      <c r="C56" s="538" t="s">
        <v>685</v>
      </c>
      <c r="D56" s="539">
        <f>inputOth!$E$36</f>
        <v>0</v>
      </c>
      <c r="E56" s="47">
        <f>ROUND(IF(D56&gt;0,(E55*D56),0),0)</f>
        <v>0</v>
      </c>
    </row>
    <row r="57" spans="2:5" ht="15.75">
      <c r="B57" s="18"/>
      <c r="C57" s="597" t="str">
        <f>CONCATENATE("Amount of  ",$F$3-1," Ad Valorem Tax")</f>
        <v>Amount of  2013 Ad Valorem Tax</v>
      </c>
      <c r="D57" s="598"/>
      <c r="E57" s="44">
        <f>E55+E56</f>
        <v>33787.490000000005</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738</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2" operator="lessThan" stopIfTrue="1">
      <formula>0</formula>
    </cfRule>
  </conditionalFormatting>
  <conditionalFormatting sqref="D50">
    <cfRule type="cellIs" priority="20" dxfId="0"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 7</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160</v>
      </c>
      <c r="D5" s="402" t="s">
        <v>256</v>
      </c>
      <c r="E5" s="243" t="s">
        <v>253</v>
      </c>
    </row>
    <row r="6" spans="2:5" ht="15.75">
      <c r="B6" s="427" t="s">
        <v>280</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163</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03" t="str">
        <f>CONCATENATE("Projected Carryover Into ",E1+1,"")</f>
        <v>Projected Carryover Into 2015</v>
      </c>
      <c r="H52" s="604"/>
      <c r="I52" s="605"/>
    </row>
    <row r="53" spans="2:9" ht="15.75">
      <c r="B53" s="126" t="s">
        <v>579</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682</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683</v>
      </c>
      <c r="D58" s="602"/>
      <c r="E58" s="47">
        <f>E54+E57</f>
        <v>0</v>
      </c>
      <c r="G58" s="525"/>
      <c r="H58" s="547"/>
      <c r="I58" s="527"/>
    </row>
    <row r="59" spans="2:9" ht="15.75">
      <c r="B59" s="423" t="str">
        <f>CONCATENATE(C70,"     ",D70)</f>
        <v>     </v>
      </c>
      <c r="C59" s="543"/>
      <c r="D59" s="540" t="s">
        <v>684</v>
      </c>
      <c r="E59" s="44">
        <f>IF(E58-E31&gt;0,E58-E31,0)</f>
        <v>0</v>
      </c>
      <c r="G59" s="526">
        <f>C54</f>
        <v>0</v>
      </c>
      <c r="H59" s="547" t="str">
        <f>CONCATENATE("Less ",E1-2," Expenditures")</f>
        <v>Less 2012 Expenditures</v>
      </c>
      <c r="I59" s="527"/>
    </row>
    <row r="60" spans="2:9" ht="15.75">
      <c r="B60" s="165"/>
      <c r="C60" s="538" t="s">
        <v>685</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7</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682</v>
      </c>
      <c r="D36" s="600"/>
      <c r="E36" s="37"/>
      <c r="F36" s="255">
        <f>IF(E33/0.95-E33&lt;E36,"Exceeds 5%","")</f>
      </c>
    </row>
    <row r="37" spans="2:5" ht="15.75">
      <c r="B37" s="423" t="str">
        <f>CONCATENATE(C87,"     ",D87)</f>
        <v>     </v>
      </c>
      <c r="C37" s="601" t="s">
        <v>683</v>
      </c>
      <c r="D37" s="602"/>
      <c r="E37" s="47">
        <f>E33+E36</f>
        <v>0</v>
      </c>
    </row>
    <row r="38" spans="2:5" ht="15.75">
      <c r="B38" s="423" t="str">
        <f>CONCATENATE(C88,"     ",D88)</f>
        <v>     </v>
      </c>
      <c r="C38" s="545"/>
      <c r="D38" s="540" t="s">
        <v>684</v>
      </c>
      <c r="E38" s="44">
        <f>IF(E37-E22&gt;0,E37-E22,0)</f>
        <v>0</v>
      </c>
    </row>
    <row r="39" spans="2:5" ht="15.75">
      <c r="B39" s="165"/>
      <c r="C39" s="538" t="s">
        <v>685</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682</v>
      </c>
      <c r="D74" s="600"/>
      <c r="E74" s="37"/>
      <c r="F74" s="255">
        <f>IF(E71/0.95-E71&lt;E74,"Exceeds 5%","")</f>
      </c>
    </row>
    <row r="75" spans="2:5" ht="15.75">
      <c r="B75" s="423" t="str">
        <f>CONCATENATE(C89,"     ",D89)</f>
        <v>     </v>
      </c>
      <c r="C75" s="601" t="s">
        <v>683</v>
      </c>
      <c r="D75" s="602"/>
      <c r="E75" s="47">
        <f>E71+E74</f>
        <v>0</v>
      </c>
    </row>
    <row r="76" spans="2:5" ht="15.75">
      <c r="B76" s="423" t="str">
        <f>CONCATENATE(C90,"     ",D90)</f>
        <v>     </v>
      </c>
      <c r="C76" s="544"/>
      <c r="D76" s="540" t="s">
        <v>684</v>
      </c>
      <c r="E76" s="44">
        <f>IF(E75-E60&gt;0,E75-E60,0)</f>
        <v>0</v>
      </c>
    </row>
    <row r="77" spans="2:5" ht="15.75">
      <c r="B77" s="165"/>
      <c r="C77" s="538" t="s">
        <v>685</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1">
      <selection activeCell="D29" sqref="D29"/>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 7</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255</v>
      </c>
      <c r="D5" s="243" t="s">
        <v>256</v>
      </c>
      <c r="E5" s="243" t="s">
        <v>253</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76428</v>
      </c>
      <c r="D7" s="47">
        <f>C32</f>
        <v>88428</v>
      </c>
      <c r="E7" s="47">
        <f>D32</f>
        <v>88428</v>
      </c>
    </row>
    <row r="8" spans="2:5" ht="15.75">
      <c r="B8" s="246" t="s">
        <v>130</v>
      </c>
      <c r="C8" s="38"/>
      <c r="D8" s="38"/>
      <c r="E8" s="38"/>
    </row>
    <row r="9" spans="2:5" ht="15.75">
      <c r="B9" s="248"/>
      <c r="C9" s="209"/>
      <c r="D9" s="209"/>
      <c r="E9" s="209"/>
    </row>
    <row r="10" spans="2:5" ht="15.75">
      <c r="B10" s="248" t="s">
        <v>748</v>
      </c>
      <c r="C10" s="209">
        <v>12000</v>
      </c>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12000</v>
      </c>
      <c r="D19" s="254">
        <f>SUM(D9:D17)</f>
        <v>0</v>
      </c>
      <c r="E19" s="254">
        <f>SUM(E9:E17)</f>
        <v>0</v>
      </c>
    </row>
    <row r="20" spans="2:5" ht="15.75">
      <c r="B20" s="253" t="s">
        <v>40</v>
      </c>
      <c r="C20" s="254">
        <f>C19+C7</f>
        <v>88428</v>
      </c>
      <c r="D20" s="254">
        <f>D19+D7</f>
        <v>88428</v>
      </c>
      <c r="E20" s="254">
        <f>E19+E7</f>
        <v>88428</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88428</v>
      </c>
      <c r="D32" s="44">
        <f>D20-D31</f>
        <v>88428</v>
      </c>
      <c r="E32" s="44">
        <f>E20-E31</f>
        <v>88428</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 7</v>
      </c>
      <c r="B1" s="277"/>
      <c r="C1" s="62"/>
      <c r="D1" s="62"/>
      <c r="E1" s="62"/>
      <c r="F1" s="278" t="s">
        <v>240</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D29" sqref="D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FIRE DISTRICT # 7</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221</v>
      </c>
      <c r="G14" s="610" t="str">
        <f>CONCATENATE("Amount of ",I3-1," Ad Valorem Tax")</f>
        <v>Amount of 2013 Ad Valorem Tax</v>
      </c>
      <c r="H14" s="316" t="s">
        <v>583</v>
      </c>
    </row>
    <row r="15" spans="1:8" ht="15.75">
      <c r="A15" s="179" t="s">
        <v>52</v>
      </c>
      <c r="B15" s="117" t="s">
        <v>53</v>
      </c>
      <c r="C15" s="317" t="s">
        <v>202</v>
      </c>
      <c r="D15" s="117" t="s">
        <v>53</v>
      </c>
      <c r="E15" s="317" t="s">
        <v>202</v>
      </c>
      <c r="F15" s="117" t="s">
        <v>578</v>
      </c>
      <c r="G15" s="611"/>
      <c r="H15" s="317" t="s">
        <v>202</v>
      </c>
    </row>
    <row r="16" spans="1:8" ht="15.75">
      <c r="A16" s="38" t="str">
        <f>inputPrYr!B19</f>
        <v>General</v>
      </c>
      <c r="B16" s="128">
        <f>IF(gen!$C$50&lt;&gt;0,gen!$C$50,"  ")</f>
        <v>29922</v>
      </c>
      <c r="C16" s="125">
        <f>IF(inputPrYr!D38&gt;0,inputPrYr!D38,"  ")</f>
        <v>3.085</v>
      </c>
      <c r="D16" s="128">
        <f>IF(gen!$D$50&lt;&gt;0,gen!$D$50,"  ")</f>
        <v>34301</v>
      </c>
      <c r="E16" s="125">
        <f>IF(inputOth!D16&gt;0,inputOth!D16,"  ")</f>
        <v>3.216</v>
      </c>
      <c r="F16" s="128">
        <f>IF(gen!$E$50&lt;&gt;0,gen!$E$50,"  ")</f>
        <v>40384</v>
      </c>
      <c r="G16" s="128">
        <f>IF(gen!$E$57&lt;&gt;0,gen!$E$57,"  ")</f>
        <v>33787.490000000005</v>
      </c>
      <c r="H16" s="125">
        <f>IF(gen!E57&gt;0,ROUND(G16/$F$27*1000,3)," ")</f>
        <v>3.216</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29922</v>
      </c>
      <c r="C23" s="532">
        <f aca="true" t="shared" si="0" ref="C23:H23">SUM(C16:C21)</f>
        <v>3.085</v>
      </c>
      <c r="D23" s="321">
        <f t="shared" si="0"/>
        <v>34301</v>
      </c>
      <c r="E23" s="532">
        <f t="shared" si="0"/>
        <v>3.216</v>
      </c>
      <c r="F23" s="321">
        <f t="shared" si="0"/>
        <v>40384</v>
      </c>
      <c r="G23" s="321">
        <f t="shared" si="0"/>
        <v>33787.490000000005</v>
      </c>
      <c r="H23" s="532">
        <f t="shared" si="0"/>
        <v>3.216</v>
      </c>
    </row>
    <row r="24" spans="1:8" ht="15.75">
      <c r="A24" s="35" t="s">
        <v>172</v>
      </c>
      <c r="B24" s="214">
        <f>transfers!C26</f>
        <v>0</v>
      </c>
      <c r="C24" s="133"/>
      <c r="D24" s="214">
        <f>transfers!D26</f>
        <v>0</v>
      </c>
      <c r="E24" s="133"/>
      <c r="F24" s="318">
        <f>transfers!E26</f>
        <v>0</v>
      </c>
      <c r="G24" s="260"/>
      <c r="H24" s="319"/>
    </row>
    <row r="25" spans="1:8" ht="16.5" thickBot="1">
      <c r="A25" s="35" t="s">
        <v>173</v>
      </c>
      <c r="B25" s="136">
        <f>SUM(B23-B24)</f>
        <v>29922</v>
      </c>
      <c r="C25" s="320"/>
      <c r="D25" s="136">
        <f>SUM(D23-D24)</f>
        <v>34301</v>
      </c>
      <c r="E25" s="320"/>
      <c r="F25" s="529">
        <f>SUM(F23-F24)</f>
        <v>40384</v>
      </c>
      <c r="G25" s="260"/>
      <c r="H25" s="319"/>
    </row>
    <row r="26" spans="1:8" ht="16.5" thickTop="1">
      <c r="A26" s="35" t="s">
        <v>54</v>
      </c>
      <c r="B26" s="321">
        <f>inputPrYr!E44</f>
        <v>28697</v>
      </c>
      <c r="C26" s="230"/>
      <c r="D26" s="321">
        <f>inputPrYr!E24</f>
        <v>31547</v>
      </c>
      <c r="E26" s="230"/>
      <c r="F26" s="322" t="s">
        <v>178</v>
      </c>
      <c r="G26" s="18"/>
      <c r="H26" s="18"/>
    </row>
    <row r="27" spans="1:8" ht="15.75">
      <c r="A27" s="35" t="s">
        <v>174</v>
      </c>
      <c r="B27" s="214">
        <f>inputPrYr!E45</f>
        <v>9301576</v>
      </c>
      <c r="C27" s="230"/>
      <c r="D27" s="214">
        <f>inputOth!E24</f>
        <v>9809635</v>
      </c>
      <c r="E27" s="230"/>
      <c r="F27" s="214">
        <f>inputOth!E7</f>
        <v>10507206</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171</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686</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7">
    <mergeCell ref="A1:H1"/>
    <mergeCell ref="G14:G15"/>
    <mergeCell ref="A3:H3"/>
    <mergeCell ref="A4:H4"/>
    <mergeCell ref="A5:H5"/>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D29" sqref="D29"/>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 7</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33787</v>
      </c>
      <c r="D7" s="331">
        <f aca="true" t="shared" si="0" ref="D7:D12">IF(C7&gt;0,C7/$D$18,"")</f>
        <v>3.2156027016125885</v>
      </c>
      <c r="E7" s="123">
        <f aca="true" t="shared" si="1" ref="E7:E12">IF(C7&gt;0,ROUND(D7*$D$22,0),"")</f>
        <v>289</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33787</v>
      </c>
      <c r="D13" s="333">
        <f>SUM(D7:D12)</f>
        <v>3.2156027016125885</v>
      </c>
      <c r="E13" s="332">
        <f>SUM(E7:E12)</f>
        <v>289</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10507206</v>
      </c>
      <c r="E16" s="18"/>
      <c r="F16" s="54"/>
    </row>
    <row r="17" spans="1:6" ht="15.75">
      <c r="A17" s="18"/>
      <c r="B17" s="18"/>
      <c r="C17" s="18"/>
      <c r="D17" s="18"/>
      <c r="E17" s="18"/>
      <c r="F17" s="54"/>
    </row>
    <row r="18" spans="1:6" ht="15.75">
      <c r="A18" s="18"/>
      <c r="B18" s="616" t="s">
        <v>327</v>
      </c>
      <c r="C18" s="616"/>
      <c r="D18" s="335">
        <f>IF(D16&gt;0,(D16*0.001),"")</f>
        <v>10507.206</v>
      </c>
      <c r="E18" s="18"/>
      <c r="F18" s="54"/>
    </row>
    <row r="19" spans="1:6" ht="15.75">
      <c r="A19" s="18"/>
      <c r="B19" s="145"/>
      <c r="C19" s="145"/>
      <c r="D19" s="336"/>
      <c r="E19" s="18"/>
      <c r="F19" s="54"/>
    </row>
    <row r="20" spans="1:6" ht="15.75">
      <c r="A20" s="613" t="s">
        <v>325</v>
      </c>
      <c r="B20" s="609"/>
      <c r="C20" s="609"/>
      <c r="D20" s="337">
        <f>inputOth!E12</f>
        <v>89955</v>
      </c>
      <c r="E20" s="64"/>
      <c r="F20" s="64"/>
    </row>
    <row r="21" spans="1:6" ht="15">
      <c r="A21" s="64"/>
      <c r="B21" s="64"/>
      <c r="C21" s="64"/>
      <c r="D21" s="338"/>
      <c r="E21" s="64"/>
      <c r="F21" s="64"/>
    </row>
    <row r="22" spans="1:6" ht="15.75">
      <c r="A22" s="64"/>
      <c r="B22" s="613" t="s">
        <v>326</v>
      </c>
      <c r="C22" s="614"/>
      <c r="D22" s="339">
        <f>IF(D20&gt;0,(D20*0.001),"")</f>
        <v>89.955</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D29" sqref="D29"/>
    </sheetView>
  </sheetViews>
  <sheetFormatPr defaultColWidth="9.796875" defaultRowHeight="15"/>
  <cols>
    <col min="1" max="1" width="8.8984375" style="2" customWidth="1"/>
    <col min="2" max="16384" width="9.796875" style="2" customWidth="1"/>
  </cols>
  <sheetData>
    <row r="1" spans="2:8" ht="15.75">
      <c r="B1" s="617" t="s">
        <v>142</v>
      </c>
      <c r="C1" s="617"/>
      <c r="D1" s="617"/>
      <c r="E1" s="617"/>
      <c r="F1" s="617"/>
      <c r="G1" s="617"/>
      <c r="H1" s="617"/>
    </row>
    <row r="2" spans="2:8" ht="15.75">
      <c r="B2" s="6"/>
      <c r="C2"/>
      <c r="D2"/>
      <c r="E2"/>
      <c r="F2"/>
      <c r="G2"/>
      <c r="H2"/>
    </row>
    <row r="3" spans="2:8" ht="15.75">
      <c r="B3" s="618" t="s">
        <v>749</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 7 District with respect to financing the 2014 annual budget for FIRE DISTRICT # 7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2014 FIRE DISTRICT # 7 district budget exceed the amount levied to finance the</v>
      </c>
      <c r="C9"/>
      <c r="D9"/>
      <c r="E9"/>
      <c r="F9"/>
      <c r="G9"/>
      <c r="H9"/>
    </row>
    <row r="10" spans="2:8" ht="15.75">
      <c r="B10" s="12" t="str">
        <f>CONCATENATE("",inputPrYr!D6-1," ",inputPrYr!D3," except with regard to revenue produced and attributable to the")</f>
        <v>2013 FIRE DISTRICT # 7 except with regard to revenue produced and attributable to the</v>
      </c>
      <c r="C10"/>
      <c r="D10"/>
      <c r="E10"/>
      <c r="F10"/>
      <c r="G10"/>
      <c r="H10"/>
    </row>
    <row r="11" spans="2:8" ht="15.75">
      <c r="B11" s="619" t="s">
        <v>180</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151</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FIRE DISTRICT # 7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 7 that is our desire to notify the public of the possibility of increased property taxes to finance the 2014 FIRE DISTRICT # 7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___July______ day of ______22_____, ",inputPrYr!D6-1," by the ",(inputPrYr!D3)," District Board, ",(inputPrYr!D4),", Kansas.")</f>
        <v>Adopted this ___July______ day of ______22_____, 2013 by the FIRE DISTRICT # 7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FIRE DISTRICT # 7 District Board</v>
      </c>
      <c r="C31"/>
      <c r="D31"/>
      <c r="E31"/>
      <c r="F31"/>
      <c r="G31"/>
      <c r="H31"/>
    </row>
    <row r="32" spans="2:8" ht="15.75">
      <c r="B32" s="8"/>
      <c r="C32"/>
      <c r="D32"/>
      <c r="E32"/>
      <c r="F32"/>
      <c r="G32"/>
      <c r="H32"/>
    </row>
    <row r="33" spans="2:8" ht="15.75">
      <c r="B33"/>
      <c r="C33"/>
      <c r="D33"/>
      <c r="E33" s="621" t="s">
        <v>140</v>
      </c>
      <c r="F33" s="621"/>
      <c r="G33" s="621"/>
      <c r="H33" s="621"/>
    </row>
    <row r="34" spans="2:8" ht="15.75">
      <c r="B34"/>
      <c r="C34"/>
      <c r="D34"/>
      <c r="E34" s="621" t="s">
        <v>143</v>
      </c>
      <c r="F34" s="621"/>
      <c r="G34" s="621"/>
      <c r="H34" s="621"/>
    </row>
    <row r="35" spans="2:8" ht="15.75">
      <c r="B35" s="8"/>
      <c r="C35"/>
      <c r="D35"/>
      <c r="E35" s="621"/>
      <c r="F35" s="621"/>
      <c r="G35" s="621"/>
      <c r="H35" s="621"/>
    </row>
    <row r="36" spans="2:8" ht="15.75">
      <c r="B36"/>
      <c r="C36"/>
      <c r="D36"/>
      <c r="E36" s="621" t="s">
        <v>140</v>
      </c>
      <c r="F36" s="621"/>
      <c r="G36" s="621"/>
      <c r="H36" s="621"/>
    </row>
    <row r="37" spans="2:8" ht="15.75">
      <c r="B37"/>
      <c r="C37"/>
      <c r="D37"/>
      <c r="E37" s="621" t="s">
        <v>144</v>
      </c>
      <c r="F37" s="621"/>
      <c r="G37" s="621"/>
      <c r="H37" s="621"/>
    </row>
    <row r="38" spans="2:8" ht="15.75">
      <c r="B38" s="8"/>
      <c r="C38"/>
      <c r="D38"/>
      <c r="E38" s="621"/>
      <c r="F38" s="621"/>
      <c r="G38" s="621"/>
      <c r="H38" s="621"/>
    </row>
    <row r="39" spans="2:8" ht="15.75">
      <c r="B39"/>
      <c r="C39"/>
      <c r="D39"/>
      <c r="E39" s="621" t="s">
        <v>140</v>
      </c>
      <c r="F39" s="621"/>
      <c r="G39" s="621"/>
      <c r="H39" s="621"/>
    </row>
    <row r="40" spans="2:8" ht="15.75">
      <c r="B40"/>
      <c r="C40"/>
      <c r="D40"/>
      <c r="E40" s="621" t="s">
        <v>145</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141</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B26" sqref="B2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746</v>
      </c>
      <c r="E3" s="21"/>
    </row>
    <row r="4" spans="1:5" ht="15.75">
      <c r="A4" s="19" t="s">
        <v>235</v>
      </c>
      <c r="B4" s="18"/>
      <c r="C4" s="18"/>
      <c r="D4" s="22" t="s">
        <v>744</v>
      </c>
      <c r="E4" s="21"/>
    </row>
    <row r="5" spans="1:5" ht="15.75">
      <c r="A5" s="17"/>
      <c r="B5" s="18"/>
      <c r="C5" s="18"/>
      <c r="D5" s="23"/>
      <c r="E5" s="21"/>
    </row>
    <row r="6" spans="1:5" ht="15.75">
      <c r="A6" s="19" t="s">
        <v>153</v>
      </c>
      <c r="B6" s="18"/>
      <c r="C6" s="18"/>
      <c r="D6" s="24">
        <v>2014</v>
      </c>
      <c r="E6" s="21"/>
    </row>
    <row r="7" spans="1:5" ht="15.75">
      <c r="A7" s="18"/>
      <c r="B7" s="18"/>
      <c r="C7" s="18"/>
      <c r="D7" s="18"/>
      <c r="E7" s="18"/>
    </row>
    <row r="8" spans="1:5" ht="15.75">
      <c r="A8" s="562" t="s">
        <v>213</v>
      </c>
      <c r="B8" s="563"/>
      <c r="C8" s="563"/>
      <c r="D8" s="563"/>
      <c r="E8" s="563"/>
    </row>
    <row r="9" spans="1:5" ht="15.75">
      <c r="A9" s="25" t="s">
        <v>81</v>
      </c>
      <c r="B9" s="26"/>
      <c r="C9" s="26"/>
      <c r="D9" s="26"/>
      <c r="E9" s="26"/>
    </row>
    <row r="10" spans="1:5" ht="15.75">
      <c r="A10" s="564" t="s">
        <v>212</v>
      </c>
      <c r="B10" s="565"/>
      <c r="C10" s="565"/>
      <c r="D10" s="565"/>
      <c r="E10" s="565"/>
    </row>
    <row r="11" spans="1:5" ht="15.75">
      <c r="A11" s="27"/>
      <c r="B11" s="18"/>
      <c r="C11" s="18"/>
      <c r="D11" s="18"/>
      <c r="E11" s="18"/>
    </row>
    <row r="12" spans="1:5" ht="15.75">
      <c r="A12" s="558" t="s">
        <v>200</v>
      </c>
      <c r="B12" s="559"/>
      <c r="C12" s="559"/>
      <c r="D12" s="559"/>
      <c r="E12" s="559"/>
    </row>
    <row r="13" spans="1:5" ht="15.75">
      <c r="A13" s="27"/>
      <c r="B13" s="18"/>
      <c r="C13" s="18"/>
      <c r="D13" s="18"/>
      <c r="E13" s="18"/>
    </row>
    <row r="14" spans="1:5" ht="15.75">
      <c r="A14" s="28" t="s">
        <v>157</v>
      </c>
      <c r="B14" s="29"/>
      <c r="C14" s="18"/>
      <c r="D14" s="18"/>
      <c r="E14" s="18"/>
    </row>
    <row r="15" spans="1:5" ht="15.75">
      <c r="A15" s="30" t="str">
        <f>CONCATENATE("the ",D6-1," Budget, Certificate Page:")</f>
        <v>the 2013 Budget, Certificate Page:</v>
      </c>
      <c r="B15" s="31"/>
      <c r="C15" s="18"/>
      <c r="D15" s="18"/>
      <c r="E15" s="18"/>
    </row>
    <row r="16" spans="1:5" ht="15.75">
      <c r="A16" s="30" t="s">
        <v>284</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285</v>
      </c>
      <c r="E18" s="567"/>
    </row>
    <row r="19" spans="1:5" ht="15.75">
      <c r="A19" s="18"/>
      <c r="B19" s="35" t="s">
        <v>10</v>
      </c>
      <c r="C19" s="436" t="s">
        <v>745</v>
      </c>
      <c r="D19" s="37">
        <v>34301</v>
      </c>
      <c r="E19" s="37">
        <v>31547</v>
      </c>
    </row>
    <row r="20" spans="1:5" ht="15.75">
      <c r="A20" s="18"/>
      <c r="B20" s="35" t="s">
        <v>280</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31547</v>
      </c>
    </row>
    <row r="25" spans="1:5" ht="15.75">
      <c r="A25" s="45" t="s">
        <v>12</v>
      </c>
      <c r="B25" s="18"/>
      <c r="C25" s="18"/>
      <c r="D25" s="18"/>
      <c r="E25" s="18"/>
    </row>
    <row r="26" spans="1:5" ht="15.75">
      <c r="A26" s="18"/>
      <c r="B26" s="36" t="s">
        <v>747</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34301</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3.085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3.085</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28697</v>
      </c>
    </row>
    <row r="45" spans="1:5" ht="15.75">
      <c r="A45" s="51" t="str">
        <f>CONCATENATE("Assessed Valuation (",D6-2," budget column)")</f>
        <v>Assessed Valuation (2012 budget column)</v>
      </c>
      <c r="B45" s="29"/>
      <c r="C45" s="18"/>
      <c r="D45" s="18"/>
      <c r="E45" s="53">
        <v>9301576</v>
      </c>
    </row>
    <row r="46" spans="1:5" ht="15.75">
      <c r="A46" s="18"/>
      <c r="B46" s="18"/>
      <c r="C46" s="18"/>
      <c r="D46" s="18"/>
      <c r="E46" s="39"/>
    </row>
    <row r="47" spans="1:5" ht="15.75">
      <c r="A47" s="29" t="s">
        <v>214</v>
      </c>
      <c r="B47" s="29"/>
      <c r="C47" s="54"/>
      <c r="D47" s="55">
        <f>D6-3</f>
        <v>2011</v>
      </c>
      <c r="E47" s="55">
        <f>D6-2</f>
        <v>2012</v>
      </c>
    </row>
    <row r="48" spans="1:5" ht="15.75">
      <c r="A48" s="56" t="s">
        <v>154</v>
      </c>
      <c r="B48" s="56"/>
      <c r="C48" s="57"/>
      <c r="D48" s="58"/>
      <c r="E48" s="58"/>
    </row>
    <row r="49" spans="1:5" ht="15.75">
      <c r="A49" s="59" t="s">
        <v>155</v>
      </c>
      <c r="B49" s="59"/>
      <c r="C49" s="60"/>
      <c r="D49" s="58"/>
      <c r="E49" s="58"/>
    </row>
    <row r="50" spans="1:5" ht="15.75">
      <c r="A50" s="59" t="s">
        <v>687</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2012 'total expenditures' exceed your 2012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2014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2012 budget was amended, did you</v>
      </c>
    </row>
    <row r="26" ht="15">
      <c r="A26" s="384" t="s">
        <v>357</v>
      </c>
    </row>
    <row r="27" ht="15">
      <c r="A27" s="384"/>
    </row>
    <row r="28" ht="15">
      <c r="A28" s="384" t="str">
        <f>CONCATENATE("Next, look to see if any of your ",inputPrYr!D6-2," expenditures can be")</f>
        <v>Next, look to see if any of your 2012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2012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2012 financial records have been closed?</v>
      </c>
    </row>
    <row r="63" ht="15">
      <c r="A63" s="384" t="s">
        <v>386</v>
      </c>
    </row>
    <row r="64" ht="15">
      <c r="A64" s="384" t="str">
        <f>CONCATENATE("(i.e. an audit for ",inputPrYr!D6-2," has been completed, or the ",inputPrYr!D6)</f>
        <v>(i.e. an audit for 2012 has been completed, or the 2014</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2012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2013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2014 'total expenditures' exceed your 2014</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584</v>
      </c>
      <c r="C6" s="645"/>
      <c r="D6" s="645"/>
      <c r="E6" s="645"/>
      <c r="F6" s="645"/>
      <c r="G6" s="645"/>
      <c r="H6" s="645"/>
      <c r="I6" s="645"/>
      <c r="J6" s="645"/>
      <c r="K6" s="645"/>
      <c r="L6" s="440"/>
    </row>
    <row r="7" spans="1:12" ht="40.5" customHeight="1">
      <c r="A7" s="437"/>
      <c r="B7" s="656" t="s">
        <v>585</v>
      </c>
      <c r="C7" s="657"/>
      <c r="D7" s="657"/>
      <c r="E7" s="657"/>
      <c r="F7" s="657"/>
      <c r="G7" s="657"/>
      <c r="H7" s="657"/>
      <c r="I7" s="657"/>
      <c r="J7" s="657"/>
      <c r="K7" s="657"/>
      <c r="L7" s="437"/>
    </row>
    <row r="8" spans="1:12" ht="14.25">
      <c r="A8" s="437"/>
      <c r="B8" s="653" t="s">
        <v>586</v>
      </c>
      <c r="C8" s="653"/>
      <c r="D8" s="653"/>
      <c r="E8" s="653"/>
      <c r="F8" s="653"/>
      <c r="G8" s="653"/>
      <c r="H8" s="653"/>
      <c r="I8" s="653"/>
      <c r="J8" s="653"/>
      <c r="K8" s="653"/>
      <c r="L8" s="437"/>
    </row>
    <row r="9" spans="1:12" ht="14.25">
      <c r="A9" s="437"/>
      <c r="L9" s="437"/>
    </row>
    <row r="10" spans="1:12" ht="14.25">
      <c r="A10" s="437"/>
      <c r="B10" s="653" t="s">
        <v>587</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588</v>
      </c>
      <c r="C12" s="638"/>
      <c r="D12" s="638"/>
      <c r="E12" s="638"/>
      <c r="F12" s="638"/>
      <c r="G12" s="638"/>
      <c r="H12" s="638"/>
      <c r="I12" s="638"/>
      <c r="J12" s="638"/>
      <c r="K12" s="638"/>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40">
        <v>133685008</v>
      </c>
      <c r="G23" s="640"/>
      <c r="L23" s="437"/>
    </row>
    <row r="24" spans="1:12" ht="14.25">
      <c r="A24" s="437"/>
      <c r="L24" s="437"/>
    </row>
    <row r="25" spans="1:12" ht="14.25">
      <c r="A25" s="437"/>
      <c r="C25" s="654">
        <f>F23</f>
        <v>133685008</v>
      </c>
      <c r="D25" s="654"/>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585</v>
      </c>
      <c r="C30" s="642"/>
      <c r="D30" s="642"/>
      <c r="E30" s="642"/>
      <c r="F30" s="642"/>
      <c r="G30" s="642"/>
      <c r="H30" s="642"/>
      <c r="I30" s="642"/>
      <c r="J30" s="642"/>
      <c r="K30" s="642"/>
      <c r="L30" s="437"/>
    </row>
    <row r="31" spans="1:12" ht="14.25">
      <c r="A31" s="437"/>
      <c r="B31" s="653" t="s">
        <v>599</v>
      </c>
      <c r="C31" s="653"/>
      <c r="D31" s="653"/>
      <c r="E31" s="653"/>
      <c r="F31" s="653"/>
      <c r="G31" s="653"/>
      <c r="H31" s="653"/>
      <c r="I31" s="653"/>
      <c r="J31" s="653"/>
      <c r="K31" s="653"/>
      <c r="L31" s="437"/>
    </row>
    <row r="32" spans="1:12" ht="14.25">
      <c r="A32" s="437"/>
      <c r="L32" s="437"/>
    </row>
    <row r="33" spans="1:12" ht="14.25">
      <c r="A33" s="437"/>
      <c r="B33" s="653" t="s">
        <v>600</v>
      </c>
      <c r="C33" s="653"/>
      <c r="D33" s="653"/>
      <c r="E33" s="653"/>
      <c r="F33" s="653"/>
      <c r="G33" s="653"/>
      <c r="H33" s="653"/>
      <c r="I33" s="653"/>
      <c r="J33" s="653"/>
      <c r="K33" s="653"/>
      <c r="L33" s="437"/>
    </row>
    <row r="34" spans="1:12" ht="14.25">
      <c r="A34" s="437"/>
      <c r="L34" s="437"/>
    </row>
    <row r="35" spans="1:12" ht="89.25" customHeight="1">
      <c r="A35" s="437"/>
      <c r="B35" s="638" t="s">
        <v>601</v>
      </c>
      <c r="C35" s="648"/>
      <c r="D35" s="648"/>
      <c r="E35" s="648"/>
      <c r="F35" s="648"/>
      <c r="G35" s="648"/>
      <c r="H35" s="648"/>
      <c r="I35" s="648"/>
      <c r="J35" s="648"/>
      <c r="K35" s="648"/>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55">
        <v>3120000</v>
      </c>
      <c r="D41" s="655"/>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40">
        <v>133685008</v>
      </c>
      <c r="C48" s="640"/>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49" t="s">
        <v>609</v>
      </c>
      <c r="H50" s="650"/>
      <c r="I50" s="450" t="s">
        <v>595</v>
      </c>
      <c r="J50" s="460">
        <f>B50/F50</f>
        <v>52.8690023342034</v>
      </c>
      <c r="K50" s="452"/>
      <c r="L50" s="437"/>
    </row>
    <row r="51" spans="1:15" ht="15" thickBot="1">
      <c r="A51" s="437"/>
      <c r="B51" s="453"/>
      <c r="C51" s="454"/>
      <c r="D51" s="454"/>
      <c r="E51" s="454"/>
      <c r="F51" s="454"/>
      <c r="G51" s="454"/>
      <c r="H51" s="454"/>
      <c r="I51" s="651" t="s">
        <v>610</v>
      </c>
      <c r="J51" s="651"/>
      <c r="K51" s="652"/>
      <c r="L51" s="437"/>
      <c r="O51" s="461"/>
    </row>
    <row r="52" spans="1:12" ht="40.5" customHeight="1">
      <c r="A52" s="437"/>
      <c r="B52" s="642" t="s">
        <v>585</v>
      </c>
      <c r="C52" s="642"/>
      <c r="D52" s="642"/>
      <c r="E52" s="642"/>
      <c r="F52" s="642"/>
      <c r="G52" s="642"/>
      <c r="H52" s="642"/>
      <c r="I52" s="642"/>
      <c r="J52" s="642"/>
      <c r="K52" s="642"/>
      <c r="L52" s="437"/>
    </row>
    <row r="53" spans="1:12" ht="14.25">
      <c r="A53" s="437"/>
      <c r="B53" s="653" t="s">
        <v>611</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612</v>
      </c>
      <c r="C55" s="637"/>
      <c r="D55" s="637"/>
      <c r="E55" s="637"/>
      <c r="F55" s="637"/>
      <c r="G55" s="637"/>
      <c r="H55" s="637"/>
      <c r="I55" s="637"/>
      <c r="J55" s="637"/>
      <c r="K55" s="637"/>
      <c r="L55" s="437"/>
    </row>
    <row r="56" spans="1:12" ht="15" customHeight="1">
      <c r="A56" s="437"/>
      <c r="L56" s="437"/>
    </row>
    <row r="57" spans="1:24" ht="74.25" customHeight="1">
      <c r="A57" s="437"/>
      <c r="B57" s="638" t="s">
        <v>613</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40">
        <v>133685008</v>
      </c>
      <c r="D74" s="640"/>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40">
        <v>5000</v>
      </c>
      <c r="D77" s="640"/>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40">
        <v>100000</v>
      </c>
      <c r="D80" s="640"/>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41">
        <f>H80</f>
        <v>11500</v>
      </c>
      <c r="D83" s="641"/>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585</v>
      </c>
      <c r="C85" s="642"/>
      <c r="D85" s="642"/>
      <c r="E85" s="642"/>
      <c r="F85" s="642"/>
      <c r="G85" s="642"/>
      <c r="H85" s="642"/>
      <c r="I85" s="642"/>
      <c r="J85" s="642"/>
      <c r="K85" s="642"/>
      <c r="L85" s="437"/>
    </row>
    <row r="86" spans="1:12" ht="14.25">
      <c r="A86" s="437"/>
      <c r="B86" s="637" t="s">
        <v>633</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634</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635</v>
      </c>
      <c r="C90" s="638"/>
      <c r="D90" s="638"/>
      <c r="E90" s="638"/>
      <c r="F90" s="638"/>
      <c r="G90" s="638"/>
      <c r="H90" s="638"/>
      <c r="I90" s="638"/>
      <c r="J90" s="638"/>
      <c r="K90" s="638"/>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40">
        <v>133685008</v>
      </c>
      <c r="D94" s="640"/>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40">
        <v>50000</v>
      </c>
      <c r="D97" s="640"/>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40">
        <v>2500000</v>
      </c>
      <c r="D100" s="640"/>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41">
        <f>H100</f>
        <v>750000</v>
      </c>
      <c r="D103" s="641"/>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585</v>
      </c>
      <c r="C105" s="643"/>
      <c r="D105" s="643"/>
      <c r="E105" s="643"/>
      <c r="F105" s="643"/>
      <c r="G105" s="643"/>
      <c r="H105" s="643"/>
      <c r="I105" s="643"/>
      <c r="J105" s="643"/>
      <c r="K105" s="643"/>
      <c r="L105" s="437"/>
    </row>
    <row r="106" spans="1:12" ht="15" customHeight="1">
      <c r="A106" s="437"/>
      <c r="B106" s="644" t="s">
        <v>637</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638</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639</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40">
        <v>133685008</v>
      </c>
      <c r="D114" s="640"/>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40">
        <v>50000</v>
      </c>
      <c r="D117" s="640"/>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40">
        <v>2500000</v>
      </c>
      <c r="D120" s="640"/>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41">
        <f>H120</f>
        <v>625000</v>
      </c>
      <c r="D123" s="641"/>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585</v>
      </c>
      <c r="C125" s="642"/>
      <c r="D125" s="642"/>
      <c r="E125" s="642"/>
      <c r="F125" s="642"/>
      <c r="G125" s="642"/>
      <c r="H125" s="642"/>
      <c r="I125" s="642"/>
      <c r="J125" s="642"/>
      <c r="K125" s="642"/>
      <c r="L125" s="492"/>
    </row>
    <row r="126" spans="1:12" ht="14.25">
      <c r="A126" s="437"/>
      <c r="B126" s="637" t="s">
        <v>640</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641</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642</v>
      </c>
      <c r="C130" s="638"/>
      <c r="D130" s="638"/>
      <c r="E130" s="638"/>
      <c r="F130" s="638"/>
      <c r="G130" s="638"/>
      <c r="H130" s="638"/>
      <c r="I130" s="638"/>
      <c r="J130" s="638"/>
      <c r="K130" s="638"/>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39" t="s">
        <v>643</v>
      </c>
      <c r="D133" s="639"/>
      <c r="E133" s="449"/>
      <c r="F133" s="450" t="s">
        <v>644</v>
      </c>
      <c r="G133" s="449"/>
      <c r="H133" s="639" t="s">
        <v>629</v>
      </c>
      <c r="I133" s="639"/>
      <c r="J133" s="449"/>
      <c r="K133" s="452"/>
      <c r="L133" s="437"/>
    </row>
    <row r="134" spans="1:12" ht="14.25">
      <c r="A134" s="437"/>
      <c r="B134" s="458" t="s">
        <v>622</v>
      </c>
      <c r="C134" s="640">
        <v>100000</v>
      </c>
      <c r="D134" s="640"/>
      <c r="E134" s="450" t="s">
        <v>28</v>
      </c>
      <c r="F134" s="450">
        <v>0.115</v>
      </c>
      <c r="G134" s="450" t="s">
        <v>595</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629</v>
      </c>
      <c r="D136" s="628"/>
      <c r="E136" s="469"/>
      <c r="F136" s="470" t="s">
        <v>645</v>
      </c>
      <c r="G136" s="470"/>
      <c r="H136" s="469"/>
      <c r="I136" s="469"/>
      <c r="J136" s="469" t="s">
        <v>646</v>
      </c>
      <c r="K136" s="471"/>
      <c r="L136" s="437"/>
    </row>
    <row r="137" spans="1:12" ht="14.25">
      <c r="A137" s="437"/>
      <c r="B137" s="458" t="s">
        <v>625</v>
      </c>
      <c r="C137" s="629">
        <f>H134</f>
        <v>11500</v>
      </c>
      <c r="D137" s="629"/>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649</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29" t="s">
        <v>650</v>
      </c>
      <c r="D147" s="629"/>
      <c r="E147" s="450"/>
      <c r="F147" s="510" t="s">
        <v>651</v>
      </c>
      <c r="G147" s="450"/>
      <c r="H147" s="450"/>
      <c r="I147" s="450"/>
      <c r="J147" s="633" t="s">
        <v>652</v>
      </c>
      <c r="K147" s="634"/>
      <c r="L147" s="437"/>
    </row>
    <row r="148" spans="1:12" ht="14.25">
      <c r="A148" s="437"/>
      <c r="B148" s="458"/>
      <c r="C148" s="635">
        <v>52.869</v>
      </c>
      <c r="D148" s="635"/>
      <c r="E148" s="450" t="s">
        <v>28</v>
      </c>
      <c r="F148" s="515">
        <v>133685008</v>
      </c>
      <c r="G148" s="516" t="s">
        <v>596</v>
      </c>
      <c r="H148" s="450">
        <v>1000</v>
      </c>
      <c r="I148" s="450" t="s">
        <v>595</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734</v>
      </c>
    </row>
    <row r="2" ht="15.75">
      <c r="A2" s="553" t="s">
        <v>735</v>
      </c>
    </row>
    <row r="3" ht="15.75">
      <c r="A3" s="553" t="s">
        <v>736</v>
      </c>
    </row>
    <row r="5" ht="15.75">
      <c r="A5" s="381" t="s">
        <v>688</v>
      </c>
    </row>
    <row r="6" ht="15.75">
      <c r="A6" s="553" t="s">
        <v>689</v>
      </c>
    </row>
    <row r="7" ht="15.75">
      <c r="A7" s="553" t="s">
        <v>690</v>
      </c>
    </row>
    <row r="8" ht="31.5">
      <c r="A8" s="554" t="s">
        <v>730</v>
      </c>
    </row>
    <row r="9" ht="15.75">
      <c r="A9" s="553" t="s">
        <v>691</v>
      </c>
    </row>
    <row r="10" ht="15.75">
      <c r="A10" s="553" t="s">
        <v>692</v>
      </c>
    </row>
    <row r="11" ht="15.75">
      <c r="A11" s="553" t="s">
        <v>693</v>
      </c>
    </row>
    <row r="12" ht="15.75">
      <c r="A12" s="553" t="s">
        <v>694</v>
      </c>
    </row>
    <row r="13" ht="15.75">
      <c r="A13" s="553" t="s">
        <v>695</v>
      </c>
    </row>
    <row r="14" ht="15.75">
      <c r="A14" s="553" t="s">
        <v>696</v>
      </c>
    </row>
    <row r="15" ht="15.75">
      <c r="A15" s="553" t="s">
        <v>697</v>
      </c>
    </row>
    <row r="16" ht="15.75">
      <c r="A16" s="553" t="s">
        <v>698</v>
      </c>
    </row>
    <row r="17" ht="15.75">
      <c r="A17" s="553" t="s">
        <v>699</v>
      </c>
    </row>
    <row r="18" ht="15.75">
      <c r="A18" s="553" t="s">
        <v>700</v>
      </c>
    </row>
    <row r="19" ht="15.75">
      <c r="A19" s="553" t="s">
        <v>701</v>
      </c>
    </row>
    <row r="20" ht="15.75">
      <c r="A20" s="553" t="s">
        <v>702</v>
      </c>
    </row>
    <row r="21" ht="15.75">
      <c r="A21" s="553" t="s">
        <v>703</v>
      </c>
    </row>
    <row r="22" ht="15.75">
      <c r="A22" s="553" t="s">
        <v>704</v>
      </c>
    </row>
    <row r="23" ht="15.75">
      <c r="A23" s="553" t="s">
        <v>705</v>
      </c>
    </row>
    <row r="24" ht="15.75">
      <c r="A24" s="553" t="s">
        <v>706</v>
      </c>
    </row>
    <row r="25" ht="15.75">
      <c r="A25" s="553" t="s">
        <v>707</v>
      </c>
    </row>
    <row r="26" ht="15.75">
      <c r="A26" s="553" t="s">
        <v>708</v>
      </c>
    </row>
    <row r="27" ht="15.75">
      <c r="A27" s="553" t="s">
        <v>709</v>
      </c>
    </row>
    <row r="28" ht="15.75">
      <c r="A28" s="553" t="s">
        <v>731</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293</v>
      </c>
    </row>
    <row r="103" ht="15.75">
      <c r="A103" s="98" t="s">
        <v>0</v>
      </c>
    </row>
    <row r="104" ht="15.75">
      <c r="A104" s="98" t="s">
        <v>1</v>
      </c>
    </row>
    <row r="105" ht="15.75">
      <c r="A105" s="98" t="s">
        <v>2</v>
      </c>
    </row>
    <row r="106" ht="15.75">
      <c r="A106" s="98" t="s">
        <v>294</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7" sqref="E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 7</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200</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f>10502994+4212</f>
        <v>10507206</v>
      </c>
    </row>
    <row r="8" spans="1:5" ht="15.75">
      <c r="A8" s="68" t="str">
        <f>CONCATENATE("New Improvements for ",inputPrYr!D6-1,"")</f>
        <v>New Improvements for 2013</v>
      </c>
      <c r="B8" s="69"/>
      <c r="C8" s="69"/>
      <c r="D8" s="69"/>
      <c r="E8" s="70">
        <v>46036</v>
      </c>
    </row>
    <row r="9" spans="1:5" ht="15.75">
      <c r="A9" s="68" t="str">
        <f>CONCATENATE("Personal Property excluding oil, gas, and mobile homes- ",inputPrYr!D6-1,"")</f>
        <v>Personal Property excluding oil, gas, and mobile homes- 2013</v>
      </c>
      <c r="B9" s="69"/>
      <c r="C9" s="69"/>
      <c r="D9" s="69"/>
      <c r="E9" s="70">
        <v>202053</v>
      </c>
    </row>
    <row r="10" spans="1:5" ht="15.75">
      <c r="A10" s="68" t="str">
        <f>CONCATENATE("Property that has changed in use for ",inputPrYr!D6-1,"")</f>
        <v>Property that has changed in use for 2013</v>
      </c>
      <c r="B10" s="69"/>
      <c r="C10" s="69"/>
      <c r="D10" s="69"/>
      <c r="E10" s="70">
        <v>26848</v>
      </c>
    </row>
    <row r="11" spans="1:5" ht="15.75">
      <c r="A11" s="67" t="str">
        <f>CONCATENATE("Personal Property excluding oil, gas, and mobile homes- ",inputPrYr!D6-2,"")</f>
        <v>Personal Property excluding oil, gas, and mobile homes- 2012</v>
      </c>
      <c r="B11" s="42"/>
      <c r="C11" s="42"/>
      <c r="D11" s="42"/>
      <c r="E11" s="70">
        <v>199075</v>
      </c>
    </row>
    <row r="12" spans="1:5" ht="15.75">
      <c r="A12" s="68" t="str">
        <f>CONCATENATE("Neighborhood Revitalization - ",E1,"")</f>
        <v>Neighborhood Revitalization - 2014</v>
      </c>
      <c r="B12" s="69"/>
      <c r="C12" s="69"/>
      <c r="D12" s="69"/>
      <c r="E12" s="70">
        <v>89955</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3.216</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3.216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9809635</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2484</v>
      </c>
    </row>
    <row r="28" spans="1:5" ht="15.75">
      <c r="A28" s="68" t="s">
        <v>15</v>
      </c>
      <c r="B28" s="69"/>
      <c r="C28" s="69"/>
      <c r="D28" s="86"/>
      <c r="E28" s="37">
        <v>28</v>
      </c>
    </row>
    <row r="29" spans="1:5" ht="15.75">
      <c r="A29" s="68" t="s">
        <v>175</v>
      </c>
      <c r="B29" s="69"/>
      <c r="C29" s="69"/>
      <c r="D29" s="86"/>
      <c r="E29" s="37">
        <v>389</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220</v>
      </c>
      <c r="B41" s="94" t="s">
        <v>221</v>
      </c>
      <c r="C41" s="95" t="s">
        <v>222</v>
      </c>
      <c r="D41" s="96"/>
      <c r="E41" s="96"/>
    </row>
    <row r="42" spans="1:5" ht="15.75">
      <c r="A42" s="97" t="str">
        <f>inputPrYr!B19</f>
        <v>General</v>
      </c>
      <c r="B42" s="58"/>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328</v>
      </c>
      <c r="B2" s="574"/>
      <c r="C2" s="574"/>
      <c r="D2" s="574"/>
      <c r="E2" s="574"/>
      <c r="F2" s="574"/>
    </row>
    <row r="4" spans="1:6" ht="15.75">
      <c r="A4" s="366"/>
      <c r="B4" s="366"/>
      <c r="C4" s="366"/>
      <c r="D4" s="367"/>
      <c r="E4" s="366"/>
      <c r="F4" s="366"/>
    </row>
    <row r="5" spans="1:6" ht="15.75">
      <c r="A5" s="368" t="s">
        <v>329</v>
      </c>
      <c r="B5" s="369"/>
      <c r="C5" s="370"/>
      <c r="D5" s="368" t="s">
        <v>733</v>
      </c>
      <c r="E5" s="366"/>
      <c r="F5" s="366"/>
    </row>
    <row r="6" spans="1:6" ht="15.75">
      <c r="A6" s="368"/>
      <c r="B6" s="371"/>
      <c r="C6" s="372"/>
      <c r="D6" s="368" t="s">
        <v>732</v>
      </c>
      <c r="E6" s="366"/>
      <c r="F6" s="366"/>
    </row>
    <row r="7" spans="1:6" ht="15.75">
      <c r="A7" s="368" t="s">
        <v>330</v>
      </c>
      <c r="B7" s="369"/>
      <c r="C7" s="373"/>
      <c r="D7" s="368"/>
      <c r="E7" s="366"/>
      <c r="F7" s="366"/>
    </row>
    <row r="8" spans="1:6" ht="15.75">
      <c r="A8" s="368"/>
      <c r="B8" s="368"/>
      <c r="C8" s="368"/>
      <c r="D8" s="368"/>
      <c r="E8" s="366"/>
      <c r="F8" s="366"/>
    </row>
    <row r="9" spans="1:6" ht="15.75">
      <c r="A9" s="368" t="s">
        <v>331</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c r="C12" s="374"/>
      <c r="D12" s="374"/>
      <c r="E12" s="375"/>
      <c r="F12" s="366"/>
    </row>
    <row r="15" spans="1:6" ht="15.75">
      <c r="A15" s="575" t="s">
        <v>333</v>
      </c>
      <c r="B15" s="575"/>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9" sqref="D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158</v>
      </c>
      <c r="B5" s="26"/>
      <c r="C5" s="26"/>
      <c r="D5" s="26"/>
      <c r="E5" s="26"/>
      <c r="F5" s="26"/>
      <c r="G5" s="26"/>
    </row>
    <row r="6" spans="1:7" ht="15.75">
      <c r="A6" s="560" t="str">
        <f>inputPrYr!D3</f>
        <v>FIRE DISTRICT # 7</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221</v>
      </c>
      <c r="F15" s="584" t="str">
        <f>CONCATENATE("Amount of ",G3-1," Ad Valorem Tax")</f>
        <v>Amount of 2013 Ad Valorem Tax</v>
      </c>
      <c r="G15" s="106" t="s">
        <v>21</v>
      </c>
    </row>
    <row r="16" spans="1:7" ht="15.75">
      <c r="A16" s="17" t="s">
        <v>22</v>
      </c>
      <c r="B16" s="18"/>
      <c r="C16" s="18"/>
      <c r="D16" s="108" t="s">
        <v>23</v>
      </c>
      <c r="E16" s="108" t="s">
        <v>578</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t="s">
        <v>737</v>
      </c>
      <c r="E20" s="103"/>
      <c r="F20" s="103"/>
      <c r="G20" s="115"/>
    </row>
    <row r="21" spans="1:7" ht="15.75">
      <c r="A21" s="113" t="s">
        <v>146</v>
      </c>
      <c r="B21" s="109"/>
      <c r="C21" s="109"/>
      <c r="D21" s="117" t="s">
        <v>737</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4</v>
      </c>
      <c r="E23" s="124">
        <f>IF(gen!$E$50&lt;&gt;0,gen!$E$50,"  ")</f>
        <v>40384</v>
      </c>
      <c r="F23" s="124">
        <f>IF(gen!$E$57&lt;&gt;0,gen!$E$57,"  ")</f>
        <v>33787.490000000005</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40384</v>
      </c>
      <c r="F30" s="415">
        <f>SUM(F23:F28)</f>
        <v>33787.490000000005</v>
      </c>
      <c r="G30" s="419">
        <f>IF(SUM(G23:G28)=0,"",SUM(G23:G28))</f>
      </c>
    </row>
    <row r="31" spans="1:7" ht="15.75">
      <c r="A31" s="122" t="s">
        <v>209</v>
      </c>
      <c r="B31" s="69"/>
      <c r="C31" s="119"/>
      <c r="D31" s="138">
        <f>summ!E41</f>
        <v>6</v>
      </c>
      <c r="E31" s="142" t="s">
        <v>204</v>
      </c>
      <c r="F31" s="418" t="str">
        <f>IF(F30&gt;computation!J34,"Yes","No")</f>
        <v>Yes</v>
      </c>
      <c r="G31" s="420" t="s">
        <v>139</v>
      </c>
    </row>
    <row r="32" spans="1:7" ht="15.75">
      <c r="A32" s="122" t="s">
        <v>228</v>
      </c>
      <c r="B32" s="140"/>
      <c r="C32" s="141"/>
      <c r="D32" s="138">
        <f>IF(Nhood!C35=0,"",Nhood!C35)</f>
        <v>7</v>
      </c>
      <c r="E32" s="416"/>
      <c r="F32" s="71"/>
      <c r="G32" s="147"/>
    </row>
    <row r="33" spans="1:7" ht="15.75">
      <c r="A33" s="143" t="s">
        <v>203</v>
      </c>
      <c r="B33" s="69"/>
      <c r="C33" s="119"/>
      <c r="D33" s="138">
        <f>IF(Resolution!E45=0,"",Resolution!E45)</f>
        <v>8</v>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D29" sqref="D29"/>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 7</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31547</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31547</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46036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202053</v>
      </c>
      <c r="F14" s="156"/>
      <c r="G14" s="39"/>
      <c r="H14" s="39"/>
      <c r="I14" s="159"/>
      <c r="J14" s="39"/>
    </row>
    <row r="15" spans="1:10" ht="15.75">
      <c r="A15" s="155"/>
      <c r="B15" s="18" t="s">
        <v>102</v>
      </c>
      <c r="C15" s="18" t="str">
        <f>CONCATENATE("Personal Property ",J1-2,"")</f>
        <v>Personal Property 2012</v>
      </c>
      <c r="D15" s="155" t="s">
        <v>98</v>
      </c>
      <c r="E15" s="43">
        <f>inputOth!E11</f>
        <v>199075</v>
      </c>
      <c r="F15" s="156"/>
      <c r="G15" s="159"/>
      <c r="H15" s="159"/>
      <c r="I15" s="39"/>
      <c r="J15" s="39"/>
    </row>
    <row r="16" spans="1:10" ht="15.75">
      <c r="A16" s="155"/>
      <c r="B16" s="18" t="s">
        <v>103</v>
      </c>
      <c r="C16" s="18" t="s">
        <v>117</v>
      </c>
      <c r="D16" s="18"/>
      <c r="E16" s="39"/>
      <c r="F16" s="39" t="s">
        <v>95</v>
      </c>
      <c r="G16" s="158">
        <f>IF(E14&gt;E15,E14-E15,0)</f>
        <v>2978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26848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75862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10507206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10431344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0.007272504866103543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229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31776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31776</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D29" sqref="D29"/>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 7</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237</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163</v>
      </c>
      <c r="H10" s="18"/>
      <c r="I10" s="18"/>
      <c r="J10" s="18"/>
    </row>
    <row r="11" spans="1:10" ht="15.75">
      <c r="A11" s="18"/>
      <c r="B11" s="38" t="str">
        <f>inputPrYr!B19</f>
        <v>General</v>
      </c>
      <c r="C11" s="128">
        <f>inputPrYr!E19</f>
        <v>31547</v>
      </c>
      <c r="D11" s="128">
        <f>IF(E17=0,0,E17-D12-D13-D14)</f>
        <v>2484</v>
      </c>
      <c r="E11" s="128">
        <f>IF(E19=0,0,E19-E12-E13-E14)</f>
        <v>28</v>
      </c>
      <c r="F11" s="128">
        <f>IF(E21=0,0,E21-F12-F13-F14)</f>
        <v>389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31547</v>
      </c>
      <c r="D15" s="137">
        <f>SUM(D11:D14)</f>
        <v>2484</v>
      </c>
      <c r="E15" s="137">
        <f>SUM(E11:E14)</f>
        <v>28</v>
      </c>
      <c r="F15" s="137">
        <f>SUM(F11:F14)</f>
        <v>389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2484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389</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0.07873965828763432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0.0008875645861730117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0.01233080800076077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FIRE DISTRICT # 7</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147</v>
      </c>
      <c r="B5" s="579"/>
      <c r="C5" s="579"/>
      <c r="D5" s="579"/>
      <c r="E5" s="579"/>
      <c r="F5" s="579"/>
    </row>
    <row r="6" spans="1:6" ht="14.25" customHeight="1">
      <c r="A6" s="99"/>
      <c r="B6" s="176"/>
      <c r="C6" s="176"/>
      <c r="D6" s="176"/>
      <c r="E6" s="176"/>
      <c r="F6" s="176"/>
    </row>
    <row r="7" spans="1:6" ht="17.25" customHeight="1">
      <c r="A7" s="177" t="s">
        <v>24</v>
      </c>
      <c r="B7" s="177" t="s">
        <v>569</v>
      </c>
      <c r="C7" s="177" t="s">
        <v>51</v>
      </c>
      <c r="D7" s="177" t="s">
        <v>148</v>
      </c>
      <c r="E7" s="177" t="s">
        <v>149</v>
      </c>
      <c r="F7" s="177" t="s">
        <v>164</v>
      </c>
    </row>
    <row r="8" spans="1:6" ht="17.25" customHeight="1">
      <c r="A8" s="178" t="s">
        <v>570</v>
      </c>
      <c r="B8" s="178" t="s">
        <v>571</v>
      </c>
      <c r="C8" s="178" t="s">
        <v>165</v>
      </c>
      <c r="D8" s="178" t="s">
        <v>165</v>
      </c>
      <c r="E8" s="178" t="s">
        <v>165</v>
      </c>
      <c r="F8" s="178" t="s">
        <v>166</v>
      </c>
    </row>
    <row r="9" spans="1:6" s="181" customFormat="1" ht="18" customHeight="1">
      <c r="A9" s="179" t="s">
        <v>167</v>
      </c>
      <c r="B9" s="179" t="s">
        <v>168</v>
      </c>
      <c r="C9" s="180">
        <f>F1-2</f>
        <v>2012</v>
      </c>
      <c r="D9" s="180">
        <f>F1-1</f>
        <v>2013</v>
      </c>
      <c r="E9" s="180">
        <f>F1</f>
        <v>2014</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2013-07-22T13:13:22Z</cp:lastPrinted>
  <dcterms:created xsi:type="dcterms:W3CDTF">1999-08-06T13:59:57Z</dcterms:created>
  <dcterms:modified xsi:type="dcterms:W3CDTF">2013-07-22T13:27:51Z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