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<sst xmlns="http://schemas.openxmlformats.org/spreadsheetml/2006/main" count="1230" uniqueCount="825">
  <si>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</si>
  <si>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</si>
  <si>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</si>
  <si>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</si>
  <si>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</si>
  <si>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</si>
  <si>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</si>
  <si>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</si>
  <si>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</si>
  <si>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</si>
  <si>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</si>
  <si>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</si>
  <si>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</si>
  <si>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</si>
  <si>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</si>
  <si>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</si>
  <si>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</si>
  <si>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</si>
  <si>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</si>
  <si>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</si>
  <si>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</si>
  <si>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</si>
  <si>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</si>
  <si>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</si>
  <si>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</si>
  <si>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</si>
  <si>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</si>
  <si>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</si>
  <si>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</si>
  <si>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</si>
  <si>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</si>
  <si>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</si>
  <si>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</si>
  <si>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</si>
  <si>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</si>
  <si>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</si>
  <si>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</si>
  <si>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</si>
  <si>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</si>
  <si>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</si>
  <si>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</si>
  <si>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</si>
  <si>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</si>
  <si>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</si>
  <si>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</si>
  <si>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</si>
  <si>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</si>
  <si>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</si>
  <si>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</si>
  <si>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</si>
  <si>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</si>
  <si>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</si>
  <si>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</si>
  <si>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</si>
  <si>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</si>
  <si>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</si>
  <si>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</si>
  <si>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</si>
  <si>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</si>
  <si>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</si>
  <si>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</si>
  <si>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</si>
  <si>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</si>
  <si>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</si>
  <si>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</si>
  <si>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</si>
  <si>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</si>
  <si>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</si>
  <si>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</si>
  <si>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</si>
  <si>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</si>
  <si>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</si>
  <si>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</si>
  <si>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</si>
  <si>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</si>
  <si>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</si>
  <si>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</si>
  <si>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</si>
  <si>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</si>
  <si>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</si>
  <si>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</si>
  <si>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</si>
  <si>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</si>
  <si>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</si>
  <si>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</si>
  <si>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</si>
  <si>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</si>
  <si>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</si>
  <si>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</si>
  <si>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</si>
  <si>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</si>
  <si>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</si>
  <si>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</si>
  <si>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</si>
  <si>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</si>
  <si>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</si>
  <si>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</si>
  <si>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</si>
  <si>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</si>
  <si>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</si>
  <si>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</si>
  <si>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</si>
  <si>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</si>
  <si>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</si>
  <si>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</si>
  <si>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</si>
  <si>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</si>
  <si>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</si>
  <si>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</si>
  <si>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</si>
  <si>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</si>
  <si>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</si>
  <si>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</si>
  <si>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</si>
  <si>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</si>
  <si>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</si>
  <si>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</si>
  <si>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</si>
  <si>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</si>
  <si>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</si>
  <si>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</si>
  <si>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</si>
  <si>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</si>
  <si>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</si>
  <si>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</si>
  <si>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</si>
  <si>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</si>
  <si>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</si>
  <si>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</si>
  <si>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</si>
  <si>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</si>
  <si>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</si>
  <si>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</si>
  <si>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</si>
  <si>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</si>
  <si>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</si>
  <si>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</si>
  <si>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</si>
  <si>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</si>
  <si>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</si>
  <si>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</si>
  <si>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</si>
  <si>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</si>
  <si>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</si>
  <si>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</si>
  <si>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</si>
  <si>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</si>
  <si>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</si>
  <si>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</si>
  <si>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</si>
  <si>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</si>
  <si>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</si>
  <si>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</si>
  <si>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</si>
  <si>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</si>
  <si>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</si>
  <si>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</si>
  <si>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</si>
  <si>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</si>
  <si>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</si>
  <si>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</si>
  <si>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</si>
  <si>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</si>
  <si>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</si>
  <si>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</si>
  <si>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</si>
  <si>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</si>
  <si>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</si>
  <si>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</si>
  <si>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</si>
  <si>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</si>
  <si>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</si>
  <si>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</si>
  <si>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</si>
  <si>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</si>
  <si>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</si>
  <si>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</si>
  <si>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</si>
  <si>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</si>
  <si>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</si>
  <si>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</si>
  <si>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</si>
  <si>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</si>
  <si>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</si>
  <si>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</si>
  <si>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</si>
  <si>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</si>
  <si>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</si>
  <si>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</si>
  <si>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</si>
  <si>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</si>
  <si>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</si>
  <si>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</si>
  <si>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</si>
  <si>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</si>
  <si>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</si>
  <si>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</si>
  <si>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</si>
  <si>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</si>
  <si>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</si>
  <si>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</si>
  <si>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</si>
  <si>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</si>
  <si>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</si>
  <si>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</si>
  <si>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</si>
  <si>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</si>
  <si>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</si>
  <si>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</si>
  <si>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</si>
  <si>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</si>
  <si>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</si>
  <si>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</si>
  <si>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</si>
  <si>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</si>
  <si>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</si>
  <si>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</si>
  <si>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</si>
  <si>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</si>
  <si>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</si>
  <si>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</si>
  <si>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</si>
  <si>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</si>
  <si>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</si>
  <si>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</si>
  <si>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</si>
  <si>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</si>
  <si>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</si>
  <si>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</si>
  <si>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</si>
  <si>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</si>
  <si>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</si>
  <si>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</si>
  <si>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</si>
  <si>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</si>
  <si>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</si>
  <si>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</si>
  <si>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</si>
  <si>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</si>
  <si>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</si>
  <si>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</si>
  <si>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</si>
  <si>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</si>
  <si>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</si>
  <si>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</si>
  <si>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</si>
  <si>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</si>
  <si>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</si>
  <si>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</si>
  <si>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</si>
  <si>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</si>
  <si>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</si>
  <si>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</si>
  <si>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</si>
  <si>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</si>
  <si>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</si>
  <si>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</si>
  <si>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</si>
  <si>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</si>
  <si>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</si>
  <si>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</si>
  <si>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</si>
  <si>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</si>
  <si>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</si>
  <si>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</si>
  <si>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</si>
  <si>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</si>
  <si>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</si>
  <si>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</si>
  <si>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</si>
  <si>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</si>
  <si>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</si>
  <si>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</si>
  <si>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</si>
  <si>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</si>
  <si>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</si>
  <si>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</si>
  <si>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</si>
  <si>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</si>
  <si>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</si>
  <si>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</si>
  <si>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</si>
  <si>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</si>
  <si>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</si>
  <si>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</si>
  <si>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</si>
  <si>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</si>
  <si>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</si>
  <si>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</si>
  <si>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</si>
  <si>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</si>
  <si>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</si>
  <si>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</si>
  <si>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</si>
  <si>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</si>
  <si>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</si>
  <si>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</si>
  <si>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</si>
  <si>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</si>
  <si>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</si>
  <si>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</si>
  <si>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</si>
  <si>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</si>
  <si>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</si>
  <si>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</si>
  <si>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</si>
  <si>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</si>
  <si>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</si>
  <si>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</si>
  <si>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</si>
  <si>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</si>
  <si>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</si>
  <si>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</si>
  <si>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</si>
  <si>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</si>
  <si>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</si>
  <si>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</si>
  <si>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</si>
  <si>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</si>
  <si>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</si>
  <si>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</si>
  <si>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</si>
  <si>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</si>
  <si>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</si>
  <si>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</si>
  <si>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</si>
  <si>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</si>
  <si>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</si>
  <si>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</si>
  <si>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</si>
  <si>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</si>
  <si>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</si>
  <si>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</si>
  <si>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</si>
  <si>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</si>
  <si>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</si>
  <si>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</si>
  <si>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</si>
  <si>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</si>
  <si>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</si>
  <si>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</si>
  <si>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</si>
  <si>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</si>
  <si>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</si>
  <si>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</si>
  <si>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</si>
  <si>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</si>
  <si>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</si>
  <si>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</si>
  <si>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</si>
  <si>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</si>
  <si>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</si>
  <si>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</si>
  <si>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</si>
  <si>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</si>
  <si>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</si>
  <si>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</si>
  <si>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</si>
  <si>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</si>
  <si>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</si>
  <si>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</si>
  <si>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</si>
  <si>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</si>
  <si>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</si>
  <si>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</si>
  <si>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</si>
  <si>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</si>
  <si>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</si>
  <si>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</si>
  <si>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</si>
  <si>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</si>
  <si>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</si>
  <si>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</si>
  <si>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</si>
  <si>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</si>
  <si>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</si>
  <si>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</si>
  <si>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</si>
  <si>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</si>
  <si>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</si>
  <si>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</si>
  <si>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</si>
  <si>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</si>
  <si>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</si>
  <si>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</si>
  <si>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</si>
  <si>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</si>
  <si>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</si>
  <si>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</si>
  <si>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</si>
  <si>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</si>
  <si>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</si>
  <si>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</si>
  <si>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</si>
  <si>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</si>
  <si>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</si>
  <si>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</si>
  <si>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</si>
  <si>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</si>
  <si>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</si>
  <si>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</si>
  <si>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</si>
  <si>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</si>
  <si>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</si>
  <si>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</si>
  <si>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</si>
  <si>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</si>
  <si>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</si>
  <si>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</si>
  <si>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</si>
  <si>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</si>
  <si>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</si>
  <si>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</si>
  <si>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</si>
  <si>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</si>
  <si>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</si>
  <si>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</si>
  <si>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</si>
  <si>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</si>
  <si>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</si>
  <si>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</si>
  <si>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</si>
  <si>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</si>
  <si>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</si>
  <si>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</si>
  <si>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</si>
  <si>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</si>
  <si>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</si>
  <si>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</si>
  <si>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</si>
  <si>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</si>
  <si>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</si>
  <si>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</si>
  <si>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</si>
  <si>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</si>
  <si>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</si>
  <si>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</si>
  <si>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</si>
  <si>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</si>
  <si>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</si>
  <si>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</si>
  <si>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</si>
  <si>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</si>
  <si>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</si>
  <si>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</si>
  <si>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</si>
  <si>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</si>
  <si>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</si>
  <si>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</si>
  <si>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</si>
  <si>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</si>
  <si>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</si>
  <si>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</si>
  <si>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</si>
  <si>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</si>
  <si>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</si>
  <si>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</si>
  <si>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</si>
  <si>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</si>
  <si>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</si>
  <si>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</si>
  <si>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</si>
  <si>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</si>
  <si>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</si>
  <si>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</si>
  <si>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</si>
  <si>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</si>
  <si>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</si>
  <si>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</si>
  <si>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</si>
  <si>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</si>
  <si>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</si>
  <si>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</si>
  <si>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</si>
  <si>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</si>
  <si>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</si>
  <si>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</si>
  <si>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</si>
  <si>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</si>
  <si>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</si>
  <si>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</si>
  <si>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</si>
  <si>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</si>
  <si>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</si>
  <si>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</si>
  <si>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</si>
  <si>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</si>
  <si>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</si>
  <si>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</si>
  <si>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</si>
  <si>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</si>
  <si>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</si>
  <si>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</si>
  <si>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</si>
  <si>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</si>
  <si>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</si>
  <si>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</si>
  <si>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</si>
  <si>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</si>
  <si>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</si>
  <si>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</si>
  <si>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</si>
  <si>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</si>
  <si>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</si>
  <si>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</si>
  <si>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</si>
  <si>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</si>
  <si>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</si>
  <si>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</si>
  <si>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</si>
  <si>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</si>
  <si>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</si>
  <si>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</si>
  <si>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</si>
  <si>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</si>
  <si>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</si>
  <si>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</si>
  <si>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</si>
  <si>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</si>
  <si>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</si>
  <si>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</si>
  <si>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</si>
  <si>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</si>
  <si>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</si>
  <si>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</si>
  <si>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</si>
  <si>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</si>
  <si>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</si>
  <si>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</si>
  <si>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</si>
  <si>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</si>
  <si>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</si>
  <si>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</si>
  <si>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</si>
  <si>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</si>
  <si>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</si>
  <si>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</si>
  <si>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</si>
  <si>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</si>
  <si>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</si>
  <si>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</si>
  <si>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</si>
  <si>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</si>
  <si>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</si>
  <si>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</si>
  <si>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</si>
  <si>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</si>
  <si>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</si>
  <si>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</si>
  <si>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</si>
  <si>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</si>
  <si>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</si>
  <si>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</si>
  <si>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</si>
  <si>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</si>
  <si>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</si>
  <si>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</si>
  <si>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</si>
  <si>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</si>
  <si>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</si>
  <si>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</si>
  <si>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</si>
  <si>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</si>
  <si>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</si>
  <si>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</si>
  <si>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</si>
  <si>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</si>
  <si>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</si>
  <si>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</si>
  <si>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</si>
  <si>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</si>
  <si>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</si>
  <si>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</si>
  <si>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</si>
  <si>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</si>
  <si>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</si>
  <si>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</si>
  <si>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</si>
  <si>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</si>
  <si>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</si>
  <si>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</si>
  <si>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</si>
  <si>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</si>
  <si>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</si>
  <si>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</si>
  <si>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</si>
  <si>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</si>
  <si>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</si>
  <si>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</si>
  <si>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</si>
  <si>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</si>
  <si>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</si>
  <si>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</si>
  <si>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</si>
  <si>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</si>
  <si>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</si>
  <si>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</si>
  <si>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</si>
  <si>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</si>
  <si>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</si>
  <si>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</si>
  <si>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</si>
  <si>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</si>
  <si>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</si>
  <si>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</si>
  <si>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</si>
  <si>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</si>
  <si>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</si>
  <si>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</si>
  <si>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</si>
  <si>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</si>
  <si>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</si>
  <si>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</si>
  <si>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</si>
  <si>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</si>
  <si>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</si>
  <si>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</si>
  <si>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</si>
  <si>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</si>
  <si>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</si>
  <si>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</si>
  <si>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</si>
  <si>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</si>
  <si>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</si>
  <si>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</si>
  <si>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</si>
  <si>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</si>
  <si>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</si>
  <si>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</si>
  <si>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</si>
  <si>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</si>
  <si>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</si>
  <si>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</si>
  <si>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</si>
  <si>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</si>
  <si>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</si>
  <si>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</si>
  <si>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</si>
  <si>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</si>
  <si>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</si>
  <si>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</si>
  <si>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</si>
  <si>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</si>
  <si>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</si>
  <si>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</si>
  <si>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</si>
  <si>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</si>
  <si>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</si>
  <si>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</si>
  <si>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</si>
  <si>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</si>
  <si>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</si>
  <si>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</si>
  <si>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</si>
  <si>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</si>
  <si>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</si>
  <si>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</si>
  <si>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</si>
  <si>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</si>
  <si>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</si>
  <si>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</si>
  <si>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</si>
  <si>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</si>
  <si>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</si>
  <si>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</si>
  <si>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</si>
  <si>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</si>
  <si>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</si>
  <si>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</si>
  <si>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</si>
  <si>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</si>
  <si>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</si>
  <si>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</si>
  <si>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</si>
  <si>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</si>
  <si>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</si>
  <si>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</si>
  <si>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</si>
  <si>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</si>
  <si>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</si>
  <si>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</si>
  <si>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</si>
  <si>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</si>
  <si>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</si>
  <si>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</si>
  <si>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</si>
  <si>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</si>
  <si>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</si>
  <si>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</si>
  <si>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</si>
  <si>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</si>
  <si>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</si>
  <si>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</si>
  <si>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</si>
  <si>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</si>
  <si>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</si>
  <si>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</si>
  <si>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</si>
  <si>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</si>
  <si>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</si>
  <si>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</si>
  <si>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</si>
  <si>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</si>
  <si>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</si>
  <si>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</si>
  <si>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</si>
  <si>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</si>
  <si>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</si>
  <si>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</si>
  <si>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</si>
  <si>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</si>
  <si>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</si>
  <si>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</si>
  <si>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</si>
  <si>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</si>
  <si>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</si>
  <si>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</si>
  <si>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</si>
  <si>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</si>
  <si>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</si>
  <si>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</si>
  <si>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</si>
  <si>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</si>
  <si>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</si>
  <si>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</si>
  <si>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</si>
  <si>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</si>
  <si>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</si>
  <si>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</si>
  <si>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</si>
  <si>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</si>
  <si>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</si>
  <si>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</si>
  <si>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</si>
  <si>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</si>
  <si>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</si>
  <si>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</si>
  <si>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</si>
  <si>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</si>
  <si>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</si>
  <si>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</si>
  <si>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</si>
  <si>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</si>
  <si>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</si>
  <si>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</si>
  <si>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</si>
  <si>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</si>
  <si>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</si>
  <si>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</si>
  <si>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</si>
  <si>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</si>
  <si>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</si>
  <si>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</si>
  <si>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</si>
  <si>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</si>
  <si>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</si>
  <si>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</si>
  <si>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</si>
  <si>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</si>
  <si>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</si>
  <si>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</si>
  <si>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</si>
  <si>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</si>
  <si>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</si>
  <si>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</si>
  <si>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</si>
  <si>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</si>
  <si>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</si>
  <si>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</si>
  <si>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</si>
  <si>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</si>
  <si>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</si>
  <si>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</si>
  <si>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</si>
  <si>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</si>
  <si>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</si>
  <si>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</si>
  <si>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</si>
  <si>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</si>
  <si>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</si>
  <si>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</si>
  <si>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</si>
  <si>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</si>
  <si>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</si>
  <si>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</si>
  <si>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</si>
  <si>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</si>
  <si>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</si>
  <si>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</si>
  <si>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</si>
  <si>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</si>
  <si>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</si>
  <si>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</si>
  <si>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</si>
  <si>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</si>
  <si>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</si>
  <si>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</si>
  <si>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</si>
  <si>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</si>
  <si>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</si>
  <si>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</si>
  <si>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</si>
  <si>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</si>
  <si>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</si>
  <si>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</si>
  <si>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</si>
  <si>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</si>
  <si>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</si>
  <si>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VIRGIL CEMETERY</t>
  </si>
  <si>
    <t>GREENWOOD COUNTY</t>
  </si>
  <si>
    <t>Operations</t>
  </si>
  <si>
    <t>Mowing and fuel</t>
  </si>
  <si>
    <t>Stone Maintenance</t>
  </si>
  <si>
    <t>Office and Insurance</t>
  </si>
  <si>
    <t>Equipment</t>
  </si>
  <si>
    <t>VIRGIL   CEMETERY</t>
  </si>
  <si>
    <t>GREENWOOD  COUNTY</t>
  </si>
  <si>
    <t>Services</t>
  </si>
  <si>
    <t>Set Stone</t>
  </si>
  <si>
    <t>Reimbursed Services</t>
  </si>
  <si>
    <t>DEANNA SMITH, EA</t>
  </si>
  <si>
    <t>DEANNA SMITH ACCOUNTING</t>
  </si>
  <si>
    <t>PO BOX 427</t>
  </si>
  <si>
    <t>MADISON, KS  66860</t>
  </si>
  <si>
    <t>dee_acc@Yahoo.com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</si>
</sst>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VIRGIL CEMETERY</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4">
      <selection activeCell="E43" sqref="E43"/>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VIRGIL CEMETERY</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13557</v>
      </c>
      <c r="D7" s="424">
        <f>C62</f>
        <v>13619</v>
      </c>
      <c r="E7" s="160">
        <f>D62</f>
        <v>5186</v>
      </c>
      <c r="F7" s="601"/>
    </row>
    <row r="8" spans="2:6" ht="15.75">
      <c r="B8" s="236" t="s">
        <v>120</v>
      </c>
      <c r="C8" s="313"/>
      <c r="D8" s="313"/>
      <c r="E8" s="159"/>
      <c r="F8" s="601"/>
    </row>
    <row r="9" spans="2:6" ht="15.75">
      <c r="B9" s="219" t="s">
        <v>27</v>
      </c>
      <c r="C9" s="420">
        <v>8772</v>
      </c>
      <c r="D9" s="424">
        <f>IF(inputPrYr!H23&gt;0,inputPrYr!G24,inputPrYr!E24)</f>
        <v>6752</v>
      </c>
      <c r="E9" s="230" t="s">
        <v>21</v>
      </c>
      <c r="F9" s="601"/>
    </row>
    <row r="10" spans="2:6" ht="15.75">
      <c r="B10" s="219" t="s">
        <v>28</v>
      </c>
      <c r="C10" s="420"/>
      <c r="D10" s="420"/>
      <c r="E10" s="291"/>
      <c r="F10" s="601"/>
    </row>
    <row r="11" spans="2:6" ht="15.75">
      <c r="B11" s="219" t="s">
        <v>29</v>
      </c>
      <c r="C11" s="420"/>
      <c r="D11" s="420">
        <v>447</v>
      </c>
      <c r="E11" s="160">
        <f>mvalloc!D11</f>
        <v>317</v>
      </c>
      <c r="F11" s="601"/>
    </row>
    <row r="12" spans="2:6" ht="15.75">
      <c r="B12" s="219" t="s">
        <v>30</v>
      </c>
      <c r="C12" s="420"/>
      <c r="D12" s="420">
        <v>5</v>
      </c>
      <c r="E12" s="160">
        <f>mvalloc!E11</f>
        <v>11</v>
      </c>
      <c r="F12" s="601"/>
    </row>
    <row r="13" spans="2:6" ht="15.75">
      <c r="B13" s="313" t="s">
        <v>102</v>
      </c>
      <c r="C13" s="420"/>
      <c r="D13" s="420">
        <v>113</v>
      </c>
      <c r="E13" s="160">
        <f>mvalloc!F11</f>
        <v>90</v>
      </c>
      <c r="F13" s="601"/>
    </row>
    <row r="14" spans="2:6" ht="15.75">
      <c r="B14" s="313" t="s">
        <v>171</v>
      </c>
      <c r="C14" s="420"/>
      <c r="D14" s="420"/>
      <c r="E14" s="160">
        <f>inputOth!D84</f>
        <v>0</v>
      </c>
      <c r="F14" s="601"/>
    </row>
    <row r="15" spans="2:6" ht="15.75">
      <c r="B15" s="314" t="s">
        <v>818</v>
      </c>
      <c r="C15" s="420">
        <v>100</v>
      </c>
      <c r="D15" s="420"/>
      <c r="E15" s="291">
        <v>300</v>
      </c>
      <c r="F15" s="601"/>
    </row>
    <row r="16" spans="2:6" ht="15.75">
      <c r="B16" s="438" t="s">
        <v>817</v>
      </c>
      <c r="C16" s="420"/>
      <c r="D16" s="420">
        <v>500</v>
      </c>
      <c r="E16" s="291">
        <v>8500</v>
      </c>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25</v>
      </c>
      <c r="D30" s="420"/>
      <c r="E30" s="291">
        <v>25</v>
      </c>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8897</v>
      </c>
      <c r="D33" s="423">
        <f>SUM(D9:D31)</f>
        <v>7817</v>
      </c>
      <c r="E33" s="320">
        <f>SUM(E9:E31)</f>
        <v>9243</v>
      </c>
      <c r="F33" s="601"/>
    </row>
    <row r="34" spans="2:6" ht="15.75">
      <c r="B34" s="319" t="s">
        <v>33</v>
      </c>
      <c r="C34" s="423">
        <f>C7+C33</f>
        <v>22454</v>
      </c>
      <c r="D34" s="423">
        <f>D7+D33</f>
        <v>21436</v>
      </c>
      <c r="E34" s="320">
        <f>E7+E33</f>
        <v>14429</v>
      </c>
      <c r="F34" s="601"/>
    </row>
    <row r="35" spans="2:6" ht="15.75">
      <c r="B35" s="219" t="s">
        <v>34</v>
      </c>
      <c r="C35" s="222"/>
      <c r="D35" s="222"/>
      <c r="E35" s="132"/>
      <c r="F35" s="601"/>
    </row>
    <row r="36" spans="2:6" ht="15.75">
      <c r="B36" s="314"/>
      <c r="C36" s="420"/>
      <c r="D36" s="420"/>
      <c r="E36" s="120"/>
      <c r="F36" s="601"/>
    </row>
    <row r="37" spans="2:6" ht="15.75">
      <c r="B37" s="314" t="s">
        <v>810</v>
      </c>
      <c r="C37" s="420">
        <v>421</v>
      </c>
      <c r="D37" s="420">
        <v>5750</v>
      </c>
      <c r="E37" s="120">
        <v>6000</v>
      </c>
      <c r="F37" s="601"/>
    </row>
    <row r="38" spans="2:6" ht="15.75">
      <c r="B38" s="314" t="s">
        <v>811</v>
      </c>
      <c r="C38" s="420">
        <v>6251</v>
      </c>
      <c r="D38" s="420">
        <v>7500</v>
      </c>
      <c r="E38" s="120">
        <v>8000</v>
      </c>
      <c r="F38" s="601"/>
    </row>
    <row r="39" spans="2:6" ht="15.75">
      <c r="B39" s="314" t="s">
        <v>812</v>
      </c>
      <c r="C39" s="420">
        <v>725</v>
      </c>
      <c r="D39" s="420">
        <v>1000</v>
      </c>
      <c r="E39" s="120">
        <v>1500</v>
      </c>
      <c r="F39" s="601"/>
    </row>
    <row r="40" spans="2:6" ht="15.75">
      <c r="B40" s="314" t="s">
        <v>813</v>
      </c>
      <c r="C40" s="420">
        <v>833</v>
      </c>
      <c r="D40" s="420">
        <v>1000</v>
      </c>
      <c r="E40" s="120">
        <v>1000</v>
      </c>
      <c r="F40" s="601"/>
    </row>
    <row r="41" spans="2:6" ht="15.75">
      <c r="B41" s="314" t="s">
        <v>814</v>
      </c>
      <c r="C41" s="420">
        <v>605</v>
      </c>
      <c r="D41" s="420">
        <v>1000</v>
      </c>
      <c r="E41" s="120">
        <v>500</v>
      </c>
      <c r="F41" s="601"/>
    </row>
    <row r="42" spans="2:6" ht="15.75">
      <c r="B42" s="314" t="s">
        <v>819</v>
      </c>
      <c r="C42" s="420"/>
      <c r="D42" s="420"/>
      <c r="E42" s="120">
        <v>4400</v>
      </c>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8835</v>
      </c>
      <c r="D61" s="423">
        <f>SUM(D36:D59)</f>
        <v>16250</v>
      </c>
      <c r="E61" s="320">
        <f>SUM(E36:E59)</f>
        <v>21400</v>
      </c>
      <c r="F61" s="96"/>
      <c r="G61" s="528">
        <f>D62</f>
        <v>5186</v>
      </c>
      <c r="H61" s="529" t="str">
        <f>CONCATENATE("",E3-1," Ending Cash Balance (est.)")</f>
        <v>2013 Ending Cash Balance (est.)</v>
      </c>
      <c r="I61" s="621"/>
      <c r="J61" s="527"/>
      <c r="K61" s="96"/>
    </row>
    <row r="62" spans="2:11" ht="15.75">
      <c r="B62" s="219" t="s">
        <v>119</v>
      </c>
      <c r="C62" s="421">
        <f>C34-C61</f>
        <v>13619</v>
      </c>
      <c r="D62" s="421">
        <f>D34-D61</f>
        <v>5186</v>
      </c>
      <c r="E62" s="230" t="s">
        <v>21</v>
      </c>
      <c r="F62" s="96"/>
      <c r="G62" s="528">
        <f>E33</f>
        <v>9243</v>
      </c>
      <c r="H62" s="530" t="str">
        <f>CONCATENATE("",E3," Non-AV Receipts (est.)")</f>
        <v>2014 Non-AV Receipts (est.)</v>
      </c>
      <c r="I62" s="621"/>
      <c r="J62" s="527"/>
      <c r="K62" s="96"/>
    </row>
    <row r="63" spans="2:11" ht="15.75">
      <c r="B63" s="181" t="str">
        <f>CONCATENATE("",E3-2,"/",E3-1," Budget Authority Amount:")</f>
        <v>2012/2013 Budget Authority Amount:</v>
      </c>
      <c r="C63" s="193">
        <f>inputOth!B102</f>
        <v>21500</v>
      </c>
      <c r="D63" s="170">
        <f>inputPrYr!D24</f>
        <v>22350</v>
      </c>
      <c r="E63" s="230" t="s">
        <v>21</v>
      </c>
      <c r="F63" s="646"/>
      <c r="G63" s="531">
        <f>IF(E67&gt;0,E66,E68)</f>
        <v>6971</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21400</v>
      </c>
      <c r="H64" s="530" t="str">
        <f>CONCATENATE("Total ",E3," Resources Available")</f>
        <v>Total 2014 Resources Available</v>
      </c>
      <c r="I64" s="621"/>
      <c r="J64" s="527"/>
      <c r="K64" s="96"/>
    </row>
    <row r="65" spans="2:11" ht="15.75">
      <c r="B65" s="521" t="str">
        <f>CONCATENATE(C79,"     ",D79)</f>
        <v>     </v>
      </c>
      <c r="C65" s="737" t="s">
        <v>676</v>
      </c>
      <c r="D65" s="738"/>
      <c r="E65" s="160">
        <f>E61+E64</f>
        <v>21400</v>
      </c>
      <c r="F65" s="96"/>
      <c r="G65" s="532"/>
      <c r="H65" s="530"/>
      <c r="I65" s="530"/>
      <c r="J65" s="527"/>
      <c r="K65" s="96"/>
    </row>
    <row r="66" spans="2:11" ht="15.75">
      <c r="B66" s="521" t="str">
        <f>CONCATENATE(C80,"     ",D80)</f>
        <v>     </v>
      </c>
      <c r="C66" s="523"/>
      <c r="D66" s="524" t="s">
        <v>677</v>
      </c>
      <c r="E66" s="163">
        <f>IF(E65-E34&gt;0,E65-E34,0)</f>
        <v>6971</v>
      </c>
      <c r="F66" s="96"/>
      <c r="G66" s="531">
        <f>ROUND(C61*0.05+C61,0)</f>
        <v>9277</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12123</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6971</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2.623</v>
      </c>
      <c r="H71" s="529" t="str">
        <f>CONCATENATE("",E3," Fund Mill Rate")</f>
        <v>2014 Fund Mill Rate</v>
      </c>
      <c r="I71" s="605"/>
      <c r="J71" s="628"/>
      <c r="K71" s="96"/>
    </row>
    <row r="72" spans="2:11" ht="15.75">
      <c r="B72" s="98"/>
      <c r="C72" s="98"/>
      <c r="D72" s="98"/>
      <c r="E72" s="98"/>
      <c r="F72" s="651"/>
      <c r="G72" s="630">
        <f>summ!E16</f>
        <v>2.845</v>
      </c>
      <c r="H72" s="529" t="str">
        <f>CONCATENATE("",E3-1," Fund Mill Rate")</f>
        <v>2013 Fund Mill Rate</v>
      </c>
      <c r="I72" s="605"/>
      <c r="J72" s="628"/>
      <c r="K72" s="96"/>
    </row>
    <row r="73" spans="2:11" ht="15.75">
      <c r="B73" s="98"/>
      <c r="C73" s="177"/>
      <c r="D73" s="177"/>
      <c r="E73" s="177"/>
      <c r="F73" s="644"/>
      <c r="G73" s="631">
        <f>summ!H23</f>
        <v>2.623</v>
      </c>
      <c r="H73" s="529" t="str">
        <f>CONCATENATE("Total ",E3," Mill Rate")</f>
        <v>Total 2014 Mill Rate</v>
      </c>
      <c r="I73" s="605"/>
      <c r="J73" s="628"/>
      <c r="K73" s="96"/>
    </row>
    <row r="74" spans="2:11" ht="15.75">
      <c r="B74" s="181"/>
      <c r="C74" s="115" t="s">
        <v>238</v>
      </c>
      <c r="D74" s="98"/>
      <c r="E74" s="98"/>
      <c r="F74" s="644"/>
      <c r="G74" s="630">
        <f>summ!E23</f>
        <v>2.845</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VIRGIL CEMETERY</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2.623</v>
      </c>
      <c r="H67" s="529" t="str">
        <f>CONCATENATE("Total ",E1," Mill Rate")</f>
        <v>Total 2014 Mill Rate</v>
      </c>
      <c r="I67" s="605"/>
      <c r="J67" s="628"/>
      <c r="K67" s="619"/>
    </row>
    <row r="68" spans="6:11" ht="15.75">
      <c r="F68"/>
      <c r="G68" s="630">
        <f>summ!E23</f>
        <v>2.845</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VIRGIL CEMETERY</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2.623</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2.845</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2.623</v>
      </c>
      <c r="H86" s="529" t="str">
        <f>CONCATENATE("Total ",E3," Mill Rate")</f>
        <v>Total 2014 Mill Rate</v>
      </c>
      <c r="I86" s="605"/>
      <c r="J86" s="628"/>
      <c r="K86" s="96"/>
    </row>
    <row r="87" spans="6:11" ht="15.75">
      <c r="F87" s="96"/>
      <c r="G87" s="630">
        <f>summ!E23</f>
        <v>2.845</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VIRGIL CEMETERY</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VIRGIL CEMETERY</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0">
      <selection activeCell="G23" sqref="G2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VIRGIL CEMETERY</v>
      </c>
      <c r="B4" s="689"/>
      <c r="C4" s="689"/>
      <c r="D4" s="689"/>
      <c r="E4" s="689"/>
      <c r="F4" s="689"/>
      <c r="G4" s="689"/>
      <c r="H4" s="689"/>
    </row>
    <row r="5" spans="1:8" ht="15.75">
      <c r="A5" s="759" t="str">
        <f>inputPrYr!D4</f>
        <v>GREENWOOD COUNTY</v>
      </c>
      <c r="B5" s="759"/>
      <c r="C5" s="759"/>
      <c r="D5" s="759"/>
      <c r="E5" s="759"/>
      <c r="F5" s="759"/>
      <c r="G5" s="759"/>
      <c r="H5" s="759"/>
    </row>
    <row r="6" spans="1:8" ht="15.75">
      <c r="A6" s="748" t="str">
        <f>CONCATENATE("will meet on ",inputBudSum!B7," at ",inputBudSum!B9," at ",inputBudSum!B11," for the purpose of hearing and")</f>
        <v>will meet on  at  at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2657</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8835</v>
      </c>
      <c r="C16" s="663">
        <f>IF(inputPrYr!D43&gt;0,inputPrYr!D43,"  ")</f>
        <v>3.86</v>
      </c>
      <c r="D16" s="160">
        <f>IF(gen!$D$61&lt;&gt;0,gen!$D$61,"  ")</f>
        <v>16250</v>
      </c>
      <c r="E16" s="663">
        <f>IF(inputOth!D46&gt;0,inputOth!D46,"  ")</f>
        <v>2.845</v>
      </c>
      <c r="F16" s="160">
        <f>IF(gen!$E$61&lt;&gt;0,gen!$E$61,"  ")</f>
        <v>21400</v>
      </c>
      <c r="G16" s="160">
        <f>IF(gen!$E$68&lt;&gt;0,gen!$E$68,"  ")</f>
        <v>6971</v>
      </c>
      <c r="H16" s="663">
        <f>IF(gen!E68&gt;0,ROUND(G16/$F$27*1000,3)," ")</f>
        <v>2.623</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2.845</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589</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8835</v>
      </c>
      <c r="C23" s="667">
        <f aca="true" t="shared" si="0" ref="C23:H23">SUM(C16:C21)</f>
        <v>3.86</v>
      </c>
      <c r="D23" s="565">
        <f t="shared" si="0"/>
        <v>16250</v>
      </c>
      <c r="E23" s="667">
        <f t="shared" si="0"/>
        <v>2.845</v>
      </c>
      <c r="F23" s="565">
        <f t="shared" si="0"/>
        <v>21400</v>
      </c>
      <c r="G23" s="565">
        <f>SUM(G16:G21)</f>
        <v>6971</v>
      </c>
      <c r="H23" s="667">
        <f t="shared" si="0"/>
        <v>2.623</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6971</v>
      </c>
    </row>
    <row r="25" spans="1:13" ht="16.5" thickBot="1">
      <c r="A25" s="118" t="s">
        <v>179</v>
      </c>
      <c r="B25" s="130">
        <f>SUM(B23-B24)</f>
        <v>8835</v>
      </c>
      <c r="C25" s="168"/>
      <c r="D25" s="130">
        <f>SUM(D23-D24)</f>
        <v>16250</v>
      </c>
      <c r="E25" s="168"/>
      <c r="F25" s="669">
        <f>SUM(F23-F24)</f>
        <v>21400</v>
      </c>
      <c r="G25" s="165"/>
      <c r="H25" s="166"/>
      <c r="J25" s="552" t="str">
        <f>CONCATENATE("",I3-1," Ad Valorem Tax Revenue:")</f>
        <v>2013 Ad Valorem Tax Revenue:</v>
      </c>
      <c r="K25" s="547"/>
      <c r="L25" s="547"/>
      <c r="M25" s="560">
        <f>ROUND(F27*M17/1000,0)</f>
        <v>7560</v>
      </c>
    </row>
    <row r="26" spans="1:13" ht="16.5" thickTop="1">
      <c r="A26" s="118" t="s">
        <v>47</v>
      </c>
      <c r="B26" s="221">
        <f>inputPrYr!E50</f>
        <v>9487</v>
      </c>
      <c r="C26" s="156"/>
      <c r="D26" s="221">
        <f>inputPrYr!E29</f>
        <v>6752</v>
      </c>
      <c r="E26" s="156"/>
      <c r="F26" s="326" t="s">
        <v>21</v>
      </c>
      <c r="G26" s="98"/>
      <c r="H26" s="98"/>
      <c r="J26" s="561" t="s">
        <v>682</v>
      </c>
      <c r="K26" s="562"/>
      <c r="L26" s="562"/>
      <c r="M26" s="551">
        <f>M24-M25</f>
        <v>-589</v>
      </c>
    </row>
    <row r="27" spans="1:13" ht="16.5" thickBot="1">
      <c r="A27" s="118" t="s">
        <v>212</v>
      </c>
      <c r="B27" s="231">
        <f>inputPrYr!E51</f>
        <v>2118913</v>
      </c>
      <c r="C27" s="156"/>
      <c r="D27" s="231">
        <f>inputOth!E60</f>
        <v>2373643</v>
      </c>
      <c r="E27" s="156"/>
      <c r="F27" s="231">
        <f>inputOth!E12</f>
        <v>2657258</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2.623</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VIRGIL   CEMETERY</v>
      </c>
      <c r="B41" s="712"/>
      <c r="C41" s="149"/>
      <c r="D41" s="98"/>
      <c r="E41" s="98"/>
      <c r="F41" s="98"/>
      <c r="G41" s="98"/>
      <c r="H41" s="138"/>
    </row>
    <row r="42" spans="1:8" ht="15.75">
      <c r="A42" s="747" t="str">
        <f>inputBudSum!B5</f>
        <v>GREENWOOD  COUNTY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VIRGIL CEMETERY</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2657258</v>
      </c>
      <c r="E16" s="98"/>
      <c r="F16" s="138"/>
    </row>
    <row r="17" spans="1:6" ht="15.75">
      <c r="A17" s="98"/>
      <c r="B17" s="98"/>
      <c r="C17" s="98"/>
      <c r="D17" s="98"/>
      <c r="E17" s="98"/>
      <c r="F17" s="138"/>
    </row>
    <row r="18" spans="1:6" ht="15.75">
      <c r="A18" s="98"/>
      <c r="B18" s="763" t="s">
        <v>330</v>
      </c>
      <c r="C18" s="763"/>
      <c r="D18" s="197">
        <f>IF(D16&gt;0,(D16*0.001),"")</f>
        <v>2657.2580000000003</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VIRGIL CEMETERY District with respect to financing the 2014 annual budget for VIRGIL CEMETERY , GREENWOOD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VIRGIL CEMETERY district budget exceed the amount levied to finance the</v>
      </c>
      <c r="C9"/>
      <c r="D9"/>
      <c r="E9"/>
      <c r="F9"/>
      <c r="G9"/>
      <c r="H9"/>
    </row>
    <row r="10" spans="2:8" ht="15.75">
      <c r="B10" s="48" t="str">
        <f>CONCATENATE("",inputPrYr!D11-1," ",inputPrYr!D3," except with regard to revenue produced and attributable to the")</f>
        <v>2013 VIRGIL CEMETERY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VIRGIL CEMETERY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VIRGIL CEMETERY that is our desire to notify the public of the possibility of increased property taxes to finance the 2014 VIRGIL CEMETERY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VIRGIL CEMETERY District Board, GREENWOOD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VIRGIL CEMETERY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4">
      <selection activeCell="E57" sqref="E57"/>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22350</v>
      </c>
      <c r="E24" s="120">
        <v>6752</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6752</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22350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3.86</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3.86</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9487</v>
      </c>
    </row>
    <row r="51" spans="1:5" ht="15.75">
      <c r="A51" s="136" t="str">
        <f>CONCATENATE("Assessed Valuation (",D11-2," budget column):")</f>
        <v>Assessed Valuation (2012 budget column):</v>
      </c>
      <c r="B51" s="112"/>
      <c r="C51" s="98"/>
      <c r="D51" s="98"/>
      <c r="E51" s="137">
        <v>2118913</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7" sqref="D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VIRGIL CEMETERY</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2657258</v>
      </c>
      <c r="E7" s="24"/>
    </row>
    <row r="8" spans="1:5" ht="15.75">
      <c r="A8" s="27">
        <f>inputPrYr!$D$6</f>
        <v>0</v>
      </c>
      <c r="B8" s="20"/>
      <c r="C8" s="20"/>
      <c r="D8" s="11"/>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2657258</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0</v>
      </c>
      <c r="E14" s="14"/>
    </row>
    <row r="15" spans="1:5" ht="15.75">
      <c r="A15" s="27">
        <f>inputPrYr!$D$6</f>
        <v>0</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0</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31452</v>
      </c>
      <c r="E21" s="14"/>
    </row>
    <row r="22" spans="1:5" ht="15.75">
      <c r="A22" s="27">
        <f>inputPrYr!$D$6</f>
        <v>0</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31452</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6309</v>
      </c>
      <c r="E28" s="14"/>
    </row>
    <row r="29" spans="1:5" ht="15.75">
      <c r="A29" s="27">
        <f>inputPrYr!$D$6</f>
        <v>0</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6309</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29019</v>
      </c>
      <c r="E35" s="59"/>
    </row>
    <row r="36" spans="1:5" ht="15.75">
      <c r="A36" s="27">
        <f>inputPrYr!$D$6</f>
        <v>0</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29019</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2.845</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2.845</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2373643</v>
      </c>
      <c r="E55" s="36"/>
    </row>
    <row r="56" spans="1:5" ht="15.75">
      <c r="A56" s="27">
        <f>inputPrYr!$D$6</f>
        <v>0</v>
      </c>
      <c r="B56" s="36"/>
      <c r="C56" s="36"/>
      <c r="D56" s="81"/>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2373643</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317</v>
      </c>
      <c r="E64" s="24"/>
    </row>
    <row r="65" spans="1:5" ht="15.75">
      <c r="A65" s="27">
        <f>inputPrYr!$D$6</f>
        <v>0</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317</v>
      </c>
    </row>
    <row r="70" spans="1:5" ht="16.5" thickTop="1">
      <c r="A70" s="63" t="s">
        <v>147</v>
      </c>
      <c r="B70" s="14"/>
      <c r="C70" s="14"/>
      <c r="D70" s="14"/>
      <c r="E70" s="49"/>
    </row>
    <row r="71" spans="1:5" ht="15.75">
      <c r="A71" s="27" t="str">
        <f>inputPrYr!$D$4</f>
        <v>GREENWOOD COUNTY</v>
      </c>
      <c r="B71" s="14"/>
      <c r="C71" s="14"/>
      <c r="D71" s="11">
        <v>11</v>
      </c>
      <c r="E71" s="24"/>
    </row>
    <row r="72" spans="1:5" ht="15.75">
      <c r="A72" s="27">
        <f>inputPrYr!$D$6</f>
        <v>0</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11</v>
      </c>
    </row>
    <row r="77" spans="1:5" ht="16.5" thickTop="1">
      <c r="A77" s="63" t="s">
        <v>143</v>
      </c>
      <c r="B77" s="14"/>
      <c r="C77" s="14"/>
      <c r="D77" s="14"/>
      <c r="E77" s="49"/>
    </row>
    <row r="78" spans="1:5" ht="15.75">
      <c r="A78" s="27" t="str">
        <f>inputPrYr!$D$4</f>
        <v>GREENWOOD COUNTY</v>
      </c>
      <c r="B78" s="14"/>
      <c r="C78" s="14"/>
      <c r="D78" s="11">
        <v>90</v>
      </c>
      <c r="E78" s="24"/>
    </row>
    <row r="79" spans="1:5" ht="15.75">
      <c r="A79" s="27">
        <f>inputPrYr!$D$6</f>
        <v>0</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90</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f>inputPrYr!$D$6</f>
        <v>0</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21500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5">
      <selection activeCell="D10" sqref="D10"/>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815</v>
      </c>
      <c r="C3" s="642"/>
      <c r="D3" s="642"/>
      <c r="E3" s="642"/>
      <c r="F3" s="642"/>
      <c r="J3" s="654" t="s">
        <v>767</v>
      </c>
    </row>
    <row r="4" spans="1:10" ht="15" customHeight="1">
      <c r="A4" s="641"/>
      <c r="B4" s="642"/>
      <c r="C4" s="642"/>
      <c r="D4" s="642"/>
      <c r="E4" s="642"/>
      <c r="F4" s="642"/>
      <c r="J4" s="654" t="s">
        <v>768</v>
      </c>
    </row>
    <row r="5" spans="1:10" ht="15" customHeight="1">
      <c r="A5" s="1" t="s">
        <v>764</v>
      </c>
      <c r="B5" s="388" t="s">
        <v>816</v>
      </c>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75">
      <c r="A20" s="387"/>
      <c r="B20" s="387"/>
      <c r="C20" s="387"/>
      <c r="D20" s="387"/>
      <c r="E20" s="387"/>
      <c r="I20" s="657">
        <f>B7-10</f>
        <v>-10</v>
      </c>
    </row>
    <row r="21" spans="1:9" ht="15.75">
      <c r="A21" s="387" t="s">
        <v>336</v>
      </c>
      <c r="B21" s="387" t="s">
        <v>341</v>
      </c>
      <c r="C21" s="387"/>
      <c r="D21" s="387"/>
      <c r="E21" s="387"/>
      <c r="I21" s="658">
        <f>IF(B7="","",MONTH(I20))</f>
      </c>
    </row>
    <row r="22" spans="1:9" ht="15.75">
      <c r="A22" s="387"/>
      <c r="B22" s="387"/>
      <c r="C22" s="387"/>
      <c r="D22" s="387"/>
      <c r="E22" s="387"/>
      <c r="I22" s="659">
        <f>IF(B7="","",DAY(I20))</f>
      </c>
    </row>
    <row r="23" spans="1:9" ht="15.75">
      <c r="A23" s="387" t="s">
        <v>337</v>
      </c>
      <c r="B23" s="387" t="s">
        <v>342</v>
      </c>
      <c r="C23" s="387"/>
      <c r="D23" s="387"/>
      <c r="E23" s="387"/>
      <c r="I23" s="660" t="e">
        <f>IF(D7="","",YEAR(I20))</f>
        <v>#NUM!</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20">
      <selection activeCell="K36" sqref="K3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GREENWOOD COUNTY, State of Kansas</v>
      </c>
      <c r="B4" s="717"/>
      <c r="C4" s="717"/>
      <c r="D4" s="717"/>
      <c r="E4" s="717"/>
      <c r="F4" s="717"/>
      <c r="G4" s="717"/>
    </row>
    <row r="5" spans="1:7" ht="15.75">
      <c r="A5" s="148" t="s">
        <v>172</v>
      </c>
      <c r="B5" s="108"/>
      <c r="C5" s="108"/>
      <c r="D5" s="108"/>
      <c r="E5" s="108"/>
      <c r="F5" s="108"/>
      <c r="G5" s="108"/>
    </row>
    <row r="6" spans="1:7" ht="15.75">
      <c r="A6" s="689" t="str">
        <f>inputPrYr!D3</f>
        <v>VIRGIL CEMETERY</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21400</v>
      </c>
      <c r="F22" s="221">
        <f>IF(gen!$E$68&lt;&gt;0,gen!$E$68,"  ")</f>
        <v>6971</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21400</v>
      </c>
      <c r="F29" s="169">
        <f>SUM(F22:F27)</f>
        <v>6971</v>
      </c>
      <c r="G29" s="665">
        <f>IF(SUM(G22:G27)=0,"",SUM(G22:G27))</f>
      </c>
    </row>
    <row r="30" spans="1:7" ht="16.5" thickTop="1">
      <c r="A30" s="219" t="s">
        <v>202</v>
      </c>
      <c r="B30" s="223"/>
      <c r="C30" s="217"/>
      <c r="D30" s="232">
        <f>summ!E42</f>
        <v>0</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GREENWOOD COUNTY</v>
      </c>
      <c r="E34" s="223"/>
      <c r="F34" s="706"/>
      <c r="G34" s="707"/>
    </row>
    <row r="35" spans="1:7" ht="15.75">
      <c r="A35" s="237" t="s">
        <v>820</v>
      </c>
      <c r="B35" s="237"/>
      <c r="C35" s="97" t="s">
        <v>22</v>
      </c>
      <c r="D35" s="219">
        <f>inputPrYr!D6</f>
        <v>0</v>
      </c>
      <c r="E35" s="223"/>
      <c r="F35" s="706"/>
      <c r="G35" s="707"/>
    </row>
    <row r="36" spans="1:7" ht="15.75">
      <c r="A36" s="238" t="s">
        <v>821</v>
      </c>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t="s">
        <v>822</v>
      </c>
      <c r="B38" s="237"/>
      <c r="C38" s="97" t="s">
        <v>22</v>
      </c>
      <c r="D38" s="219">
        <f>inputPrYr!D9</f>
        <v>0</v>
      </c>
      <c r="E38" s="223"/>
      <c r="F38" s="706"/>
      <c r="G38" s="707"/>
    </row>
    <row r="39" spans="1:7" ht="15.75">
      <c r="A39" s="238" t="s">
        <v>823</v>
      </c>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t="s">
        <v>824</v>
      </c>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VIRGIL CEMETERY</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6752</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6752</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0</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31452</v>
      </c>
      <c r="F14" s="243"/>
      <c r="G14" s="122"/>
      <c r="H14" s="122"/>
      <c r="I14" s="246"/>
      <c r="J14" s="122"/>
    </row>
    <row r="15" spans="1:10" ht="15.75">
      <c r="A15" s="242"/>
      <c r="B15" s="98" t="s">
        <v>92</v>
      </c>
      <c r="C15" s="98" t="str">
        <f>CONCATENATE("Personal Property ",J1-2,"")</f>
        <v>Personal Property 2012</v>
      </c>
      <c r="D15" s="242" t="s">
        <v>88</v>
      </c>
      <c r="E15" s="245">
        <f>inputOth!E40</f>
        <v>29019</v>
      </c>
      <c r="F15" s="243"/>
      <c r="G15" s="246"/>
      <c r="H15" s="246"/>
      <c r="I15" s="122"/>
      <c r="J15" s="122"/>
    </row>
    <row r="16" spans="1:10" ht="15.75">
      <c r="A16" s="242"/>
      <c r="B16" s="98" t="s">
        <v>93</v>
      </c>
      <c r="C16" s="98" t="s">
        <v>107</v>
      </c>
      <c r="D16" s="98"/>
      <c r="E16" s="122"/>
      <c r="F16" s="122" t="s">
        <v>85</v>
      </c>
      <c r="G16" s="244">
        <f>IF(E14&gt;E15,E14-E15,0)</f>
        <v>2433</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6309</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8742</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2657258</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2648516</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0.0033007163256706775</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22</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6774</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6774</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VIRGIL CEMETERY</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6752</v>
      </c>
      <c r="D11" s="159">
        <f>IF(E17=0,0,E17-D12-D13-D14)</f>
        <v>317</v>
      </c>
      <c r="E11" s="159">
        <f>IF(E19=0,0,E19-E12-E13-E14)</f>
        <v>11</v>
      </c>
      <c r="F11" s="159">
        <f>IF(E21=0,0,E21-F12-F13-F14)</f>
        <v>90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6752</v>
      </c>
      <c r="D15" s="167">
        <f>SUM(D11:D14)</f>
        <v>317</v>
      </c>
      <c r="E15" s="167">
        <f>SUM(E11:E14)</f>
        <v>11</v>
      </c>
      <c r="F15" s="167">
        <f>SUM(F11:F14)</f>
        <v>90</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317</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11</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90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0.046949052132701424</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0.0016291469194312795</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0.013329383886255925</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VIRGIL CEMETERY</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2013-07-12T15:37:07Z</cp:lastPrinted>
  <dcterms:created xsi:type="dcterms:W3CDTF">1999-08-06T13:59:57Z</dcterms:created>
  <dcterms:modified xsi:type="dcterms:W3CDTF">2013-07-12T15:42:44Z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