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7"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<sst xmlns="http://schemas.openxmlformats.org/spreadsheetml/2006/main" count="1243" uniqueCount="835">
  <si>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</si>
  <si>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</si>
  <si>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</si>
  <si>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</si>
  <si>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</si>
  <si>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</si>
  <si>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</si>
  <si>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</si>
  <si>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</si>
  <si>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</si>
  <si>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</si>
  <si>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</si>
  <si>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</si>
  <si>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</si>
  <si>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</si>
  <si>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</si>
  <si>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</si>
  <si>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</si>
  <si>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</si>
  <si>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</si>
  <si>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</si>
  <si>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</si>
  <si>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</si>
  <si>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</si>
  <si>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</si>
  <si>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</si>
  <si>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</si>
  <si>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</si>
  <si>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</si>
  <si>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</si>
  <si>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</si>
  <si>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</si>
  <si>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</si>
  <si>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</si>
  <si>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</si>
  <si>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</si>
  <si>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</si>
  <si>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</si>
  <si>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</si>
  <si>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</si>
  <si>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</si>
  <si>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</si>
  <si>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</si>
  <si>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</si>
  <si>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</si>
  <si>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</si>
  <si>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</si>
  <si>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</si>
  <si>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</si>
  <si>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</si>
  <si>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</si>
  <si>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</si>
  <si>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</si>
  <si>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</si>
  <si>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</si>
  <si>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</si>
  <si>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</si>
  <si>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</si>
  <si>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</si>
  <si>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</si>
  <si>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</si>
  <si>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</si>
  <si>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</si>
  <si>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</si>
  <si>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</si>
  <si>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</si>
  <si>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</si>
  <si>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</si>
  <si>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</si>
  <si>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</si>
  <si>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</si>
  <si>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</si>
  <si>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</si>
  <si>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</si>
  <si>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</si>
  <si>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</si>
  <si>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</si>
  <si>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</si>
  <si>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</si>
  <si>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</si>
  <si>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</si>
  <si>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</si>
  <si>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</si>
  <si>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</si>
  <si>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</si>
  <si>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</si>
  <si>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</si>
  <si>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</si>
  <si>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</si>
  <si>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</si>
  <si>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</si>
  <si>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</si>
  <si>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</si>
  <si>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</si>
  <si>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</si>
  <si>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</si>
  <si>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</si>
  <si>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</si>
  <si>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</si>
  <si>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</si>
  <si>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</si>
  <si>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</si>
  <si>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</si>
  <si>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</si>
  <si>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</si>
  <si>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</si>
  <si>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</si>
  <si>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</si>
  <si>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</si>
  <si>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</si>
  <si>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</si>
  <si>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</si>
  <si>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</si>
  <si>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</si>
  <si>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</si>
  <si>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</si>
  <si>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</si>
  <si>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</si>
  <si>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</si>
  <si>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</si>
  <si>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</si>
  <si>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</si>
  <si>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</si>
  <si>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</si>
  <si>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</si>
  <si>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</si>
  <si>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</si>
  <si>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</si>
  <si>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</si>
  <si>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</si>
  <si>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</si>
  <si>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</si>
  <si>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</si>
  <si>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</si>
  <si>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</si>
  <si>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</si>
  <si>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</si>
  <si>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</si>
  <si>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</si>
  <si>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</si>
  <si>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</si>
  <si>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</si>
  <si>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</si>
  <si>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</si>
  <si>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</si>
  <si>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</si>
  <si>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</si>
  <si>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</si>
  <si>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</si>
  <si>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</si>
  <si>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</si>
  <si>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</si>
  <si>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</si>
  <si>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</si>
  <si>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</si>
  <si>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</si>
  <si>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</si>
  <si>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</si>
  <si>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</si>
  <si>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</si>
  <si>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</si>
  <si>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</si>
  <si>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</si>
  <si>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</si>
  <si>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</si>
  <si>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</si>
  <si>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</si>
  <si>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</si>
  <si>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</si>
  <si>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</si>
  <si>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</si>
  <si>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</si>
  <si>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</si>
  <si>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</si>
  <si>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</si>
  <si>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</si>
  <si>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</si>
  <si>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</si>
  <si>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</si>
  <si>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</si>
  <si>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</si>
  <si>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</si>
  <si>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</si>
  <si>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</si>
  <si>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</si>
  <si>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</si>
  <si>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</si>
  <si>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</si>
  <si>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</si>
  <si>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</si>
  <si>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</si>
  <si>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</si>
  <si>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</si>
  <si>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</si>
  <si>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</si>
  <si>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</si>
  <si>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</si>
  <si>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</si>
  <si>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</si>
  <si>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</si>
  <si>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</si>
  <si>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</si>
  <si>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</si>
  <si>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</si>
  <si>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</si>
  <si>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</si>
  <si>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</si>
  <si>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</si>
  <si>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</si>
  <si>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</si>
  <si>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</si>
  <si>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</si>
  <si>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</si>
  <si>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</si>
  <si>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</si>
  <si>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</si>
  <si>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</si>
  <si>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</si>
  <si>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</si>
  <si>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</si>
  <si>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</si>
  <si>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</si>
  <si>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</si>
  <si>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</si>
  <si>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</si>
  <si>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</si>
  <si>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</si>
  <si>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</si>
  <si>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</si>
  <si>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</si>
  <si>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</si>
  <si>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</si>
  <si>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</si>
  <si>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</si>
  <si>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</si>
  <si>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</si>
  <si>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</si>
  <si>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</si>
  <si>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</si>
  <si>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</si>
  <si>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</si>
  <si>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</si>
  <si>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</si>
  <si>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</si>
  <si>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</si>
  <si>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</si>
  <si>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</si>
  <si>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</si>
  <si>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</si>
  <si>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</si>
  <si>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</si>
  <si>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</si>
  <si>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</si>
  <si>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</si>
  <si>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</si>
  <si>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</si>
  <si>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</si>
  <si>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</si>
  <si>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</si>
  <si>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</si>
  <si>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</si>
  <si>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</si>
  <si>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</si>
  <si>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</si>
  <si>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</si>
  <si>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</si>
  <si>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</si>
  <si>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</si>
  <si>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</si>
  <si>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</si>
  <si>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</si>
  <si>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</si>
  <si>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</si>
  <si>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</si>
  <si>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</si>
  <si>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</si>
  <si>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</si>
  <si>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</si>
  <si>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</si>
  <si>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</si>
  <si>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</si>
  <si>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</si>
  <si>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</si>
  <si>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</si>
  <si>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</si>
  <si>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</si>
  <si>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</si>
  <si>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</si>
  <si>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</si>
  <si>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</si>
  <si>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</si>
  <si>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</si>
  <si>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</si>
  <si>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</si>
  <si>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</si>
  <si>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</si>
  <si>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</si>
  <si>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</si>
  <si>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</si>
  <si>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</si>
  <si>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</si>
  <si>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</si>
  <si>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</si>
  <si>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</si>
  <si>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</si>
  <si>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</si>
  <si>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</si>
  <si>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</si>
  <si>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</si>
  <si>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</si>
  <si>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</si>
  <si>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</si>
  <si>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</si>
  <si>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</si>
  <si>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</si>
  <si>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</si>
  <si>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</si>
  <si>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</si>
  <si>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</si>
  <si>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</si>
  <si>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</si>
  <si>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</si>
  <si>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</si>
  <si>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</si>
  <si>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</si>
  <si>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</si>
  <si>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</si>
  <si>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</si>
  <si>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</si>
  <si>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</si>
  <si>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</si>
  <si>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</si>
  <si>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</si>
  <si>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</si>
  <si>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</si>
  <si>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</si>
  <si>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</si>
  <si>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</si>
  <si>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</si>
  <si>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</si>
  <si>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</si>
  <si>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</si>
  <si>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</si>
  <si>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</si>
  <si>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</si>
  <si>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</si>
  <si>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</si>
  <si>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</si>
  <si>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</si>
  <si>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</si>
  <si>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</si>
  <si>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</si>
  <si>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</si>
  <si>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</si>
  <si>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</si>
  <si>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</si>
  <si>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</si>
  <si>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</si>
  <si>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</si>
  <si>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</si>
  <si>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</si>
  <si>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</si>
  <si>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</si>
  <si>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</si>
  <si>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</si>
  <si>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</si>
  <si>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</si>
  <si>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</si>
  <si>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</si>
  <si>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</si>
  <si>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</si>
  <si>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</si>
  <si>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</si>
  <si>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</si>
  <si>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</si>
  <si>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</si>
  <si>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</si>
  <si>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</si>
  <si>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</si>
  <si>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</si>
  <si>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</si>
  <si>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</si>
  <si>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</si>
  <si>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</si>
  <si>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</si>
  <si>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</si>
  <si>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</si>
  <si>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</si>
  <si>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</si>
  <si>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</si>
  <si>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</si>
  <si>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</si>
  <si>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</si>
  <si>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</si>
  <si>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</si>
  <si>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</si>
  <si>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</si>
  <si>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</si>
  <si>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</si>
  <si>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</si>
  <si>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</si>
  <si>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</si>
  <si>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</si>
  <si>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</si>
  <si>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</si>
  <si>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</si>
  <si>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</si>
  <si>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</si>
  <si>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</si>
  <si>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</si>
  <si>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</si>
  <si>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</si>
  <si>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</si>
  <si>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</si>
  <si>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</si>
  <si>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</si>
  <si>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</si>
  <si>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</si>
  <si>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</si>
  <si>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</si>
  <si>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</si>
  <si>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</si>
  <si>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</si>
  <si>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</si>
  <si>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</si>
  <si>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</si>
  <si>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</si>
  <si>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</si>
  <si>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</si>
  <si>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</si>
  <si>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</si>
  <si>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</si>
  <si>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</si>
  <si>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</si>
  <si>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</si>
  <si>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</si>
  <si>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</si>
  <si>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</si>
  <si>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</si>
  <si>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</si>
  <si>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</si>
  <si>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</si>
  <si>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</si>
  <si>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</si>
  <si>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</si>
  <si>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</si>
  <si>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</si>
  <si>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</si>
  <si>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</si>
  <si>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</si>
  <si>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</si>
  <si>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</si>
  <si>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</si>
  <si>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</si>
  <si>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</si>
  <si>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</si>
  <si>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</si>
  <si>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</si>
  <si>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</si>
  <si>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</si>
  <si>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</si>
  <si>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</si>
  <si>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</si>
  <si>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</si>
  <si>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</si>
  <si>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</si>
  <si>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</si>
  <si>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</si>
  <si>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</si>
  <si>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</si>
  <si>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</si>
  <si>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</si>
  <si>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</si>
  <si>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</si>
  <si>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</si>
  <si>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</si>
  <si>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</si>
  <si>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</si>
  <si>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</si>
  <si>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</si>
  <si>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</si>
  <si>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</si>
  <si>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</si>
  <si>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</si>
  <si>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</si>
  <si>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</si>
  <si>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</si>
  <si>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</si>
  <si>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</si>
  <si>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</si>
  <si>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</si>
  <si>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</si>
  <si>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</si>
  <si>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</si>
  <si>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</si>
  <si>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</si>
  <si>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</si>
  <si>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</si>
  <si>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</si>
  <si>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</si>
  <si>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</si>
  <si>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</si>
  <si>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</si>
  <si>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</si>
  <si>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</si>
  <si>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</si>
  <si>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</si>
  <si>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</si>
  <si>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</si>
  <si>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</si>
  <si>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</si>
  <si>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</si>
  <si>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</si>
  <si>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</si>
  <si>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</si>
  <si>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</si>
  <si>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</si>
  <si>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</si>
  <si>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</si>
  <si>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</si>
  <si>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</si>
  <si>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</si>
  <si>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</si>
  <si>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</si>
  <si>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</si>
  <si>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</si>
  <si>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</si>
  <si>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</si>
  <si>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</si>
  <si>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</si>
  <si>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</si>
  <si>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</si>
  <si>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</si>
  <si>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</si>
  <si>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</si>
  <si>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</si>
  <si>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</si>
  <si>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</si>
  <si>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</si>
  <si>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</si>
  <si>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</si>
  <si>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</si>
  <si>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</si>
  <si>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</si>
  <si>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</si>
  <si>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</si>
  <si>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</si>
  <si>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</si>
  <si>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</si>
  <si>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</si>
  <si>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</si>
  <si>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</si>
  <si>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</si>
  <si>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</si>
  <si>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</si>
  <si>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</si>
  <si>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</si>
  <si>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</si>
  <si>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</si>
  <si>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</si>
  <si>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</si>
  <si>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</si>
  <si>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</si>
  <si>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</si>
  <si>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</si>
  <si>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</si>
  <si>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</si>
  <si>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</si>
  <si>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</si>
  <si>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</si>
  <si>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</si>
  <si>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</si>
  <si>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</si>
  <si>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</si>
  <si>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</si>
  <si>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</si>
  <si>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</si>
  <si>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</si>
  <si>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</si>
  <si>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</si>
  <si>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</si>
  <si>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</si>
  <si>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</si>
  <si>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</si>
  <si>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</si>
  <si>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</si>
  <si>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</si>
  <si>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</si>
  <si>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</si>
  <si>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</si>
  <si>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</si>
  <si>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</si>
  <si>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</si>
  <si>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</si>
  <si>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</si>
  <si>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</si>
  <si>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</si>
  <si>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</si>
  <si>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</si>
  <si>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</si>
  <si>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</si>
  <si>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</si>
  <si>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</si>
  <si>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</si>
  <si>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</si>
  <si>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</si>
  <si>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</si>
  <si>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</si>
  <si>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</si>
  <si>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</si>
  <si>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</si>
  <si>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</si>
  <si>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</si>
  <si>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</si>
  <si>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</si>
  <si>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</si>
  <si>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</si>
  <si>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</si>
  <si>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</si>
  <si>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</si>
  <si>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</si>
  <si>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</si>
  <si>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</si>
  <si>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</si>
  <si>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</si>
  <si>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</si>
  <si>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</si>
  <si>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</si>
  <si>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</si>
  <si>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</si>
  <si>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</si>
  <si>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</si>
  <si>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</si>
  <si>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</si>
  <si>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</si>
  <si>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</si>
  <si>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</si>
  <si>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</si>
  <si>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</si>
  <si>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</si>
  <si>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</si>
  <si>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</si>
  <si>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</si>
  <si>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</si>
  <si>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</si>
  <si>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</si>
  <si>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</si>
  <si>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</si>
  <si>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</si>
  <si>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</si>
  <si>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</si>
  <si>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</si>
  <si>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</si>
  <si>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</si>
  <si>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</si>
  <si>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</si>
  <si>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</si>
  <si>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</si>
  <si>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</si>
  <si>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</si>
  <si>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</si>
  <si>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</si>
  <si>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</si>
  <si>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</si>
  <si>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</si>
  <si>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</si>
  <si>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</si>
  <si>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</si>
  <si>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</si>
  <si>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</si>
  <si>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</si>
  <si>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</si>
  <si>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</si>
  <si>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</si>
  <si>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</si>
  <si>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</si>
  <si>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</si>
  <si>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</si>
  <si>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</si>
  <si>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</si>
  <si>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</si>
  <si>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</si>
  <si>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</si>
  <si>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</si>
  <si>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</si>
  <si>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</si>
  <si>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</si>
  <si>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</si>
  <si>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</si>
  <si>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</si>
  <si>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</si>
  <si>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</si>
  <si>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</si>
  <si>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</si>
  <si>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</si>
  <si>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</si>
  <si>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</si>
  <si>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</si>
  <si>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</si>
  <si>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</si>
  <si>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</si>
  <si>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</si>
  <si>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</si>
  <si>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</si>
  <si>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</si>
  <si>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</si>
  <si>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</si>
  <si>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</si>
  <si>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</si>
  <si>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</si>
  <si>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</si>
  <si>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</si>
  <si>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</si>
  <si>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</si>
  <si>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</si>
  <si>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</si>
  <si>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</si>
  <si>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</si>
  <si>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</si>
  <si>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</si>
  <si>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</si>
  <si>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</si>
  <si>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</si>
  <si>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</si>
  <si>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</si>
  <si>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</si>
  <si>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</si>
  <si>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</si>
  <si>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</si>
  <si>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</si>
  <si>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</si>
  <si>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</si>
  <si>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</si>
  <si>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</si>
  <si>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</si>
  <si>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</si>
  <si>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</si>
  <si>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</si>
  <si>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</si>
  <si>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</si>
  <si>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</si>
  <si>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</si>
  <si>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</si>
  <si>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</si>
  <si>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</si>
  <si>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</si>
  <si>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</si>
  <si>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</si>
  <si>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</si>
  <si>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</si>
  <si>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</si>
  <si>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</si>
  <si>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</si>
  <si>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</si>
  <si>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</si>
  <si>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</si>
  <si>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</si>
  <si>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</si>
  <si>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</si>
  <si>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</si>
  <si>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</si>
  <si>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</si>
  <si>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</si>
  <si>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</si>
  <si>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</si>
  <si>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</si>
  <si>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</si>
  <si>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</si>
  <si>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</si>
  <si>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</si>
  <si>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</si>
  <si>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</si>
  <si>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</si>
  <si>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</si>
  <si>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</si>
  <si>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</si>
  <si>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</si>
  <si>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</si>
  <si>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</si>
  <si>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</si>
  <si>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</si>
  <si>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</si>
  <si>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</si>
  <si>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</si>
  <si>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</si>
  <si>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</si>
  <si>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</si>
  <si>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</si>
  <si>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</si>
  <si>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</si>
  <si>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</si>
  <si>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</si>
  <si>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</si>
  <si>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</si>
  <si>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</si>
  <si>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</si>
  <si>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</si>
  <si>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</si>
  <si>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</si>
  <si>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</si>
  <si>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</si>
  <si>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</si>
  <si>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</si>
  <si>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</si>
  <si>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</si>
  <si>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</si>
  <si>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</si>
  <si>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</si>
  <si>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UPPER VERDIGRIS JOINT #24</t>
  </si>
  <si>
    <t>GREENWOOD COUNTY</t>
  </si>
  <si>
    <t>CHASE COUNTY</t>
  </si>
  <si>
    <t>COFFEY COUNTY</t>
  </si>
  <si>
    <t>LYON COUNTY</t>
  </si>
  <si>
    <t>WOODSON COUNTY</t>
  </si>
  <si>
    <t>Salaries</t>
  </si>
  <si>
    <t>Maintenance &amp; Supplies</t>
  </si>
  <si>
    <t>Payroll Taxes</t>
  </si>
  <si>
    <t>Accounting Fees</t>
  </si>
  <si>
    <t>Office Rent / Dues / Publications</t>
  </si>
  <si>
    <t>Legal / Other Expense / Insurance</t>
  </si>
  <si>
    <t>UPPER VERDIGRIS WATERSHED JOINT #24</t>
  </si>
  <si>
    <t>AUGUST 8, 2013</t>
  </si>
  <si>
    <t>7:00 PM</t>
  </si>
  <si>
    <t>118 South Third - Madison,  Ks   66860</t>
  </si>
  <si>
    <t>118 South  Third - Madison,   Ks   66860</t>
  </si>
  <si>
    <t>DEANNA M. SMITH, EA</t>
  </si>
  <si>
    <t>DEANNA SMITH ACCOUNTING</t>
  </si>
  <si>
    <t>PO BOX 427</t>
  </si>
  <si>
    <t>MADISON,  KS  66860</t>
  </si>
  <si>
    <t>dee_acc@Yahoo.com</t>
  </si>
  <si>
    <t>NONE</t>
  </si>
  <si>
    <t>Reimbursementd</t>
  </si>
  <si>
    <t>Construction Reserve</t>
  </si>
  <si>
    <t>Reimbursed Expenses</t>
  </si>
  <si>
    <t>Redo Fences etc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</si>
</sst>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29" sqref="B29"/>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UPPER VERDIGRIS JOINT #24</v>
      </c>
      <c r="C1" s="98"/>
      <c r="D1" s="98"/>
      <c r="E1" s="98"/>
      <c r="F1" s="98"/>
      <c r="G1" s="98"/>
      <c r="H1" s="98"/>
      <c r="I1" s="98"/>
      <c r="J1" s="98"/>
      <c r="K1" s="98"/>
      <c r="L1" s="276">
        <f>inputPrYr!D11</f>
        <v>2014</v>
      </c>
    </row>
    <row r="2" spans="1:12" ht="15.75">
      <c r="A2" s="277"/>
      <c r="B2" s="98" t="str">
        <f>inputPrYr!$D$4</f>
        <v>GREENWOOD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t="s">
        <v>830</v>
      </c>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t="s">
        <v>830</v>
      </c>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t="s">
        <v>830</v>
      </c>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t="s">
        <v>830</v>
      </c>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4">
      <selection activeCell="E45" sqref="E45"/>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UPPER VERDIGRIS JOINT #24</v>
      </c>
      <c r="C1" s="177"/>
      <c r="D1" s="98"/>
      <c r="E1" s="310"/>
      <c r="F1" s="601"/>
    </row>
    <row r="2" spans="2:6" ht="15.75">
      <c r="B2" s="98" t="str">
        <f>inputPrYr!D4</f>
        <v>GREENWOOD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143222</v>
      </c>
      <c r="D7" s="424">
        <f>C62</f>
        <v>165891</v>
      </c>
      <c r="E7" s="160">
        <f>D62</f>
        <v>133538</v>
      </c>
      <c r="F7" s="601"/>
    </row>
    <row r="8" spans="2:6" ht="15.75">
      <c r="B8" s="236" t="s">
        <v>120</v>
      </c>
      <c r="C8" s="313"/>
      <c r="D8" s="313"/>
      <c r="E8" s="159"/>
      <c r="F8" s="601"/>
    </row>
    <row r="9" spans="2:6" ht="15.75">
      <c r="B9" s="219" t="s">
        <v>27</v>
      </c>
      <c r="C9" s="420">
        <v>52610</v>
      </c>
      <c r="D9" s="424">
        <f>IF(inputPrYr!H23&gt;0,inputPrYr!G24,inputPrYr!E24)</f>
        <v>53965</v>
      </c>
      <c r="E9" s="230" t="s">
        <v>21</v>
      </c>
      <c r="F9" s="601"/>
    </row>
    <row r="10" spans="2:6" ht="15.75">
      <c r="B10" s="219" t="s">
        <v>28</v>
      </c>
      <c r="C10" s="420"/>
      <c r="D10" s="420"/>
      <c r="E10" s="291"/>
      <c r="F10" s="601"/>
    </row>
    <row r="11" spans="2:6" ht="15.75">
      <c r="B11" s="219" t="s">
        <v>29</v>
      </c>
      <c r="C11" s="420"/>
      <c r="D11" s="420">
        <v>5098</v>
      </c>
      <c r="E11" s="160">
        <f>mvalloc!D11</f>
        <v>3593</v>
      </c>
      <c r="F11" s="601"/>
    </row>
    <row r="12" spans="2:6" ht="15.75">
      <c r="B12" s="219" t="s">
        <v>30</v>
      </c>
      <c r="C12" s="420"/>
      <c r="D12" s="420">
        <v>584</v>
      </c>
      <c r="E12" s="160">
        <f>mvalloc!E11</f>
        <v>73</v>
      </c>
      <c r="F12" s="601"/>
    </row>
    <row r="13" spans="2:6" ht="15.75">
      <c r="B13" s="313" t="s">
        <v>102</v>
      </c>
      <c r="C13" s="420"/>
      <c r="D13" s="420"/>
      <c r="E13" s="160">
        <f>mvalloc!F11</f>
        <v>399</v>
      </c>
      <c r="F13" s="601"/>
    </row>
    <row r="14" spans="2:6" ht="15.75">
      <c r="B14" s="313" t="s">
        <v>171</v>
      </c>
      <c r="C14" s="420"/>
      <c r="D14" s="420"/>
      <c r="E14" s="160">
        <f>inputOth!D84</f>
        <v>0</v>
      </c>
      <c r="F14" s="601"/>
    </row>
    <row r="15" spans="2:6" ht="15.75">
      <c r="B15" s="314" t="s">
        <v>831</v>
      </c>
      <c r="C15" s="420"/>
      <c r="D15" s="420"/>
      <c r="E15" s="291"/>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498</v>
      </c>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53108</v>
      </c>
      <c r="D33" s="423">
        <f>SUM(D9:D31)</f>
        <v>59647</v>
      </c>
      <c r="E33" s="320">
        <f>SUM(E9:E31)</f>
        <v>4065</v>
      </c>
      <c r="F33" s="601"/>
    </row>
    <row r="34" spans="2:6" ht="15.75">
      <c r="B34" s="319" t="s">
        <v>33</v>
      </c>
      <c r="C34" s="423">
        <f>C7+C33</f>
        <v>196330</v>
      </c>
      <c r="D34" s="423">
        <f>D7+D33</f>
        <v>225538</v>
      </c>
      <c r="E34" s="320">
        <f>E7+E33</f>
        <v>137603</v>
      </c>
      <c r="F34" s="601"/>
    </row>
    <row r="35" spans="2:6" ht="15.75">
      <c r="B35" s="219" t="s">
        <v>34</v>
      </c>
      <c r="C35" s="222"/>
      <c r="D35" s="222"/>
      <c r="E35" s="132"/>
      <c r="F35" s="601"/>
    </row>
    <row r="36" spans="2:6" ht="15.75">
      <c r="B36" s="314" t="s">
        <v>814</v>
      </c>
      <c r="C36" s="420">
        <v>628</v>
      </c>
      <c r="D36" s="420"/>
      <c r="E36" s="120">
        <v>1500</v>
      </c>
      <c r="F36" s="601"/>
    </row>
    <row r="37" spans="2:6" ht="15.75">
      <c r="B37" s="314" t="s">
        <v>815</v>
      </c>
      <c r="C37" s="420">
        <v>24037</v>
      </c>
      <c r="D37" s="420">
        <v>65000</v>
      </c>
      <c r="E37" s="120">
        <v>55000</v>
      </c>
      <c r="F37" s="601"/>
    </row>
    <row r="38" spans="2:6" ht="15.75">
      <c r="B38" s="314" t="s">
        <v>816</v>
      </c>
      <c r="C38" s="420">
        <v>512</v>
      </c>
      <c r="D38" s="420"/>
      <c r="E38" s="120">
        <v>200</v>
      </c>
      <c r="F38" s="601"/>
    </row>
    <row r="39" spans="2:6" ht="15.75">
      <c r="B39" s="314" t="s">
        <v>817</v>
      </c>
      <c r="C39" s="420">
        <v>600</v>
      </c>
      <c r="D39" s="420">
        <v>1000</v>
      </c>
      <c r="E39" s="120">
        <v>1000</v>
      </c>
      <c r="F39" s="601"/>
    </row>
    <row r="40" spans="2:6" ht="15.75">
      <c r="B40" s="314" t="s">
        <v>818</v>
      </c>
      <c r="C40" s="420">
        <v>3073</v>
      </c>
      <c r="D40" s="420">
        <v>6000</v>
      </c>
      <c r="E40" s="120">
        <v>6000</v>
      </c>
      <c r="F40" s="601"/>
    </row>
    <row r="41" spans="2:6" ht="15.75">
      <c r="B41" s="314" t="s">
        <v>819</v>
      </c>
      <c r="C41" s="420">
        <v>1589</v>
      </c>
      <c r="D41" s="420">
        <v>10000</v>
      </c>
      <c r="E41" s="120">
        <v>8500</v>
      </c>
      <c r="F41" s="601"/>
    </row>
    <row r="42" spans="2:6" ht="15.75">
      <c r="B42" s="314" t="s">
        <v>832</v>
      </c>
      <c r="C42" s="420"/>
      <c r="D42" s="420"/>
      <c r="E42" s="120">
        <v>100000</v>
      </c>
      <c r="F42" s="601"/>
    </row>
    <row r="43" spans="2:6" ht="15.75">
      <c r="B43" s="314" t="s">
        <v>833</v>
      </c>
      <c r="C43" s="420"/>
      <c r="D43" s="420"/>
      <c r="E43" s="120">
        <v>7000</v>
      </c>
      <c r="F43" s="601"/>
    </row>
    <row r="44" spans="2:6" ht="15.75">
      <c r="B44" s="314" t="s">
        <v>834</v>
      </c>
      <c r="C44" s="420"/>
      <c r="D44" s="420">
        <v>10000</v>
      </c>
      <c r="E44" s="120">
        <v>16000</v>
      </c>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30439</v>
      </c>
      <c r="D61" s="423">
        <f>SUM(D36:D59)</f>
        <v>92000</v>
      </c>
      <c r="E61" s="320">
        <f>SUM(E36:E59)</f>
        <v>195200</v>
      </c>
      <c r="F61" s="96"/>
      <c r="G61" s="528">
        <f>D62</f>
        <v>133538</v>
      </c>
      <c r="H61" s="529" t="str">
        <f>CONCATENATE("",E3-1," Ending Cash Balance (est.)")</f>
        <v>2013 Ending Cash Balance (est.)</v>
      </c>
      <c r="I61" s="621"/>
      <c r="J61" s="527"/>
      <c r="K61" s="96"/>
    </row>
    <row r="62" spans="2:11" ht="15.75">
      <c r="B62" s="219" t="s">
        <v>119</v>
      </c>
      <c r="C62" s="421">
        <f>C34-C61</f>
        <v>165891</v>
      </c>
      <c r="D62" s="421">
        <f>D34-D61</f>
        <v>133538</v>
      </c>
      <c r="E62" s="230" t="s">
        <v>21</v>
      </c>
      <c r="F62" s="96"/>
      <c r="G62" s="528">
        <f>E33</f>
        <v>4065</v>
      </c>
      <c r="H62" s="530" t="str">
        <f>CONCATENATE("",E3," Non-AV Receipts (est.)")</f>
        <v>2014 Non-AV Receipts (est.)</v>
      </c>
      <c r="I62" s="621"/>
      <c r="J62" s="527"/>
      <c r="K62" s="96"/>
    </row>
    <row r="63" spans="2:11" ht="15.75">
      <c r="B63" s="181" t="str">
        <f>CONCATENATE("",E3-2,"/",E3-1," Budget Authority Amount:")</f>
        <v>2012/2013 Budget Authority Amount:</v>
      </c>
      <c r="C63" s="193">
        <f>inputOth!B102</f>
        <v>147000</v>
      </c>
      <c r="D63" s="170">
        <f>inputPrYr!D24</f>
        <v>147000</v>
      </c>
      <c r="E63" s="230" t="s">
        <v>21</v>
      </c>
      <c r="F63" s="646"/>
      <c r="G63" s="531">
        <f>IF(E67&gt;0,E66,E68)</f>
        <v>57597</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195200</v>
      </c>
      <c r="H64" s="530" t="str">
        <f>CONCATENATE("Total ",E3," Resources Available")</f>
        <v>Total 2014 Resources Available</v>
      </c>
      <c r="I64" s="621"/>
      <c r="J64" s="527"/>
      <c r="K64" s="96"/>
    </row>
    <row r="65" spans="2:11" ht="15.75">
      <c r="B65" s="521" t="str">
        <f>CONCATENATE(C79,"     ",D79)</f>
        <v>     </v>
      </c>
      <c r="C65" s="737" t="s">
        <v>676</v>
      </c>
      <c r="D65" s="738"/>
      <c r="E65" s="160">
        <f>E61+E64</f>
        <v>195200</v>
      </c>
      <c r="F65" s="96"/>
      <c r="G65" s="532"/>
      <c r="H65" s="530"/>
      <c r="I65" s="530"/>
      <c r="J65" s="527"/>
      <c r="K65" s="96"/>
    </row>
    <row r="66" spans="2:11" ht="15.75">
      <c r="B66" s="521" t="str">
        <f>CONCATENATE(C80,"     ",D80)</f>
        <v>     </v>
      </c>
      <c r="C66" s="523"/>
      <c r="D66" s="524" t="s">
        <v>677</v>
      </c>
      <c r="E66" s="163">
        <f>IF(E65-E34&gt;0,E65-E34,0)</f>
        <v>57597</v>
      </c>
      <c r="F66" s="96"/>
      <c r="G66" s="531">
        <f>ROUND(C61*0.05+C61,0)</f>
        <v>31961</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163239</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57597</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3.267</v>
      </c>
      <c r="H71" s="529" t="str">
        <f>CONCATENATE("",E3," Fund Mill Rate")</f>
        <v>2014 Fund Mill Rate</v>
      </c>
      <c r="I71" s="605"/>
      <c r="J71" s="628"/>
      <c r="K71" s="96"/>
    </row>
    <row r="72" spans="2:11" ht="15.75">
      <c r="B72" s="98"/>
      <c r="C72" s="98"/>
      <c r="D72" s="98"/>
      <c r="E72" s="98"/>
      <c r="F72" s="651"/>
      <c r="G72" s="630">
        <f>summ!E16</f>
        <v>3.375</v>
      </c>
      <c r="H72" s="529" t="str">
        <f>CONCATENATE("",E3-1," Fund Mill Rate")</f>
        <v>2013 Fund Mill Rate</v>
      </c>
      <c r="I72" s="605"/>
      <c r="J72" s="628"/>
      <c r="K72" s="96"/>
    </row>
    <row r="73" spans="2:11" ht="15.75">
      <c r="B73" s="98"/>
      <c r="C73" s="177"/>
      <c r="D73" s="177"/>
      <c r="E73" s="177"/>
      <c r="F73" s="644"/>
      <c r="G73" s="631">
        <f>summ!H23</f>
        <v>3.267</v>
      </c>
      <c r="H73" s="529" t="str">
        <f>CONCATENATE("Total ",E3," Mill Rate")</f>
        <v>Total 2014 Mill Rate</v>
      </c>
      <c r="I73" s="605"/>
      <c r="J73" s="628"/>
      <c r="K73" s="96"/>
    </row>
    <row r="74" spans="2:11" ht="15.75">
      <c r="B74" s="181"/>
      <c r="C74" s="115" t="s">
        <v>238</v>
      </c>
      <c r="D74" s="98"/>
      <c r="E74" s="98"/>
      <c r="F74" s="644"/>
      <c r="G74" s="630">
        <f>summ!E23</f>
        <v>3.375</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UPPER VERDIGRIS JOINT #24</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3.267</v>
      </c>
      <c r="H67" s="529" t="str">
        <f>CONCATENATE("Total ",E1," Mill Rate")</f>
        <v>Total 2014 Mill Rate</v>
      </c>
      <c r="I67" s="605"/>
      <c r="J67" s="628"/>
      <c r="K67" s="619"/>
    </row>
    <row r="68" spans="6:11" ht="15.75">
      <c r="F68"/>
      <c r="G68" s="630">
        <f>summ!E23</f>
        <v>3.375</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UPPER VERDIGRIS JOINT #24</v>
      </c>
      <c r="C1" s="98"/>
      <c r="D1" s="98"/>
      <c r="E1" s="276"/>
      <c r="F1" s="601"/>
    </row>
    <row r="2" spans="2:6" ht="15.75">
      <c r="B2" s="98" t="str">
        <f>inputPrYr!D4</f>
        <v>GREENWOOD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3.267</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3.375</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3.267</v>
      </c>
      <c r="H86" s="529" t="str">
        <f>CONCATENATE("Total ",E3," Mill Rate")</f>
        <v>Total 2014 Mill Rate</v>
      </c>
      <c r="I86" s="605"/>
      <c r="J86" s="628"/>
      <c r="K86" s="96"/>
    </row>
    <row r="87" spans="6:11" ht="15.75">
      <c r="F87" s="96"/>
      <c r="G87" s="630">
        <f>summ!E23</f>
        <v>3.375</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UPPER VERDIGRIS JOINT #24</v>
      </c>
      <c r="C1" s="177"/>
      <c r="D1" s="98"/>
      <c r="E1" s="276"/>
    </row>
    <row r="2" spans="2:5" ht="15.75">
      <c r="B2" s="98" t="str">
        <f>inputPrYr!D4</f>
        <v>GREENWOOD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UPPER VERDIGRIS JOINT #24</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0">
      <selection activeCell="E42" sqref="E42"/>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15"/>
      <c r="C1" s="715"/>
      <c r="D1" s="715"/>
      <c r="E1" s="715"/>
      <c r="F1" s="715"/>
      <c r="G1" s="715"/>
      <c r="H1" s="715"/>
    </row>
    <row r="2" spans="1:8" ht="15.75">
      <c r="A2" s="98"/>
      <c r="B2" s="98"/>
      <c r="C2" s="98"/>
      <c r="D2" s="98"/>
      <c r="E2" s="98"/>
      <c r="F2" s="98"/>
      <c r="G2" s="98"/>
      <c r="H2" s="98"/>
    </row>
    <row r="3" spans="1:9" ht="15.75">
      <c r="A3" s="714" t="s">
        <v>103</v>
      </c>
      <c r="B3" s="714"/>
      <c r="C3" s="714"/>
      <c r="D3" s="714"/>
      <c r="E3" s="714"/>
      <c r="F3" s="714"/>
      <c r="G3" s="714"/>
      <c r="H3" s="714"/>
      <c r="I3" s="138">
        <f>inputPrYr!D11</f>
        <v>2014</v>
      </c>
    </row>
    <row r="4" spans="1:8" ht="15.75">
      <c r="A4" s="689" t="str">
        <f>inputPrYr!D3</f>
        <v>UPPER VERDIGRIS JOINT #24</v>
      </c>
      <c r="B4" s="689"/>
      <c r="C4" s="689"/>
      <c r="D4" s="689"/>
      <c r="E4" s="689"/>
      <c r="F4" s="689"/>
      <c r="G4" s="689"/>
      <c r="H4" s="689"/>
    </row>
    <row r="5" spans="1:8" ht="15.75">
      <c r="A5" s="756" t="str">
        <f>inputPrYr!D4</f>
        <v>GREENWOOD COUNTY</v>
      </c>
      <c r="B5" s="756"/>
      <c r="C5" s="756"/>
      <c r="D5" s="756"/>
      <c r="E5" s="756"/>
      <c r="F5" s="756"/>
      <c r="G5" s="756"/>
      <c r="H5" s="756"/>
    </row>
    <row r="6" spans="1:8" ht="15.75">
      <c r="A6" s="758" t="str">
        <f>CONCATENATE("will meet on ",inputBudSum!B7," at ",inputBudSum!B9," at ",inputBudSum!B11," for the purpose of hearing and")</f>
        <v>will meet on AUGUST 8, 2013 at 7:00 PM at 118 South Third - Madison,  Ks   66860 for the purpose of hearing and</v>
      </c>
      <c r="B6" s="758"/>
      <c r="C6" s="758"/>
      <c r="D6" s="758"/>
      <c r="E6" s="758"/>
      <c r="F6" s="758"/>
      <c r="G6" s="758"/>
      <c r="H6" s="75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118 South  Third - Madison,   Ks   66860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47" t="str">
        <f>CONCATENATE("Estimated Value Of One Mill For ",I3,"")</f>
        <v>Estimated Value Of One Mill For 2014</v>
      </c>
      <c r="K11" s="748"/>
      <c r="L11" s="748"/>
      <c r="M11" s="749"/>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17630</v>
      </c>
    </row>
    <row r="14" spans="1:13" ht="15.75">
      <c r="A14" s="156"/>
      <c r="B14" s="154"/>
      <c r="C14" s="155" t="s">
        <v>44</v>
      </c>
      <c r="D14" s="154"/>
      <c r="E14" s="155" t="s">
        <v>44</v>
      </c>
      <c r="F14" s="156" t="s">
        <v>220</v>
      </c>
      <c r="G14" s="754"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5"/>
      <c r="H15" s="158" t="s">
        <v>174</v>
      </c>
      <c r="J15" s="747" t="str">
        <f>CONCATENATE("Want The Mill Rate The Same As For ",I3-1,"?")</f>
        <v>Want The Mill Rate The Same As For 2013?</v>
      </c>
      <c r="K15" s="750"/>
      <c r="L15" s="750"/>
      <c r="M15" s="751"/>
    </row>
    <row r="16" spans="1:13" ht="15.75">
      <c r="A16" s="132" t="str">
        <f>inputPrYr!B24</f>
        <v>General</v>
      </c>
      <c r="B16" s="160">
        <f>IF(gen!$C$61&lt;&gt;0,gen!$C$61,"  ")</f>
        <v>30439</v>
      </c>
      <c r="C16" s="663">
        <f>IF(inputPrYr!D43&gt;0,inputPrYr!D43,"  ")</f>
        <v>3.435</v>
      </c>
      <c r="D16" s="160">
        <f>IF(gen!$D$61&lt;&gt;0,gen!$D$61,"  ")</f>
        <v>92000</v>
      </c>
      <c r="E16" s="663">
        <f>IF(inputOth!D46&gt;0,inputOth!D46,"  ")</f>
        <v>3.375</v>
      </c>
      <c r="F16" s="160">
        <f>IF(gen!$E$61&lt;&gt;0,gen!$E$61,"  ")</f>
        <v>195200</v>
      </c>
      <c r="G16" s="160">
        <f>IF(gen!$E$68&lt;&gt;0,gen!$E$68,"  ")</f>
        <v>57597</v>
      </c>
      <c r="H16" s="663">
        <f>IF(gen!E68&gt;0,ROUND(G16/$F$27*1000,3)," ")</f>
        <v>3.267</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3.375</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1904</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47" t="str">
        <f>CONCATENATE("Impact On Keeping The Same Mill Rate As For ",I3-1,"")</f>
        <v>Impact On Keeping The Same Mill Rate As For 2013</v>
      </c>
      <c r="K22" s="752"/>
      <c r="L22" s="752"/>
      <c r="M22" s="753"/>
    </row>
    <row r="23" spans="1:13" ht="15.75">
      <c r="A23" s="118" t="s">
        <v>127</v>
      </c>
      <c r="B23" s="565">
        <f>SUM(B16:B22)</f>
        <v>30439</v>
      </c>
      <c r="C23" s="667">
        <f aca="true" t="shared" si="0" ref="C23:H23">SUM(C16:C21)</f>
        <v>3.435</v>
      </c>
      <c r="D23" s="565">
        <f t="shared" si="0"/>
        <v>92000</v>
      </c>
      <c r="E23" s="667">
        <f t="shared" si="0"/>
        <v>3.375</v>
      </c>
      <c r="F23" s="565">
        <f t="shared" si="0"/>
        <v>195200</v>
      </c>
      <c r="G23" s="565">
        <f>SUM(G16:G21)</f>
        <v>57597</v>
      </c>
      <c r="H23" s="667">
        <f t="shared" si="0"/>
        <v>3.267</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57597</v>
      </c>
    </row>
    <row r="25" spans="1:13" ht="16.5" thickBot="1">
      <c r="A25" s="118" t="s">
        <v>179</v>
      </c>
      <c r="B25" s="130">
        <f>SUM(B23-B24)</f>
        <v>30439</v>
      </c>
      <c r="C25" s="168"/>
      <c r="D25" s="130">
        <f>SUM(D23-D24)</f>
        <v>92000</v>
      </c>
      <c r="E25" s="168"/>
      <c r="F25" s="669">
        <f>SUM(F23-F24)</f>
        <v>195200</v>
      </c>
      <c r="G25" s="165"/>
      <c r="H25" s="166"/>
      <c r="J25" s="552" t="str">
        <f>CONCATENATE("",I3-1," Ad Valorem Tax Revenue:")</f>
        <v>2013 Ad Valorem Tax Revenue:</v>
      </c>
      <c r="K25" s="547"/>
      <c r="L25" s="547"/>
      <c r="M25" s="560">
        <f>ROUND(F27*M17/1000,0)</f>
        <v>59501</v>
      </c>
    </row>
    <row r="26" spans="1:13" ht="16.5" thickTop="1">
      <c r="A26" s="118" t="s">
        <v>47</v>
      </c>
      <c r="B26" s="221">
        <f>inputPrYr!E50</f>
        <v>48066</v>
      </c>
      <c r="C26" s="156"/>
      <c r="D26" s="221">
        <f>inputPrYr!E29</f>
        <v>53965</v>
      </c>
      <c r="E26" s="156"/>
      <c r="F26" s="326" t="s">
        <v>21</v>
      </c>
      <c r="G26" s="98"/>
      <c r="H26" s="98"/>
      <c r="J26" s="561" t="s">
        <v>682</v>
      </c>
      <c r="K26" s="562"/>
      <c r="L26" s="562"/>
      <c r="M26" s="551">
        <f>M24-M25</f>
        <v>-1904</v>
      </c>
    </row>
    <row r="27" spans="1:13" ht="16.5" thickBot="1">
      <c r="A27" s="118" t="s">
        <v>212</v>
      </c>
      <c r="B27" s="231">
        <f>inputPrYr!E51</f>
        <v>13995239</v>
      </c>
      <c r="C27" s="156"/>
      <c r="D27" s="231">
        <f>inputOth!E60</f>
        <v>15990569</v>
      </c>
      <c r="E27" s="156"/>
      <c r="F27" s="231">
        <f>inputOth!E12</f>
        <v>17629802</v>
      </c>
      <c r="G27" s="98"/>
      <c r="H27" s="98"/>
      <c r="J27" s="563"/>
      <c r="K27" s="563"/>
      <c r="L27" s="563"/>
      <c r="M27" s="4"/>
    </row>
    <row r="28" spans="1:13" ht="16.5" thickTop="1">
      <c r="A28" s="101"/>
      <c r="B28" s="165"/>
      <c r="C28" s="105"/>
      <c r="D28" s="165"/>
      <c r="E28" s="105"/>
      <c r="F28" s="165"/>
      <c r="G28" s="98"/>
      <c r="H28" s="98"/>
      <c r="J28" s="747" t="s">
        <v>683</v>
      </c>
      <c r="K28" s="750"/>
      <c r="L28" s="750"/>
      <c r="M28" s="751"/>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3.267</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59" t="str">
        <f>inputBudSum!B3</f>
        <v>UPPER VERDIGRIS WATERSHED JOINT #24</v>
      </c>
      <c r="B41" s="722"/>
      <c r="C41" s="149"/>
      <c r="D41" s="98"/>
      <c r="E41" s="98"/>
      <c r="F41" s="98"/>
      <c r="G41" s="98"/>
      <c r="H41" s="138"/>
    </row>
    <row r="42" spans="1:8" ht="15.75">
      <c r="A42" s="757">
        <f>inputBudSum!B5</f>
        <v>0</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UPPER VERDIGRIS JOINT #24</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07" t="str">
        <f>CONCATENATE("",F1," Neighborhood Revitalization Rebate")</f>
        <v>2014 Neighborhood Revitalization Rebate</v>
      </c>
      <c r="C4" s="762"/>
      <c r="D4" s="762"/>
      <c r="E4" s="715"/>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17629802</v>
      </c>
      <c r="E16" s="98"/>
      <c r="F16" s="138"/>
    </row>
    <row r="17" spans="1:6" ht="15.75">
      <c r="A17" s="98"/>
      <c r="B17" s="98"/>
      <c r="C17" s="98"/>
      <c r="D17" s="98"/>
      <c r="E17" s="98"/>
      <c r="F17" s="138"/>
    </row>
    <row r="18" spans="1:6" ht="15.75">
      <c r="A18" s="98"/>
      <c r="B18" s="763" t="s">
        <v>330</v>
      </c>
      <c r="C18" s="763"/>
      <c r="D18" s="197">
        <f>IF(D16&gt;0,(D16*0.001),"")</f>
        <v>17629.802</v>
      </c>
      <c r="E18" s="98"/>
      <c r="F18" s="138"/>
    </row>
    <row r="19" spans="1:6" ht="15.75">
      <c r="A19" s="98"/>
      <c r="B19" s="181"/>
      <c r="C19" s="181"/>
      <c r="D19" s="198"/>
      <c r="E19" s="98"/>
      <c r="F19" s="138"/>
    </row>
    <row r="20" spans="1:6" ht="15.75">
      <c r="A20" s="760" t="s">
        <v>311</v>
      </c>
      <c r="B20" s="715"/>
      <c r="C20" s="715"/>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7" t="s">
        <v>133</v>
      </c>
      <c r="C1" s="767"/>
      <c r="D1" s="767"/>
      <c r="E1" s="767"/>
      <c r="F1" s="767"/>
      <c r="G1" s="767"/>
      <c r="H1" s="767"/>
    </row>
    <row r="2" spans="2:8" ht="15.75">
      <c r="B2" s="42"/>
      <c r="C2"/>
      <c r="D2"/>
      <c r="E2"/>
      <c r="F2"/>
      <c r="G2"/>
      <c r="H2"/>
    </row>
    <row r="3" spans="2:8" ht="15.75">
      <c r="B3" s="768" t="s">
        <v>130</v>
      </c>
      <c r="C3" s="768"/>
      <c r="D3" s="768"/>
      <c r="E3" s="768"/>
      <c r="F3" s="768"/>
      <c r="G3" s="768"/>
      <c r="H3" s="768"/>
    </row>
    <row r="4" spans="2:8" ht="15.7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UPPER VERDIGRIS JOINT #24 District with respect to financing the 2014 annual budget for UPPER VERDIGRIS JOINT #24 , GREENWOOD COUNTY , Kansas.</v>
      </c>
      <c r="C5" s="765"/>
      <c r="D5" s="765"/>
      <c r="E5" s="765"/>
      <c r="F5" s="765"/>
      <c r="G5" s="765"/>
      <c r="H5" s="765"/>
    </row>
    <row r="6" spans="2:10" ht="15.75">
      <c r="B6" s="765"/>
      <c r="C6" s="765"/>
      <c r="D6" s="765"/>
      <c r="E6" s="765"/>
      <c r="F6" s="765"/>
      <c r="G6" s="765"/>
      <c r="H6" s="765"/>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UPPER VERDIGRIS JOINT #24 district budget exceed the amount levied to finance the</v>
      </c>
      <c r="C9"/>
      <c r="D9"/>
      <c r="E9"/>
      <c r="F9"/>
      <c r="G9"/>
      <c r="H9"/>
    </row>
    <row r="10" spans="2:8" ht="15.75">
      <c r="B10" s="48" t="str">
        <f>CONCATENATE("",inputPrYr!D11-1," ",inputPrYr!D3," except with regard to revenue produced and attributable to the")</f>
        <v>2013 UPPER VERDIGRIS JOINT #24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5.7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5.75">
      <c r="B18" s="48"/>
      <c r="C18"/>
      <c r="D18"/>
      <c r="E18"/>
      <c r="F18"/>
      <c r="G18"/>
      <c r="H18"/>
    </row>
    <row r="19" spans="2:8" ht="15.75">
      <c r="B19" s="48" t="str">
        <f>CONCATENATE("Whereas, ",(inputPrYr!D3)," provides essential services to district residents; and")</f>
        <v>Whereas, UPPER VERDIGRIS JOINT #24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UPPER VERDIGRIS JOINT #24 that is our desire to notify the public of the possibility of increased property taxes to finance the 2014 UPPER VERDIGRIS JOINT #24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5.75">
      <c r="B26" s="48"/>
      <c r="C26"/>
      <c r="D26"/>
      <c r="E26"/>
      <c r="F26"/>
      <c r="G26"/>
      <c r="H26"/>
    </row>
    <row r="27" spans="2:8" ht="15.75">
      <c r="B27" s="764" t="str">
        <f>CONCATENATE("Adopted this _________ day of ___________, ",inputPrYr!D11-1," by the ",(inputPrYr!D3)," District Board, ",(inputPrYr!D4),", State of Kansas.")</f>
        <v>Adopted this _________ day of ___________, 2013 by the UPPER VERDIGRIS JOINT #24 District Board, GREENWOOD COUNTY, State of Kansas.</v>
      </c>
      <c r="C27" s="765"/>
      <c r="D27" s="765"/>
      <c r="E27" s="765"/>
      <c r="F27" s="765"/>
      <c r="G27" s="765"/>
      <c r="H27" s="765"/>
    </row>
    <row r="28" spans="2:8" ht="15.75">
      <c r="B28" s="765"/>
      <c r="C28" s="765"/>
      <c r="D28" s="765"/>
      <c r="E28" s="765"/>
      <c r="F28" s="765"/>
      <c r="G28" s="765"/>
      <c r="H28" s="765"/>
    </row>
    <row r="29" spans="2:8" ht="15.75">
      <c r="B29" s="44"/>
      <c r="C29"/>
      <c r="D29"/>
      <c r="E29"/>
      <c r="F29"/>
      <c r="G29"/>
      <c r="H29"/>
    </row>
    <row r="30" spans="2:8" ht="15.75">
      <c r="B30" s="44"/>
      <c r="C30"/>
      <c r="D30"/>
      <c r="E30"/>
      <c r="F30"/>
      <c r="G30"/>
      <c r="H30"/>
    </row>
    <row r="31" spans="2:8" ht="15.75">
      <c r="B31" s="45" t="str">
        <f>CONCATENATE(" ",(inputPrYr!D3)," District Board")</f>
        <v> UPPER VERDIGRIS JOINT #24 District Board</v>
      </c>
      <c r="C31"/>
      <c r="D31"/>
      <c r="E31"/>
      <c r="F31"/>
      <c r="G31"/>
      <c r="H31"/>
    </row>
    <row r="32" spans="2:8" ht="15.75">
      <c r="B32" s="44"/>
      <c r="C32"/>
      <c r="D32"/>
      <c r="E32"/>
      <c r="F32"/>
      <c r="G32"/>
      <c r="H32"/>
    </row>
    <row r="33" spans="2:8" ht="15.75">
      <c r="B33"/>
      <c r="C33"/>
      <c r="D33"/>
      <c r="E33" s="766" t="s">
        <v>131</v>
      </c>
      <c r="F33" s="766"/>
      <c r="G33" s="766"/>
      <c r="H33" s="766"/>
    </row>
    <row r="34" spans="2:8" ht="15.75">
      <c r="B34"/>
      <c r="C34"/>
      <c r="D34"/>
      <c r="E34" s="766" t="s">
        <v>134</v>
      </c>
      <c r="F34" s="766"/>
      <c r="G34" s="766"/>
      <c r="H34" s="766"/>
    </row>
    <row r="35" spans="2:8" ht="15.75">
      <c r="B35" s="44"/>
      <c r="C35"/>
      <c r="D35"/>
      <c r="E35" s="766"/>
      <c r="F35" s="766"/>
      <c r="G35" s="766"/>
      <c r="H35" s="766"/>
    </row>
    <row r="36" spans="2:8" ht="15.75">
      <c r="B36"/>
      <c r="C36"/>
      <c r="D36"/>
      <c r="E36" s="766" t="s">
        <v>131</v>
      </c>
      <c r="F36" s="766"/>
      <c r="G36" s="766"/>
      <c r="H36" s="766"/>
    </row>
    <row r="37" spans="2:8" ht="15.75">
      <c r="B37"/>
      <c r="C37"/>
      <c r="D37"/>
      <c r="E37" s="766" t="s">
        <v>135</v>
      </c>
      <c r="F37" s="766"/>
      <c r="G37" s="766"/>
      <c r="H37" s="766"/>
    </row>
    <row r="38" spans="2:8" ht="15.75">
      <c r="B38" s="44"/>
      <c r="C38"/>
      <c r="D38"/>
      <c r="E38" s="766"/>
      <c r="F38" s="766"/>
      <c r="G38" s="766"/>
      <c r="H38" s="766"/>
    </row>
    <row r="39" spans="2:8" ht="15.75">
      <c r="B39"/>
      <c r="C39"/>
      <c r="D39"/>
      <c r="E39" s="766" t="s">
        <v>131</v>
      </c>
      <c r="F39" s="766"/>
      <c r="G39" s="766"/>
      <c r="H39" s="766"/>
    </row>
    <row r="40" spans="2:8" ht="15.75">
      <c r="B40"/>
      <c r="C40"/>
      <c r="D40"/>
      <c r="E40" s="766" t="s">
        <v>136</v>
      </c>
      <c r="F40" s="766"/>
      <c r="G40" s="766"/>
      <c r="H40" s="76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6">
      <selection activeCell="A1" sqref="A1:E1"/>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t="s">
        <v>811</v>
      </c>
      <c r="E7" s="101"/>
    </row>
    <row r="8" spans="1:5" ht="15.75">
      <c r="A8" s="99" t="s">
        <v>236</v>
      </c>
      <c r="B8" s="98"/>
      <c r="C8" s="98"/>
      <c r="D8" s="102" t="s">
        <v>812</v>
      </c>
      <c r="E8" s="101"/>
    </row>
    <row r="9" spans="1:5" ht="15.75">
      <c r="A9" s="99" t="s">
        <v>237</v>
      </c>
      <c r="B9" s="98"/>
      <c r="C9" s="98"/>
      <c r="D9" s="102" t="s">
        <v>813</v>
      </c>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147000</v>
      </c>
      <c r="E24" s="120">
        <v>53965</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53965</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147000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3.435</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3.435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48066</v>
      </c>
    </row>
    <row r="51" spans="1:5" ht="15.75">
      <c r="A51" s="136" t="str">
        <f>CONCATENATE("Assessed Valuation (",D11-2," budget column):")</f>
        <v>Assessed Valuation (2012 budget column):</v>
      </c>
      <c r="B51" s="112"/>
      <c r="C51" s="98"/>
      <c r="D51" s="98"/>
      <c r="E51" s="137">
        <v>13995239</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4.25">
      <c r="A8" s="446"/>
      <c r="B8" s="779" t="s">
        <v>591</v>
      </c>
      <c r="C8" s="779"/>
      <c r="D8" s="779"/>
      <c r="E8" s="779"/>
      <c r="F8" s="779"/>
      <c r="G8" s="779"/>
      <c r="H8" s="779"/>
      <c r="I8" s="779"/>
      <c r="J8" s="779"/>
      <c r="K8" s="779"/>
      <c r="L8" s="446"/>
    </row>
    <row r="9" spans="1:12" ht="14.25">
      <c r="A9" s="446"/>
      <c r="L9" s="446"/>
    </row>
    <row r="10" spans="1:12" ht="14.25">
      <c r="A10" s="446"/>
      <c r="B10" s="779" t="s">
        <v>592</v>
      </c>
      <c r="C10" s="779"/>
      <c r="D10" s="779"/>
      <c r="E10" s="779"/>
      <c r="F10" s="779"/>
      <c r="G10" s="779"/>
      <c r="H10" s="779"/>
      <c r="I10" s="779"/>
      <c r="J10" s="779"/>
      <c r="K10" s="779"/>
      <c r="L10" s="446"/>
    </row>
    <row r="11" spans="1:12" ht="14.2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1">
        <v>312000000</v>
      </c>
      <c r="G23" s="781"/>
      <c r="L23" s="446"/>
    </row>
    <row r="24" spans="1:12" ht="14.25">
      <c r="A24" s="446"/>
      <c r="L24" s="446"/>
    </row>
    <row r="25" spans="1:12" ht="14.25">
      <c r="A25" s="446"/>
      <c r="C25" s="782">
        <f>F23</f>
        <v>312000000</v>
      </c>
      <c r="D25" s="78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4.25">
      <c r="A31" s="446"/>
      <c r="B31" s="779" t="s">
        <v>602</v>
      </c>
      <c r="C31" s="779"/>
      <c r="D31" s="779"/>
      <c r="E31" s="779"/>
      <c r="F31" s="779"/>
      <c r="G31" s="779"/>
      <c r="H31" s="779"/>
      <c r="I31" s="779"/>
      <c r="J31" s="779"/>
      <c r="K31" s="779"/>
      <c r="L31" s="446"/>
    </row>
    <row r="32" spans="1:12" ht="14.25">
      <c r="A32" s="446"/>
      <c r="L32" s="446"/>
    </row>
    <row r="33" spans="1:12" ht="14.25">
      <c r="A33" s="446"/>
      <c r="B33" s="779" t="s">
        <v>603</v>
      </c>
      <c r="C33" s="779"/>
      <c r="D33" s="779"/>
      <c r="E33" s="779"/>
      <c r="F33" s="779"/>
      <c r="G33" s="779"/>
      <c r="H33" s="779"/>
      <c r="I33" s="779"/>
      <c r="J33" s="779"/>
      <c r="K33" s="779"/>
      <c r="L33" s="446"/>
    </row>
    <row r="34" spans="1:12" ht="14.25">
      <c r="A34" s="446"/>
      <c r="L34" s="446"/>
    </row>
    <row r="35" spans="1:12" ht="89.25" customHeight="1">
      <c r="A35" s="446"/>
      <c r="B35" s="780" t="s">
        <v>604</v>
      </c>
      <c r="C35" s="784"/>
      <c r="D35" s="784"/>
      <c r="E35" s="784"/>
      <c r="F35" s="784"/>
      <c r="G35" s="784"/>
      <c r="H35" s="784"/>
      <c r="I35" s="784"/>
      <c r="J35" s="784"/>
      <c r="K35" s="784"/>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785">
        <v>312000000</v>
      </c>
      <c r="D41" s="785"/>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86">
        <v>312000000</v>
      </c>
      <c r="C48" s="781"/>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87" t="s">
        <v>612</v>
      </c>
      <c r="H50" s="788"/>
      <c r="I50" s="584" t="s">
        <v>598</v>
      </c>
      <c r="J50" s="466">
        <f>B50/F50</f>
        <v>0.16025641025641027</v>
      </c>
      <c r="K50" s="458"/>
      <c r="L50" s="446"/>
    </row>
    <row r="51" spans="1:15" ht="1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4.25">
      <c r="A53" s="446"/>
      <c r="B53" s="779" t="s">
        <v>614</v>
      </c>
      <c r="C53" s="779"/>
      <c r="D53" s="779"/>
      <c r="E53" s="779"/>
      <c r="F53" s="779"/>
      <c r="G53" s="779"/>
      <c r="H53" s="779"/>
      <c r="I53" s="779"/>
      <c r="J53" s="779"/>
      <c r="K53" s="779"/>
      <c r="L53" s="446"/>
    </row>
    <row r="54" spans="1:12" ht="14.25">
      <c r="A54" s="446"/>
      <c r="B54" s="588"/>
      <c r="C54" s="588"/>
      <c r="D54" s="588"/>
      <c r="E54" s="588"/>
      <c r="F54" s="588"/>
      <c r="G54" s="588"/>
      <c r="H54" s="588"/>
      <c r="I54" s="588"/>
      <c r="J54" s="588"/>
      <c r="K54" s="588"/>
      <c r="L54" s="446"/>
    </row>
    <row r="55" spans="1:12" ht="14.2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1">
        <v>312000000</v>
      </c>
      <c r="D74" s="781"/>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1">
        <v>50000</v>
      </c>
      <c r="D77" s="781"/>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1">
        <v>100000</v>
      </c>
      <c r="D80" s="781"/>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4.25">
      <c r="A86" s="446"/>
      <c r="B86" s="775" t="s">
        <v>632</v>
      </c>
      <c r="C86" s="775"/>
      <c r="D86" s="775"/>
      <c r="E86" s="775"/>
      <c r="F86" s="775"/>
      <c r="G86" s="775"/>
      <c r="H86" s="775"/>
      <c r="I86" s="775"/>
      <c r="J86" s="775"/>
      <c r="K86" s="775"/>
      <c r="L86" s="446"/>
    </row>
    <row r="87" spans="1:12" ht="14.25">
      <c r="A87" s="446"/>
      <c r="B87" s="480"/>
      <c r="C87" s="480"/>
      <c r="D87" s="480"/>
      <c r="E87" s="480"/>
      <c r="F87" s="480"/>
      <c r="G87" s="480"/>
      <c r="H87" s="480"/>
      <c r="I87" s="480"/>
      <c r="J87" s="480"/>
      <c r="K87" s="480"/>
      <c r="L87" s="446"/>
    </row>
    <row r="88" spans="1:12" ht="14.25">
      <c r="A88" s="446"/>
      <c r="B88" s="775" t="s">
        <v>633</v>
      </c>
      <c r="C88" s="775"/>
      <c r="D88" s="775"/>
      <c r="E88" s="775"/>
      <c r="F88" s="775"/>
      <c r="G88" s="775"/>
      <c r="H88" s="775"/>
      <c r="I88" s="775"/>
      <c r="J88" s="775"/>
      <c r="K88" s="775"/>
      <c r="L88" s="446"/>
    </row>
    <row r="89" spans="1:12" ht="14.2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1">
        <v>312000000</v>
      </c>
      <c r="D114" s="781"/>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1">
        <v>2500000</v>
      </c>
      <c r="D120" s="781"/>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4.25">
      <c r="A126" s="446"/>
      <c r="B126" s="775" t="s">
        <v>639</v>
      </c>
      <c r="C126" s="775"/>
      <c r="D126" s="775"/>
      <c r="E126" s="775"/>
      <c r="F126" s="775"/>
      <c r="G126" s="775"/>
      <c r="H126" s="775"/>
      <c r="I126" s="775"/>
      <c r="J126" s="775"/>
      <c r="K126" s="775"/>
      <c r="L126" s="492"/>
    </row>
    <row r="127" spans="1:12" ht="14.25">
      <c r="A127" s="446"/>
      <c r="B127" s="588"/>
      <c r="C127" s="588"/>
      <c r="D127" s="588"/>
      <c r="E127" s="588"/>
      <c r="F127" s="588"/>
      <c r="G127" s="588"/>
      <c r="H127" s="588"/>
      <c r="I127" s="588"/>
      <c r="J127" s="588"/>
      <c r="K127" s="588"/>
      <c r="L127" s="492"/>
    </row>
    <row r="128" spans="1:12" ht="14.25">
      <c r="A128" s="446"/>
      <c r="B128" s="775" t="s">
        <v>640</v>
      </c>
      <c r="C128" s="775"/>
      <c r="D128" s="775"/>
      <c r="E128" s="775"/>
      <c r="F128" s="775"/>
      <c r="G128" s="775"/>
      <c r="H128" s="775"/>
      <c r="I128" s="775"/>
      <c r="J128" s="775"/>
      <c r="K128" s="775"/>
      <c r="L128" s="492"/>
    </row>
    <row r="129" spans="1:12" ht="14.2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96" t="s">
        <v>642</v>
      </c>
      <c r="D133" s="796"/>
      <c r="E133" s="456"/>
      <c r="F133" s="584" t="s">
        <v>643</v>
      </c>
      <c r="G133" s="456"/>
      <c r="H133" s="796" t="s">
        <v>628</v>
      </c>
      <c r="I133" s="796"/>
      <c r="J133" s="456"/>
      <c r="K133" s="458"/>
      <c r="L133" s="446"/>
    </row>
    <row r="134" spans="1:12" ht="14.25">
      <c r="A134" s="446"/>
      <c r="B134" s="464" t="s">
        <v>621</v>
      </c>
      <c r="C134" s="781">
        <v>100000</v>
      </c>
      <c r="D134" s="781"/>
      <c r="E134" s="584" t="s">
        <v>21</v>
      </c>
      <c r="F134" s="584">
        <v>0.115</v>
      </c>
      <c r="G134" s="584" t="s">
        <v>598</v>
      </c>
      <c r="H134" s="797">
        <f>C134*F134</f>
        <v>11500</v>
      </c>
      <c r="I134" s="79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98" t="s">
        <v>628</v>
      </c>
      <c r="D136" s="798"/>
      <c r="E136" s="474"/>
      <c r="F136" s="580" t="s">
        <v>644</v>
      </c>
      <c r="G136" s="580"/>
      <c r="H136" s="474"/>
      <c r="I136" s="474"/>
      <c r="J136" s="474" t="s">
        <v>645</v>
      </c>
      <c r="K136" s="475"/>
      <c r="L136" s="446"/>
    </row>
    <row r="137" spans="1:12" ht="14.2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97" t="s">
        <v>649</v>
      </c>
      <c r="D147" s="797"/>
      <c r="E147" s="584"/>
      <c r="F147" s="510" t="s">
        <v>650</v>
      </c>
      <c r="G147" s="584"/>
      <c r="H147" s="584"/>
      <c r="I147" s="584"/>
      <c r="J147" s="802" t="s">
        <v>651</v>
      </c>
      <c r="K147" s="803"/>
      <c r="L147" s="446"/>
    </row>
    <row r="148" spans="1:12" ht="14.25">
      <c r="A148" s="446"/>
      <c r="B148" s="464"/>
      <c r="C148" s="804">
        <v>52.869</v>
      </c>
      <c r="D148" s="804"/>
      <c r="E148" s="584" t="s">
        <v>21</v>
      </c>
      <c r="F148" s="585">
        <v>312000000</v>
      </c>
      <c r="G148" s="515" t="s">
        <v>599</v>
      </c>
      <c r="H148" s="584">
        <v>1000</v>
      </c>
      <c r="I148" s="584" t="s">
        <v>598</v>
      </c>
      <c r="J148" s="802">
        <f>C148*(F148/1000)</f>
        <v>16495128</v>
      </c>
      <c r="K148" s="805"/>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A1" sqref="A1"/>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UPPER VERDIGRIS JOINT #24</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GREENWOOD COUNTY</v>
      </c>
      <c r="B7" s="20"/>
      <c r="C7" s="20"/>
      <c r="D7" s="11">
        <v>11150092</v>
      </c>
      <c r="E7" s="24"/>
    </row>
    <row r="8" spans="1:5" ht="15.75">
      <c r="A8" s="27" t="str">
        <f>inputPrYr!$D$6</f>
        <v>CHASE COUNTY</v>
      </c>
      <c r="B8" s="20"/>
      <c r="C8" s="20"/>
      <c r="D8" s="11">
        <v>1164334</v>
      </c>
      <c r="E8" s="24"/>
    </row>
    <row r="9" spans="1:5" ht="15.75">
      <c r="A9" s="27" t="str">
        <f>inputPrYr!$D$7</f>
        <v>COFFEY COUNTY</v>
      </c>
      <c r="B9" s="20"/>
      <c r="C9" s="20"/>
      <c r="D9" s="11">
        <v>113758</v>
      </c>
      <c r="E9" s="24"/>
    </row>
    <row r="10" spans="1:5" ht="15.75">
      <c r="A10" s="27" t="str">
        <f>inputPrYr!$D$8</f>
        <v>LYON COUNTY</v>
      </c>
      <c r="B10" s="20"/>
      <c r="C10" s="20"/>
      <c r="D10" s="11">
        <v>4931715</v>
      </c>
      <c r="E10" s="24"/>
    </row>
    <row r="11" spans="1:5" ht="15.75">
      <c r="A11" s="27" t="str">
        <f>inputPrYr!$D$9</f>
        <v>WOODSON COUNTY</v>
      </c>
      <c r="B11" s="20"/>
      <c r="C11" s="20"/>
      <c r="D11" s="11">
        <v>269903</v>
      </c>
      <c r="E11" s="24"/>
    </row>
    <row r="12" spans="1:5" ht="16.5" thickBot="1">
      <c r="A12" s="27" t="str">
        <f>CONCATENATE("Total Assessed Valuation for ",inputPrYr!D11-1,"")</f>
        <v>Total Assessed Valuation for 2013</v>
      </c>
      <c r="B12" s="20"/>
      <c r="C12" s="20"/>
      <c r="D12" s="20"/>
      <c r="E12" s="70">
        <f>SUM(D7:D11)</f>
        <v>17629802</v>
      </c>
    </row>
    <row r="13" spans="1:5" ht="16.5" thickTop="1">
      <c r="A13" s="62" t="str">
        <f>CONCATENATE("New Improvements for ",inputPrYr!D11-1,":")</f>
        <v>New Improvements for 2013:</v>
      </c>
      <c r="B13" s="20"/>
      <c r="C13" s="20"/>
      <c r="D13" s="20"/>
      <c r="E13" s="59"/>
    </row>
    <row r="14" spans="1:5" ht="15.75">
      <c r="A14" s="27" t="str">
        <f>inputPrYr!$D$4</f>
        <v>GREENWOOD COUNTY</v>
      </c>
      <c r="B14" s="20"/>
      <c r="C14" s="20"/>
      <c r="D14" s="50">
        <v>69709</v>
      </c>
      <c r="E14" s="14"/>
    </row>
    <row r="15" spans="1:5" ht="15.75">
      <c r="A15" s="27" t="str">
        <f>inputPrYr!$D$6</f>
        <v>CHASE COUNTY</v>
      </c>
      <c r="B15" s="20"/>
      <c r="C15" s="20"/>
      <c r="D15" s="13">
        <v>0</v>
      </c>
      <c r="E15" s="14"/>
    </row>
    <row r="16" spans="1:5" ht="15.75">
      <c r="A16" s="27" t="str">
        <f>inputPrYr!$D$7</f>
        <v>COFFEY COUNTY</v>
      </c>
      <c r="B16" s="20"/>
      <c r="C16" s="20"/>
      <c r="D16" s="13">
        <v>0</v>
      </c>
      <c r="E16" s="14"/>
    </row>
    <row r="17" spans="1:5" ht="15.75">
      <c r="A17" s="27" t="str">
        <f>inputPrYr!$D$8</f>
        <v>LYON COUNTY</v>
      </c>
      <c r="B17" s="20"/>
      <c r="C17" s="20"/>
      <c r="D17" s="13">
        <v>38035</v>
      </c>
      <c r="E17" s="14"/>
    </row>
    <row r="18" spans="1:5" ht="15.75">
      <c r="A18" s="27" t="str">
        <f>inputPrYr!$D$9</f>
        <v>WOODSON COUNTY</v>
      </c>
      <c r="B18" s="20"/>
      <c r="C18" s="20"/>
      <c r="D18" s="13">
        <v>0</v>
      </c>
      <c r="E18" s="20"/>
    </row>
    <row r="19" spans="1:5" ht="16.5" thickBot="1">
      <c r="A19" s="27" t="str">
        <f>CONCATENATE("Total New Improvements for ",inputPrYr!D11-1,"")</f>
        <v>Total New Improvements for 2013</v>
      </c>
      <c r="B19" s="20"/>
      <c r="C19" s="20"/>
      <c r="D19" s="20"/>
      <c r="E19" s="71">
        <f>SUM(D14:D18)</f>
        <v>107744</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GREENWOOD COUNTY</v>
      </c>
      <c r="B21" s="20"/>
      <c r="C21" s="20"/>
      <c r="D21" s="50">
        <v>374309</v>
      </c>
      <c r="E21" s="14"/>
    </row>
    <row r="22" spans="1:5" ht="15.75">
      <c r="A22" s="27" t="str">
        <f>inputPrYr!$D$6</f>
        <v>CHASE COUNTY</v>
      </c>
      <c r="B22" s="20"/>
      <c r="C22" s="20"/>
      <c r="D22" s="50">
        <v>11102</v>
      </c>
      <c r="E22" s="14"/>
    </row>
    <row r="23" spans="1:5" ht="15.75">
      <c r="A23" s="27" t="str">
        <f>inputPrYr!$D$7</f>
        <v>COFFEY COUNTY</v>
      </c>
      <c r="B23" s="20"/>
      <c r="C23" s="20"/>
      <c r="D23" s="50">
        <v>0</v>
      </c>
      <c r="E23" s="14"/>
    </row>
    <row r="24" spans="1:5" ht="15.75">
      <c r="A24" s="27" t="str">
        <f>inputPrYr!$D$8</f>
        <v>LYON COUNTY</v>
      </c>
      <c r="B24" s="20"/>
      <c r="C24" s="20"/>
      <c r="D24" s="50">
        <v>31426</v>
      </c>
      <c r="E24" s="14"/>
    </row>
    <row r="25" spans="1:5" ht="15.75">
      <c r="A25" s="27" t="str">
        <f>inputPrYr!$D$9</f>
        <v>WOODSON COUNTY</v>
      </c>
      <c r="B25" s="20"/>
      <c r="C25" s="20"/>
      <c r="D25" s="50">
        <v>375</v>
      </c>
      <c r="E25" s="14"/>
    </row>
    <row r="26" spans="1:5" ht="16.5" thickBot="1">
      <c r="A26" s="27" t="str">
        <f>CONCATENATE("Total Personal Property - ",inputPrYr!D11-1,"")</f>
        <v>Total Personal Property - 2013</v>
      </c>
      <c r="B26" s="20"/>
      <c r="C26" s="20"/>
      <c r="D26" s="20"/>
      <c r="E26" s="71">
        <f>SUM(D21:D25)</f>
        <v>417212</v>
      </c>
    </row>
    <row r="27" spans="1:5" ht="16.5" thickTop="1">
      <c r="A27" s="62" t="str">
        <f>CONCATENATE("Property that has changed in use for ",inputPrYr!D11-1,":")</f>
        <v>Property that has changed in use for 2013:</v>
      </c>
      <c r="B27" s="20"/>
      <c r="C27" s="20"/>
      <c r="D27" s="20"/>
      <c r="E27" s="59"/>
    </row>
    <row r="28" spans="1:5" ht="15.75">
      <c r="A28" s="27" t="str">
        <f>inputPrYr!$D$4</f>
        <v>GREENWOOD COUNTY</v>
      </c>
      <c r="B28" s="20"/>
      <c r="C28" s="20"/>
      <c r="D28" s="50">
        <v>34813</v>
      </c>
      <c r="E28" s="14"/>
    </row>
    <row r="29" spans="1:5" ht="15.75">
      <c r="A29" s="27" t="str">
        <f>inputPrYr!$D$6</f>
        <v>CHASE COUNTY</v>
      </c>
      <c r="B29" s="20"/>
      <c r="C29" s="20"/>
      <c r="D29" s="50">
        <v>254</v>
      </c>
      <c r="E29" s="14"/>
    </row>
    <row r="30" spans="1:5" ht="15.75">
      <c r="A30" s="27" t="str">
        <f>inputPrYr!$D$7</f>
        <v>COFFEY COUNTY</v>
      </c>
      <c r="B30" s="20"/>
      <c r="C30" s="20"/>
      <c r="D30" s="50">
        <v>0</v>
      </c>
      <c r="E30" s="14"/>
    </row>
    <row r="31" spans="1:5" ht="15.75">
      <c r="A31" s="27" t="str">
        <f>inputPrYr!$D$8</f>
        <v>LYON COUNTY</v>
      </c>
      <c r="B31" s="20"/>
      <c r="C31" s="20"/>
      <c r="D31" s="50">
        <v>0</v>
      </c>
      <c r="E31" s="14"/>
    </row>
    <row r="32" spans="1:5" ht="15.75">
      <c r="A32" s="27" t="str">
        <f>inputPrYr!$D$9</f>
        <v>WOODSON COUNTY</v>
      </c>
      <c r="B32" s="20"/>
      <c r="C32" s="20"/>
      <c r="D32" s="50">
        <v>0</v>
      </c>
      <c r="E32" s="14"/>
    </row>
    <row r="33" spans="1:5" ht="16.5" thickBot="1">
      <c r="A33" s="27" t="str">
        <f>CONCATENATE("Total Property that has changed in use for ",inputPrYr!D11-1,"")</f>
        <v>Total Property that has changed in use for 2013</v>
      </c>
      <c r="B33" s="20"/>
      <c r="C33" s="20"/>
      <c r="D33" s="20"/>
      <c r="E33" s="71">
        <f>SUM(D28:D32)</f>
        <v>35067</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GREENWOOD COUNTY</v>
      </c>
      <c r="B35" s="20"/>
      <c r="C35" s="20"/>
      <c r="D35" s="80">
        <v>467495</v>
      </c>
      <c r="E35" s="59"/>
    </row>
    <row r="36" spans="1:5" ht="15.75">
      <c r="A36" s="27" t="str">
        <f>inputPrYr!$D$6</f>
        <v>CHASE COUNTY</v>
      </c>
      <c r="B36" s="20"/>
      <c r="C36" s="20"/>
      <c r="D36" s="81">
        <v>11220</v>
      </c>
      <c r="E36" s="59"/>
    </row>
    <row r="37" spans="1:5" ht="15.75">
      <c r="A37" s="27" t="str">
        <f>inputPrYr!$D$7</f>
        <v>COFFEY COUNTY</v>
      </c>
      <c r="B37" s="20"/>
      <c r="C37" s="20"/>
      <c r="D37" s="81">
        <v>0</v>
      </c>
      <c r="E37" s="59"/>
    </row>
    <row r="38" spans="1:5" ht="15.75">
      <c r="A38" s="27" t="str">
        <f>inputPrYr!$D$8</f>
        <v>LYON COUNTY</v>
      </c>
      <c r="B38" s="20"/>
      <c r="C38" s="20"/>
      <c r="D38" s="81">
        <v>30490</v>
      </c>
      <c r="E38" s="59"/>
    </row>
    <row r="39" spans="1:5" ht="15.75">
      <c r="A39" s="27" t="str">
        <f>inputPrYr!$D$9</f>
        <v>WOODSON COUNTY</v>
      </c>
      <c r="B39" s="20"/>
      <c r="C39" s="20"/>
      <c r="D39" s="81">
        <v>375</v>
      </c>
      <c r="E39" s="59"/>
    </row>
    <row r="40" spans="1:5" ht="16.5" thickBot="1">
      <c r="A40" s="27" t="str">
        <f>CONCATENATE("Total Personal Property - ",inputPrYr!D11-2,"")</f>
        <v>Total Personal Property - 2012</v>
      </c>
      <c r="B40" s="14"/>
      <c r="C40" s="14"/>
      <c r="D40" s="14"/>
      <c r="E40" s="70">
        <f>SUM(D35:D39)</f>
        <v>509580</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3.375</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3.375</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GREENWOOD COUNTY</v>
      </c>
      <c r="B55" s="36"/>
      <c r="C55" s="36"/>
      <c r="D55" s="80">
        <v>10395858</v>
      </c>
      <c r="E55" s="36"/>
    </row>
    <row r="56" spans="1:5" ht="15.75">
      <c r="A56" s="27" t="str">
        <f>inputPrYr!$D$6</f>
        <v>CHASE COUNTY</v>
      </c>
      <c r="B56" s="36"/>
      <c r="C56" s="36"/>
      <c r="D56" s="81">
        <v>1137846</v>
      </c>
      <c r="E56" s="36"/>
    </row>
    <row r="57" spans="1:5" ht="15.75">
      <c r="A57" s="27" t="str">
        <f>inputPrYr!$D$7</f>
        <v>COFFEY COUNTY</v>
      </c>
      <c r="B57" s="36"/>
      <c r="C57" s="36"/>
      <c r="D57" s="81">
        <v>104079</v>
      </c>
      <c r="E57" s="36"/>
    </row>
    <row r="58" spans="1:5" ht="15.75">
      <c r="A58" s="27" t="str">
        <f>inputPrYr!$D$8</f>
        <v>LYON COUNTY</v>
      </c>
      <c r="B58" s="36"/>
      <c r="C58" s="36"/>
      <c r="D58" s="81">
        <v>4115571</v>
      </c>
      <c r="E58" s="36"/>
    </row>
    <row r="59" spans="1:5" ht="15.75">
      <c r="A59" s="27" t="str">
        <f>inputPrYr!$D$9</f>
        <v>WOODSON COUNTY</v>
      </c>
      <c r="B59" s="36"/>
      <c r="C59" s="36"/>
      <c r="D59" s="81">
        <v>237215</v>
      </c>
      <c r="E59" s="36"/>
    </row>
    <row r="60" spans="1:5" ht="16.5" thickBot="1">
      <c r="A60" s="14" t="str">
        <f>CONCATENATE("Total Assessed Valuation from November 1, ",E1-2," Abstract")</f>
        <v>Total Assessed Valuation from November 1, 2012 Abstract</v>
      </c>
      <c r="B60" s="36"/>
      <c r="C60" s="36"/>
      <c r="D60" s="36"/>
      <c r="E60" s="70">
        <f>SUM(D55:D59)</f>
        <v>15990569</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GREENWOOD COUNTY</v>
      </c>
      <c r="B64" s="14"/>
      <c r="C64" s="14"/>
      <c r="D64" s="11">
        <v>3593</v>
      </c>
      <c r="E64" s="24"/>
    </row>
    <row r="65" spans="1:5" ht="15.75">
      <c r="A65" s="27" t="str">
        <f>inputPrYr!$D$6</f>
        <v>CHASE COUNTY</v>
      </c>
      <c r="B65" s="14"/>
      <c r="C65" s="14"/>
      <c r="D65" s="11"/>
      <c r="E65" s="24"/>
    </row>
    <row r="66" spans="1:5" ht="15.75">
      <c r="A66" s="27" t="str">
        <f>inputPrYr!$D$7</f>
        <v>COFFEY COUNTY</v>
      </c>
      <c r="B66" s="14"/>
      <c r="C66" s="14"/>
      <c r="D66" s="11"/>
      <c r="E66" s="24"/>
    </row>
    <row r="67" spans="1:5" ht="15.75">
      <c r="A67" s="27" t="str">
        <f>inputPrYr!$D$8</f>
        <v>LYON COUNTY</v>
      </c>
      <c r="B67" s="14"/>
      <c r="C67" s="14"/>
      <c r="D67" s="11"/>
      <c r="E67" s="24"/>
    </row>
    <row r="68" spans="1:5" ht="15.75">
      <c r="A68" s="27" t="str">
        <f>inputPrYr!$D$9</f>
        <v>WOODSON COUNTY</v>
      </c>
      <c r="B68" s="14"/>
      <c r="C68" s="14"/>
      <c r="D68" s="11"/>
      <c r="E68" s="24"/>
    </row>
    <row r="69" spans="1:5" ht="16.5" thickBot="1">
      <c r="A69" s="16" t="s">
        <v>145</v>
      </c>
      <c r="B69" s="14"/>
      <c r="C69" s="14"/>
      <c r="D69" s="14"/>
      <c r="E69" s="67">
        <f>SUM(D64:D68)</f>
        <v>3593</v>
      </c>
    </row>
    <row r="70" spans="1:5" ht="16.5" thickTop="1">
      <c r="A70" s="63" t="s">
        <v>147</v>
      </c>
      <c r="B70" s="14"/>
      <c r="C70" s="14"/>
      <c r="D70" s="14"/>
      <c r="E70" s="49"/>
    </row>
    <row r="71" spans="1:5" ht="15.75">
      <c r="A71" s="27" t="str">
        <f>inputPrYr!$D$4</f>
        <v>GREENWOOD COUNTY</v>
      </c>
      <c r="B71" s="14"/>
      <c r="C71" s="14"/>
      <c r="D71" s="11">
        <v>73</v>
      </c>
      <c r="E71" s="24"/>
    </row>
    <row r="72" spans="1:5" ht="15.75">
      <c r="A72" s="27" t="str">
        <f>inputPrYr!$D$6</f>
        <v>CHASE COUNTY</v>
      </c>
      <c r="B72" s="14"/>
      <c r="C72" s="14"/>
      <c r="D72" s="12"/>
      <c r="E72" s="24"/>
    </row>
    <row r="73" spans="1:5" ht="15.75">
      <c r="A73" s="27" t="str">
        <f>inputPrYr!$D$7</f>
        <v>COFFEY COUNTY</v>
      </c>
      <c r="B73" s="14"/>
      <c r="C73" s="14"/>
      <c r="D73" s="12"/>
      <c r="E73" s="24"/>
    </row>
    <row r="74" spans="1:5" ht="15.75">
      <c r="A74" s="27" t="str">
        <f>inputPrYr!$D$8</f>
        <v>LYON COUNTY</v>
      </c>
      <c r="B74" s="14"/>
      <c r="C74" s="14"/>
      <c r="D74" s="12"/>
      <c r="E74" s="24"/>
    </row>
    <row r="75" spans="1:5" ht="15.75">
      <c r="A75" s="27" t="str">
        <f>inputPrYr!$D$9</f>
        <v>WOODSON COUNTY</v>
      </c>
      <c r="B75" s="14"/>
      <c r="C75" s="14"/>
      <c r="D75" s="12"/>
      <c r="E75" s="25"/>
    </row>
    <row r="76" spans="1:5" ht="16.5" thickBot="1">
      <c r="A76" s="16" t="s">
        <v>144</v>
      </c>
      <c r="B76" s="14"/>
      <c r="C76" s="14"/>
      <c r="D76" s="14"/>
      <c r="E76" s="67">
        <f>SUM(D71:D75)</f>
        <v>73</v>
      </c>
    </row>
    <row r="77" spans="1:5" ht="16.5" thickTop="1">
      <c r="A77" s="63" t="s">
        <v>143</v>
      </c>
      <c r="B77" s="14"/>
      <c r="C77" s="14"/>
      <c r="D77" s="14"/>
      <c r="E77" s="49"/>
    </row>
    <row r="78" spans="1:5" ht="15.75">
      <c r="A78" s="27" t="str">
        <f>inputPrYr!$D$4</f>
        <v>GREENWOOD COUNTY</v>
      </c>
      <c r="B78" s="14"/>
      <c r="C78" s="14"/>
      <c r="D78" s="11">
        <v>399</v>
      </c>
      <c r="E78" s="24"/>
    </row>
    <row r="79" spans="1:5" ht="15.75">
      <c r="A79" s="27" t="str">
        <f>inputPrYr!$D$6</f>
        <v>CHASE COUNTY</v>
      </c>
      <c r="B79" s="14"/>
      <c r="C79" s="14"/>
      <c r="D79" s="12"/>
      <c r="E79" s="24"/>
    </row>
    <row r="80" spans="1:5" ht="15.75">
      <c r="A80" s="27" t="str">
        <f>inputPrYr!$D$7</f>
        <v>COFFEY COUNTY</v>
      </c>
      <c r="B80" s="14"/>
      <c r="C80" s="14"/>
      <c r="D80" s="12"/>
      <c r="E80" s="24"/>
    </row>
    <row r="81" spans="1:5" ht="15.75">
      <c r="A81" s="27" t="str">
        <f>inputPrYr!$D$8</f>
        <v>LYON COUNTY</v>
      </c>
      <c r="B81" s="14"/>
      <c r="C81" s="14"/>
      <c r="D81" s="12"/>
      <c r="E81" s="24"/>
    </row>
    <row r="82" spans="1:5" ht="15.75">
      <c r="A82" s="27" t="str">
        <f>inputPrYr!$D$9</f>
        <v>WOODSON COUNTY</v>
      </c>
      <c r="B82" s="14"/>
      <c r="C82" s="14"/>
      <c r="D82" s="12"/>
      <c r="E82" s="25"/>
    </row>
    <row r="83" spans="1:5" ht="16.5" thickBot="1">
      <c r="A83" s="16" t="s">
        <v>142</v>
      </c>
      <c r="B83" s="14"/>
      <c r="C83" s="14"/>
      <c r="D83" s="14"/>
      <c r="E83" s="67">
        <f>SUM(D78:D82)</f>
        <v>399</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GREENWOOD COUNTY</v>
      </c>
      <c r="B89" s="21"/>
      <c r="C89" s="91"/>
      <c r="D89" s="61"/>
      <c r="E89" s="51"/>
    </row>
    <row r="90" spans="1:5" ht="15.75">
      <c r="A90" s="27" t="str">
        <f>inputPrYr!$D$6</f>
        <v>CHASE COUNTY</v>
      </c>
      <c r="B90" s="21"/>
      <c r="C90" s="92"/>
      <c r="D90" s="93"/>
      <c r="E90" s="24"/>
    </row>
    <row r="91" spans="1:5" ht="15.75">
      <c r="A91" s="27" t="str">
        <f>inputPrYr!$D$7</f>
        <v>COFFEY COUNTY</v>
      </c>
      <c r="B91" s="21"/>
      <c r="C91" s="92"/>
      <c r="D91" s="93"/>
      <c r="E91" s="24"/>
    </row>
    <row r="92" spans="1:5" ht="15.75">
      <c r="A92" s="27" t="str">
        <f>inputPrYr!$D$8</f>
        <v>LYON COUNTY</v>
      </c>
      <c r="B92" s="21"/>
      <c r="C92" s="92"/>
      <c r="D92" s="93"/>
      <c r="E92" s="24"/>
    </row>
    <row r="93" spans="1:5" ht="15.75">
      <c r="A93" s="27" t="str">
        <f>inputPrYr!$D$9</f>
        <v>WOODSON COUNTY</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147000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820</v>
      </c>
      <c r="C3" s="642"/>
      <c r="D3" s="642"/>
      <c r="E3" s="642"/>
      <c r="F3" s="642"/>
      <c r="J3" s="654" t="s">
        <v>767</v>
      </c>
    </row>
    <row r="4" spans="1:10" ht="15" customHeight="1">
      <c r="A4" s="641"/>
      <c r="B4" s="642"/>
      <c r="C4" s="642"/>
      <c r="D4" s="642"/>
      <c r="E4" s="642"/>
      <c r="F4" s="642"/>
      <c r="J4" s="654" t="s">
        <v>768</v>
      </c>
    </row>
    <row r="5" spans="1:10" ht="15" customHeight="1">
      <c r="A5" s="1" t="s">
        <v>764</v>
      </c>
      <c r="B5" s="388"/>
      <c r="J5" s="654" t="s">
        <v>769</v>
      </c>
    </row>
    <row r="6" spans="1:10" ht="15.75">
      <c r="A6" s="385"/>
      <c r="B6" s="385"/>
      <c r="C6" s="385"/>
      <c r="D6" s="386"/>
      <c r="E6" s="385"/>
      <c r="F6" s="385"/>
      <c r="J6" s="654" t="s">
        <v>770</v>
      </c>
    </row>
    <row r="7" spans="1:10" ht="15.75">
      <c r="A7" s="387" t="s">
        <v>335</v>
      </c>
      <c r="B7" s="388" t="s">
        <v>821</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July 29, 2013</v>
      </c>
      <c r="E8" s="385"/>
      <c r="F8" s="385"/>
      <c r="J8" s="654" t="s">
        <v>772</v>
      </c>
    </row>
    <row r="9" spans="1:10" ht="15.75">
      <c r="A9" s="387" t="s">
        <v>336</v>
      </c>
      <c r="B9" s="388" t="s">
        <v>822</v>
      </c>
      <c r="C9" s="392"/>
      <c r="D9" s="387"/>
      <c r="E9" s="385"/>
      <c r="F9" s="385"/>
      <c r="J9" s="654" t="s">
        <v>773</v>
      </c>
    </row>
    <row r="10" spans="1:10" ht="15.75">
      <c r="A10" s="387"/>
      <c r="B10" s="387"/>
      <c r="C10" s="387"/>
      <c r="D10" s="387"/>
      <c r="E10" s="385"/>
      <c r="F10" s="385"/>
      <c r="J10" s="654" t="s">
        <v>774</v>
      </c>
    </row>
    <row r="11" spans="1:10" ht="15.75">
      <c r="A11" s="387" t="s">
        <v>337</v>
      </c>
      <c r="B11" s="393" t="s">
        <v>823</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824</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July</v>
      </c>
    </row>
    <row r="19" spans="1:9" ht="15.75">
      <c r="A19" s="387" t="s">
        <v>335</v>
      </c>
      <c r="B19" s="390" t="s">
        <v>340</v>
      </c>
      <c r="C19" s="387"/>
      <c r="D19" s="387"/>
      <c r="E19" s="387"/>
      <c r="I19" s="656" t="str">
        <f>IF(B7="","",CONCATENATE("J",I21))</f>
        <v>J7</v>
      </c>
    </row>
    <row r="20" spans="1:9" ht="15.75">
      <c r="A20" s="387"/>
      <c r="B20" s="387"/>
      <c r="C20" s="387"/>
      <c r="D20" s="387"/>
      <c r="E20" s="387"/>
      <c r="I20" s="657">
        <f>B7-10</f>
        <v>41484</v>
      </c>
    </row>
    <row r="21" spans="1:9" ht="15.75">
      <c r="A21" s="387" t="s">
        <v>336</v>
      </c>
      <c r="B21" s="387" t="s">
        <v>341</v>
      </c>
      <c r="C21" s="387"/>
      <c r="D21" s="387"/>
      <c r="E21" s="387"/>
      <c r="I21" s="658">
        <f>IF(B7="","",MONTH(I20))</f>
        <v>7</v>
      </c>
    </row>
    <row r="22" spans="1:9" ht="15.75">
      <c r="A22" s="387"/>
      <c r="B22" s="387"/>
      <c r="C22" s="387"/>
      <c r="D22" s="387"/>
      <c r="E22" s="387"/>
      <c r="I22" s="659">
        <f>IF(B7="","",DAY(I20))</f>
        <v>29</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34">
      <selection activeCell="E44" sqref="E44"/>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07" t="s">
        <v>72</v>
      </c>
      <c r="B2" s="707"/>
      <c r="C2" s="707"/>
      <c r="D2" s="707"/>
      <c r="E2" s="707"/>
      <c r="F2" s="707"/>
      <c r="G2" s="707"/>
    </row>
    <row r="3" spans="1:7" ht="15.75">
      <c r="A3" s="98"/>
      <c r="B3" s="98"/>
      <c r="C3" s="98"/>
      <c r="D3" s="98"/>
      <c r="E3" s="98"/>
      <c r="F3" s="98"/>
      <c r="G3" s="108">
        <f>inputPrYr!D11</f>
        <v>2014</v>
      </c>
    </row>
    <row r="4" spans="1:7" ht="15.75">
      <c r="A4" s="710" t="str">
        <f>CONCATENATE("To the Clerk of ",inputPrYr!D4,", State of Kansas")</f>
        <v>To the Clerk of GREENWOOD COUNTY, State of Kansas</v>
      </c>
      <c r="B4" s="710"/>
      <c r="C4" s="710"/>
      <c r="D4" s="710"/>
      <c r="E4" s="710"/>
      <c r="F4" s="710"/>
      <c r="G4" s="710"/>
    </row>
    <row r="5" spans="1:7" ht="15.75">
      <c r="A5" s="148" t="s">
        <v>172</v>
      </c>
      <c r="B5" s="108"/>
      <c r="C5" s="108"/>
      <c r="D5" s="108"/>
      <c r="E5" s="108"/>
      <c r="F5" s="108"/>
      <c r="G5" s="108"/>
    </row>
    <row r="6" spans="1:7" ht="15.75">
      <c r="A6" s="689" t="str">
        <f>inputPrYr!D3</f>
        <v>UPPER VERDIGRIS JOINT #24</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1" t="str">
        <f>CONCATENATE("",G3," Adopted Budget")</f>
        <v>2014 Adopted Budget</v>
      </c>
      <c r="F12" s="712"/>
      <c r="G12" s="713"/>
    </row>
    <row r="13" spans="1:8" ht="15.75">
      <c r="A13" s="97"/>
      <c r="B13" s="98"/>
      <c r="C13" s="98"/>
      <c r="D13" s="125"/>
      <c r="E13" s="205" t="s">
        <v>11</v>
      </c>
      <c r="F13" s="708" t="str">
        <f>CONCATENATE("Amount of  ",G3-1," Ad Valorem Tax")</f>
        <v>Amount of  2013 Ad Valorem Tax</v>
      </c>
      <c r="G13" s="206" t="s">
        <v>12</v>
      </c>
      <c r="H13" s="207"/>
    </row>
    <row r="14" spans="1:7" ht="15.75">
      <c r="A14" s="98"/>
      <c r="B14" s="98"/>
      <c r="C14" s="98"/>
      <c r="D14" s="208" t="s">
        <v>13</v>
      </c>
      <c r="E14" s="154" t="s">
        <v>220</v>
      </c>
      <c r="F14" s="709"/>
      <c r="G14" s="206" t="s">
        <v>14</v>
      </c>
    </row>
    <row r="15" spans="1:7" ht="15.75">
      <c r="A15" s="99" t="s">
        <v>15</v>
      </c>
      <c r="B15" s="98"/>
      <c r="C15" s="98"/>
      <c r="D15" s="154" t="s">
        <v>16</v>
      </c>
      <c r="E15" s="154" t="s">
        <v>578</v>
      </c>
      <c r="F15" s="709"/>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195200</v>
      </c>
      <c r="F22" s="221">
        <f>IF(gen!$E$68&lt;&gt;0,gen!$E$68,"  ")</f>
        <v>57597</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195200</v>
      </c>
      <c r="F29" s="169">
        <f>SUM(F22:F27)</f>
        <v>57597</v>
      </c>
      <c r="G29" s="665">
        <f>IF(SUM(G22:G27)=0,"",SUM(G22:G27))</f>
      </c>
    </row>
    <row r="30" spans="1:7" ht="16.5" thickTop="1">
      <c r="A30" s="219" t="s">
        <v>202</v>
      </c>
      <c r="B30" s="223"/>
      <c r="C30" s="217"/>
      <c r="D30" s="232">
        <f>summ!E42</f>
        <v>0</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6" t="s">
        <v>129</v>
      </c>
      <c r="G33" s="713"/>
    </row>
    <row r="34" spans="1:7" ht="15.75">
      <c r="A34" s="98" t="s">
        <v>332</v>
      </c>
      <c r="B34" s="98"/>
      <c r="C34" s="97" t="s">
        <v>22</v>
      </c>
      <c r="D34" s="219" t="str">
        <f>inputPrYr!D4</f>
        <v>GREENWOOD COUNTY</v>
      </c>
      <c r="E34" s="223"/>
      <c r="F34" s="717"/>
      <c r="G34" s="718"/>
    </row>
    <row r="35" spans="1:7" ht="15.75">
      <c r="A35" s="237" t="s">
        <v>825</v>
      </c>
      <c r="B35" s="237"/>
      <c r="C35" s="97" t="s">
        <v>22</v>
      </c>
      <c r="D35" s="219" t="str">
        <f>inputPrYr!D6</f>
        <v>CHASE COUNTY</v>
      </c>
      <c r="E35" s="223"/>
      <c r="F35" s="717"/>
      <c r="G35" s="718"/>
    </row>
    <row r="36" spans="1:7" ht="15.75">
      <c r="A36" s="238" t="s">
        <v>826</v>
      </c>
      <c r="B36" s="238"/>
      <c r="C36" s="97" t="s">
        <v>22</v>
      </c>
      <c r="D36" s="219" t="str">
        <f>inputPrYr!D7</f>
        <v>COFFEY COUNTY</v>
      </c>
      <c r="E36" s="223"/>
      <c r="F36" s="717"/>
      <c r="G36" s="718"/>
    </row>
    <row r="37" spans="1:7" ht="15.75">
      <c r="A37" s="101" t="s">
        <v>333</v>
      </c>
      <c r="B37" s="213"/>
      <c r="C37" s="97" t="s">
        <v>22</v>
      </c>
      <c r="D37" s="219" t="str">
        <f>inputPrYr!D8</f>
        <v>LYON COUNTY</v>
      </c>
      <c r="E37" s="223"/>
      <c r="F37" s="717"/>
      <c r="G37" s="718"/>
    </row>
    <row r="38" spans="1:7" ht="15.75">
      <c r="A38" s="237" t="s">
        <v>827</v>
      </c>
      <c r="B38" s="237"/>
      <c r="C38" s="97" t="s">
        <v>22</v>
      </c>
      <c r="D38" s="219" t="str">
        <f>inputPrYr!D9</f>
        <v>WOODSON COUNTY</v>
      </c>
      <c r="E38" s="223"/>
      <c r="F38" s="717"/>
      <c r="G38" s="718"/>
    </row>
    <row r="39" spans="1:7" ht="15.75">
      <c r="A39" s="238" t="s">
        <v>828</v>
      </c>
      <c r="B39" s="238"/>
      <c r="C39" s="97" t="s">
        <v>22</v>
      </c>
      <c r="D39" s="219" t="s">
        <v>150</v>
      </c>
      <c r="E39" s="223"/>
      <c r="F39" s="719">
        <f>SUM(F34:F38)</f>
        <v>0</v>
      </c>
      <c r="G39" s="720"/>
    </row>
    <row r="40" spans="1:7" ht="15.75">
      <c r="A40" s="238"/>
      <c r="B40" s="238"/>
      <c r="C40" s="97" t="s">
        <v>22</v>
      </c>
      <c r="D40" s="97" t="s">
        <v>22</v>
      </c>
      <c r="E40" s="105"/>
      <c r="F40" s="716" t="str">
        <f>CONCATENATE("November 1, ",G3-1," Valuation")</f>
        <v>November 1, 2013 Valuation</v>
      </c>
      <c r="G40" s="718"/>
    </row>
    <row r="41" spans="1:7" ht="15.75">
      <c r="A41" s="97" t="s">
        <v>777</v>
      </c>
      <c r="B41" s="97" t="s">
        <v>22</v>
      </c>
      <c r="C41" s="97"/>
      <c r="D41" s="97"/>
      <c r="E41" s="98"/>
      <c r="F41" s="98"/>
      <c r="G41" s="98"/>
    </row>
    <row r="42" spans="1:7" ht="15.75">
      <c r="A42" s="661" t="s">
        <v>829</v>
      </c>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21"/>
      <c r="B50" s="722"/>
      <c r="C50" s="98"/>
      <c r="D50" s="105" t="s">
        <v>778</v>
      </c>
      <c r="E50" s="105"/>
      <c r="F50" s="105"/>
      <c r="G50" s="105"/>
    </row>
    <row r="51" spans="1:7" ht="15.75">
      <c r="A51" s="108" t="s">
        <v>24</v>
      </c>
      <c r="B51" s="108"/>
      <c r="C51" s="98"/>
      <c r="D51" s="714" t="s">
        <v>23</v>
      </c>
      <c r="E51" s="715"/>
      <c r="F51" s="715"/>
      <c r="G51" s="715"/>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06"/>
    </row>
    <row r="55" spans="1:7" ht="15.75">
      <c r="A55" s="96"/>
      <c r="B55" s="96"/>
      <c r="C55" s="96"/>
      <c r="D55" s="96"/>
      <c r="E55" s="96"/>
      <c r="F55" s="96"/>
      <c r="G55" s="706"/>
    </row>
    <row r="56" spans="1:7" ht="15.75">
      <c r="A56" s="96"/>
      <c r="B56" s="96"/>
      <c r="C56" s="96"/>
      <c r="D56" s="96"/>
      <c r="E56" s="96"/>
      <c r="F56" s="96"/>
      <c r="G56" s="706"/>
    </row>
    <row r="57" spans="1:7" ht="15.75">
      <c r="A57" s="96"/>
      <c r="B57" s="96"/>
      <c r="C57" s="96"/>
      <c r="D57" s="96"/>
      <c r="E57" s="96"/>
      <c r="F57" s="96"/>
      <c r="G57" s="706"/>
    </row>
    <row r="58" spans="1:7" ht="15.75">
      <c r="A58" s="96"/>
      <c r="B58" s="96"/>
      <c r="C58" s="96"/>
      <c r="D58" s="239"/>
      <c r="E58" s="96"/>
      <c r="F58" s="96"/>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25">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UPPER VERDIGRIS JOINT #24</v>
      </c>
      <c r="D1" s="98"/>
      <c r="E1" s="98"/>
      <c r="F1" s="98"/>
      <c r="G1" s="98"/>
      <c r="H1" s="98"/>
      <c r="I1" s="98"/>
      <c r="J1" s="98">
        <f>inputPrYr!D11</f>
        <v>2014</v>
      </c>
    </row>
    <row r="2" spans="1:10" ht="15.75" customHeight="1">
      <c r="A2" s="98"/>
      <c r="B2" s="98"/>
      <c r="C2" s="98" t="str">
        <f>inputPrYr!D4</f>
        <v>GREENWOOD COUNTY</v>
      </c>
      <c r="D2" s="98"/>
      <c r="E2" s="98"/>
      <c r="F2" s="98"/>
      <c r="G2" s="98"/>
      <c r="H2" s="98"/>
      <c r="I2" s="98"/>
      <c r="J2" s="98"/>
    </row>
    <row r="3" spans="1:10" ht="15.75">
      <c r="A3" s="723" t="str">
        <f>CONCATENATE("Computation to Determine Limit for ",J1,"")</f>
        <v>Computation to Determine Limit for 2014</v>
      </c>
      <c r="B3" s="707"/>
      <c r="C3" s="707"/>
      <c r="D3" s="707"/>
      <c r="E3" s="707"/>
      <c r="F3" s="707"/>
      <c r="G3" s="707"/>
      <c r="H3" s="707"/>
      <c r="I3" s="707"/>
      <c r="J3" s="707"/>
    </row>
    <row r="4" spans="1:10" ht="15.75">
      <c r="A4" s="98"/>
      <c r="B4" s="98"/>
      <c r="C4" s="98"/>
      <c r="D4" s="98"/>
      <c r="E4" s="707"/>
      <c r="F4" s="707"/>
      <c r="G4" s="707"/>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53965</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53965</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107744</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417212</v>
      </c>
      <c r="F14" s="243"/>
      <c r="G14" s="122"/>
      <c r="H14" s="122"/>
      <c r="I14" s="246"/>
      <c r="J14" s="122"/>
    </row>
    <row r="15" spans="1:10" ht="15.75">
      <c r="A15" s="242"/>
      <c r="B15" s="98" t="s">
        <v>92</v>
      </c>
      <c r="C15" s="98" t="str">
        <f>CONCATENATE("Personal Property ",J1-2,"")</f>
        <v>Personal Property 2012</v>
      </c>
      <c r="D15" s="242" t="s">
        <v>88</v>
      </c>
      <c r="E15" s="245">
        <f>inputOth!E40</f>
        <v>509580</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35067</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142811</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17629802</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17486991</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0.008166699462474706</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441</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54406</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54406</v>
      </c>
    </row>
    <row r="35" spans="1:10" ht="16.5" thickTop="1">
      <c r="A35" s="98"/>
      <c r="B35" s="98"/>
      <c r="C35" s="98"/>
      <c r="D35" s="98"/>
      <c r="E35" s="98"/>
      <c r="F35" s="98"/>
      <c r="G35" s="98"/>
      <c r="H35" s="98"/>
      <c r="I35" s="98"/>
      <c r="J35" s="98"/>
    </row>
    <row r="36" spans="1:10" ht="15.7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UPPER VERDIGRIS JOINT #24</v>
      </c>
      <c r="C1" s="98"/>
      <c r="D1" s="98"/>
      <c r="E1" s="98"/>
      <c r="F1" s="98"/>
      <c r="G1" s="98"/>
      <c r="H1" s="98"/>
      <c r="I1" s="251"/>
      <c r="J1" s="98"/>
    </row>
    <row r="2" spans="1:10" ht="15.75">
      <c r="A2" s="98"/>
      <c r="B2" s="98" t="str">
        <f>inputPrYr!D4</f>
        <v>GREENWOOD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53965</v>
      </c>
      <c r="D11" s="159">
        <f>IF(E17=0,0,E17-D12-D13-D14)</f>
        <v>3593</v>
      </c>
      <c r="E11" s="159">
        <f>IF(E19=0,0,E19-E12-E13-E14)</f>
        <v>73</v>
      </c>
      <c r="F11" s="159">
        <f>IF(E21=0,0,E21-F12-F13-F14)</f>
        <v>399</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53965</v>
      </c>
      <c r="D15" s="167">
        <f>SUM(D11:D14)</f>
        <v>3593</v>
      </c>
      <c r="E15" s="167">
        <f>SUM(E11:E14)</f>
        <v>73</v>
      </c>
      <c r="F15" s="167">
        <f>SUM(F11:F14)</f>
        <v>399</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3593</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73</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399</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0.06658019086444918</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0.0013527286204021126</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0.007393681089595108</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UPPER VERDIGRIS JOINT #24</v>
      </c>
      <c r="B2" s="259"/>
      <c r="C2" s="98"/>
      <c r="D2" s="98"/>
      <c r="E2" s="251"/>
      <c r="F2" s="98"/>
    </row>
    <row r="3" spans="1:6" ht="15.75">
      <c r="A3" s="259" t="str">
        <f>inputPrYr!D4</f>
        <v>GREENWOOD COUNTY</v>
      </c>
      <c r="B3" s="259"/>
      <c r="C3" s="98"/>
      <c r="D3" s="98"/>
      <c r="E3" s="251"/>
      <c r="F3" s="98"/>
    </row>
    <row r="4" spans="1:6" ht="15.7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2013-07-21T18:35:13Z</cp:lastPrinted>
  <dcterms:created xsi:type="dcterms:W3CDTF">1999-08-06T13:59:57Z</dcterms:created>
  <dcterms:modified xsi:type="dcterms:W3CDTF">2013-07-21T18:35:14Z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