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ProofPub" sheetId="18" r:id="rId18"/>
    <sheet name="Sheet1"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<sst xmlns="http://schemas.openxmlformats.org/spreadsheetml/2006/main" count="1181" uniqueCount="805">
  <si>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</si>
  <si>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</si>
  <si>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</si>
  <si>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</si>
  <si>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</si>
  <si>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</si>
  <si>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</si>
  <si>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</si>
  <si>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</si>
  <si>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</si>
  <si>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</si>
  <si>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</si>
  <si>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</si>
  <si>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</si>
  <si>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</si>
  <si>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</si>
  <si>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</si>
  <si>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</si>
  <si>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</si>
  <si>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</si>
  <si>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</si>
  <si>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</si>
  <si>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</si>
  <si>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</si>
  <si>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</si>
  <si>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</si>
  <si>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</si>
  <si>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</si>
  <si>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</si>
  <si>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</si>
  <si>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</si>
  <si>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</si>
  <si>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</si>
  <si>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</si>
  <si>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</si>
  <si>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</si>
  <si>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</si>
  <si>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</si>
  <si>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</si>
  <si>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</si>
  <si>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</si>
  <si>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</si>
  <si>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</si>
  <si>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</si>
  <si>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</si>
  <si>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</si>
  <si>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</si>
  <si>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</si>
  <si>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</si>
  <si>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</si>
  <si>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</si>
  <si>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</si>
  <si>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</si>
  <si>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</si>
  <si>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</si>
  <si>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</si>
  <si>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</si>
  <si>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</si>
  <si>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</si>
  <si>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</si>
  <si>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</si>
  <si>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</si>
  <si>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</si>
  <si>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</si>
  <si>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</si>
  <si>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</si>
  <si>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</si>
  <si>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</si>
  <si>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</si>
  <si>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</si>
  <si>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</si>
  <si>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</si>
  <si>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</si>
  <si>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</si>
  <si>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</si>
  <si>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</si>
  <si>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</si>
  <si>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</si>
  <si>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</si>
  <si>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</si>
  <si>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</si>
  <si>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</si>
  <si>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</si>
  <si>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</si>
  <si>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</si>
  <si>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</si>
  <si>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</si>
  <si>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</si>
  <si>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</si>
  <si>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</si>
  <si>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</si>
  <si>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</si>
  <si>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</si>
  <si>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</si>
  <si>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</si>
  <si>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</si>
  <si>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</si>
  <si>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</si>
  <si>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</si>
  <si>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</si>
  <si>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</si>
  <si>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</si>
  <si>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</si>
  <si>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</si>
  <si>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</si>
  <si>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</si>
  <si>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</si>
  <si>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</si>
  <si>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</si>
  <si>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</si>
  <si>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</si>
  <si>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</si>
  <si>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</si>
  <si>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</si>
  <si>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</si>
  <si>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</si>
  <si>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</si>
  <si>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</si>
  <si>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</si>
  <si>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</si>
  <si>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</si>
  <si>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</si>
  <si>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</si>
  <si>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</si>
  <si>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</si>
  <si>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</si>
  <si>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</si>
  <si>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</si>
  <si>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</si>
  <si>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</si>
  <si>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</si>
  <si>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</si>
  <si>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</si>
  <si>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</si>
  <si>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</si>
  <si>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</si>
  <si>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</si>
  <si>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</si>
  <si>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</si>
  <si>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</si>
  <si>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</si>
  <si>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</si>
  <si>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</si>
  <si>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</si>
  <si>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</si>
  <si>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</si>
  <si>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</si>
  <si>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</si>
  <si>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</si>
  <si>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</si>
  <si>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</si>
  <si>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</si>
  <si>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</si>
  <si>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</si>
  <si>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</si>
  <si>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</si>
  <si>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</si>
  <si>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</si>
  <si>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</si>
  <si>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</si>
  <si>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</si>
  <si>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</si>
  <si>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</si>
  <si>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</si>
  <si>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</si>
  <si>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</si>
  <si>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</si>
  <si>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</si>
  <si>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</si>
  <si>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</si>
  <si>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</si>
  <si>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</si>
  <si>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</si>
  <si>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</si>
  <si>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</si>
  <si>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</si>
  <si>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</si>
  <si>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</si>
  <si>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</si>
  <si>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</si>
  <si>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</si>
  <si>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</si>
  <si>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</si>
  <si>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</si>
  <si>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</si>
  <si>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</si>
  <si>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</si>
  <si>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</si>
  <si>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</si>
  <si>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</si>
  <si>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</si>
  <si>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</si>
  <si>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</si>
  <si>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</si>
  <si>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</si>
  <si>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</si>
  <si>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</si>
  <si>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</si>
  <si>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</si>
  <si>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</si>
  <si>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</si>
  <si>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</si>
  <si>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</si>
  <si>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</si>
  <si>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</si>
  <si>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</si>
  <si>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</si>
  <si>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</si>
  <si>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</si>
  <si>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</si>
  <si>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</si>
  <si>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</si>
  <si>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</si>
  <si>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</si>
  <si>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</si>
  <si>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</si>
  <si>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</si>
  <si>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</si>
  <si>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</si>
  <si>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</si>
  <si>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</si>
  <si>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</si>
  <si>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</si>
  <si>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</si>
  <si>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</si>
  <si>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</si>
  <si>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</si>
  <si>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</si>
  <si>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</si>
  <si>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</si>
  <si>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</si>
  <si>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</si>
  <si>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</si>
  <si>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</si>
  <si>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</si>
  <si>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</si>
  <si>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</si>
  <si>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</si>
  <si>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</si>
  <si>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</si>
  <si>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</si>
  <si>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</si>
  <si>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</si>
  <si>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</si>
  <si>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</si>
  <si>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</si>
  <si>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</si>
  <si>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</si>
  <si>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</si>
  <si>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</si>
  <si>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</si>
  <si>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</si>
  <si>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</si>
  <si>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</si>
  <si>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</si>
  <si>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</si>
  <si>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</si>
  <si>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</si>
  <si>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</si>
  <si>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</si>
  <si>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</si>
  <si>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</si>
  <si>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</si>
  <si>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</si>
  <si>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</si>
  <si>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</si>
  <si>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</si>
  <si>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</si>
  <si>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</si>
  <si>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</si>
  <si>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</si>
  <si>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</si>
  <si>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</si>
  <si>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</si>
  <si>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</si>
  <si>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</si>
  <si>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</si>
  <si>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</si>
  <si>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</si>
  <si>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</si>
  <si>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</si>
  <si>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</si>
  <si>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</si>
  <si>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</si>
  <si>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</si>
  <si>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</si>
  <si>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</si>
  <si>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</si>
  <si>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</si>
  <si>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</si>
  <si>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</si>
  <si>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</si>
  <si>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</si>
  <si>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</si>
  <si>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</si>
  <si>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</si>
  <si>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</si>
  <si>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</si>
  <si>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</si>
  <si>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</si>
  <si>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</si>
  <si>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</si>
  <si>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</si>
  <si>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</si>
  <si>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</si>
  <si>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</si>
  <si>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</si>
  <si>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</si>
  <si>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</si>
  <si>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</si>
  <si>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</si>
  <si>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</si>
  <si>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</si>
  <si>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</si>
  <si>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</si>
  <si>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</si>
  <si>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</si>
  <si>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</si>
  <si>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</si>
  <si>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</si>
  <si>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</si>
  <si>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</si>
  <si>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</si>
  <si>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</si>
  <si>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</si>
  <si>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</si>
  <si>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</si>
  <si>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</si>
  <si>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</si>
  <si>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</si>
  <si>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</si>
  <si>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</si>
  <si>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</si>
  <si>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</si>
  <si>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</si>
  <si>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</si>
  <si>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</si>
  <si>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</si>
  <si>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</si>
  <si>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</si>
  <si>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</si>
  <si>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</si>
  <si>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</si>
  <si>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</si>
  <si>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</si>
  <si>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</si>
  <si>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</si>
  <si>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</si>
  <si>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</si>
  <si>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</si>
  <si>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</si>
  <si>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</si>
  <si>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</si>
  <si>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</si>
  <si>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</si>
  <si>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</si>
  <si>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</si>
  <si>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</si>
  <si>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</si>
  <si>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</si>
  <si>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</si>
  <si>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</si>
  <si>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</si>
  <si>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</si>
  <si>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</si>
  <si>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</si>
  <si>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</si>
  <si>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</si>
  <si>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</si>
  <si>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</si>
  <si>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</si>
  <si>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</si>
  <si>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</si>
  <si>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</si>
  <si>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</si>
  <si>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</si>
  <si>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</si>
  <si>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</si>
  <si>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</si>
  <si>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</si>
  <si>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</si>
  <si>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</si>
  <si>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</si>
  <si>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</si>
  <si>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</si>
  <si>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</si>
  <si>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</si>
  <si>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</si>
  <si>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</si>
  <si>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</si>
  <si>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</si>
  <si>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</si>
  <si>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</si>
  <si>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</si>
  <si>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</si>
  <si>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</si>
  <si>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</si>
  <si>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</si>
  <si>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</si>
  <si>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</si>
  <si>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</si>
  <si>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</si>
  <si>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</si>
  <si>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</si>
  <si>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</si>
  <si>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</si>
  <si>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</si>
  <si>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</si>
  <si>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</si>
  <si>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</si>
  <si>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</si>
  <si>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</si>
  <si>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</si>
  <si>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</si>
  <si>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</si>
  <si>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</si>
  <si>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</si>
  <si>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</si>
  <si>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</si>
  <si>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</si>
  <si>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</si>
  <si>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</si>
  <si>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</si>
  <si>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</si>
  <si>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</si>
  <si>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</si>
  <si>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</si>
  <si>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</si>
  <si>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</si>
  <si>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</si>
  <si>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</si>
  <si>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</si>
  <si>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</si>
  <si>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</si>
  <si>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</si>
  <si>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</si>
  <si>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</si>
  <si>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</si>
  <si>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</si>
  <si>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</si>
  <si>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</si>
  <si>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</si>
  <si>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</si>
  <si>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</si>
  <si>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</si>
  <si>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</si>
  <si>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</si>
  <si>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</si>
  <si>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</si>
  <si>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</si>
  <si>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</si>
  <si>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</si>
  <si>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</si>
  <si>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</si>
  <si>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</si>
  <si>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</si>
  <si>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</si>
  <si>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</si>
  <si>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</si>
  <si>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</si>
  <si>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</si>
  <si>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</si>
  <si>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</si>
  <si>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</si>
  <si>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</si>
  <si>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</si>
  <si>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</si>
  <si>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</si>
  <si>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</si>
  <si>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</si>
  <si>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</si>
  <si>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</si>
  <si>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</si>
  <si>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</si>
  <si>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</si>
  <si>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</si>
  <si>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</si>
  <si>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</si>
  <si>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</si>
  <si>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</si>
  <si>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</si>
  <si>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</si>
  <si>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</si>
  <si>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</si>
  <si>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</si>
  <si>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</si>
  <si>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</si>
  <si>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</si>
  <si>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</si>
  <si>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</si>
  <si>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</si>
  <si>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</si>
  <si>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</si>
  <si>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</si>
  <si>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</si>
  <si>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</si>
  <si>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</si>
  <si>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</si>
  <si>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</si>
  <si>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</si>
  <si>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</si>
  <si>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</si>
  <si>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</si>
  <si>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</si>
  <si>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</si>
  <si>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</si>
  <si>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</si>
  <si>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</si>
  <si>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</si>
  <si>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</si>
  <si>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</si>
  <si>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</si>
  <si>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</si>
  <si>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</si>
  <si>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</si>
  <si>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</si>
  <si>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</si>
  <si>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</si>
  <si>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</si>
  <si>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</si>
  <si>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</si>
  <si>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</si>
  <si>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</si>
  <si>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</si>
  <si>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</si>
  <si>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</si>
  <si>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</si>
  <si>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</si>
  <si>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</si>
  <si>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</si>
  <si>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</si>
  <si>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</si>
  <si>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</si>
  <si>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</si>
  <si>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</si>
  <si>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</si>
  <si>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</si>
  <si>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</si>
  <si>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</si>
  <si>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</si>
  <si>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</si>
  <si>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</si>
  <si>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</si>
  <si>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</si>
  <si>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</si>
  <si>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</si>
  <si>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</si>
  <si>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</si>
  <si>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</si>
  <si>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</si>
  <si>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</si>
  <si>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</si>
  <si>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</si>
  <si>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</si>
  <si>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</si>
  <si>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</si>
  <si>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</si>
  <si>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</si>
  <si>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</si>
  <si>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</si>
  <si>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</si>
  <si>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</si>
  <si>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</si>
  <si>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</si>
  <si>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</si>
  <si>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</si>
  <si>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</si>
  <si>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</si>
  <si>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</si>
  <si>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</si>
  <si>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</si>
  <si>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</si>
  <si>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</si>
  <si>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</si>
  <si>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</si>
  <si>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</si>
  <si>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</si>
  <si>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</si>
  <si>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</si>
  <si>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</si>
  <si>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</si>
  <si>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</si>
  <si>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</si>
  <si>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</si>
  <si>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</si>
  <si>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</si>
  <si>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</si>
  <si>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</si>
  <si>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</si>
  <si>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</si>
  <si>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</si>
  <si>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</si>
  <si>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</si>
  <si>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</si>
  <si>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</si>
  <si>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</si>
  <si>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</si>
  <si>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</si>
  <si>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</si>
  <si>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</si>
  <si>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</si>
  <si>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</si>
  <si>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</si>
  <si>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</si>
  <si>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</si>
  <si>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</si>
  <si>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</si>
  <si>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</si>
  <si>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</si>
  <si>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</si>
  <si>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</si>
  <si>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</si>
  <si>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</si>
  <si>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</si>
  <si>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</si>
  <si>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</si>
  <si>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</si>
  <si>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</si>
  <si>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</si>
  <si>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</si>
  <si>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</si>
  <si>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</si>
  <si>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</si>
  <si>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</si>
  <si>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</si>
  <si>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</si>
  <si>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</si>
  <si>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</si>
  <si>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</si>
  <si>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</si>
  <si>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</si>
  <si>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</si>
  <si>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</si>
  <si>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</si>
  <si>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</si>
  <si>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</si>
  <si>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</si>
  <si>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</si>
  <si>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</si>
  <si>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</si>
  <si>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</si>
  <si>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</si>
  <si>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</si>
  <si>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</si>
  <si>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</si>
  <si>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</si>
  <si>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</si>
  <si>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</si>
  <si>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</si>
  <si>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</si>
  <si>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</si>
  <si>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</si>
  <si>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</si>
  <si>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</si>
  <si>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</si>
  <si>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</si>
  <si>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</si>
  <si>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</si>
  <si>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</si>
  <si>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</si>
  <si>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</si>
  <si>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</si>
  <si>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</si>
  <si>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</si>
  <si>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</si>
  <si>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</si>
  <si>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</si>
  <si>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</si>
  <si>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</si>
  <si>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</si>
  <si>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</si>
  <si>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</si>
  <si>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</si>
  <si>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</si>
  <si>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</si>
  <si>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</si>
  <si>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</si>
  <si>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</si>
  <si>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</si>
  <si>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</si>
  <si>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</si>
  <si>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</si>
  <si>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</si>
  <si>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</si>
  <si>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</si>
  <si>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</si>
  <si>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</si>
  <si>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</si>
  <si>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</si>
  <si>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</si>
  <si>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</si>
  <si>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</si>
  <si>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</si>
  <si>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</si>
  <si>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</si>
  <si>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</si>
  <si>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</si>
  <si>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</si>
  <si>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</si>
  <si>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</si>
  <si>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</si>
  <si>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</si>
  <si>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</si>
  <si>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</si>
  <si>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</si>
  <si>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</si>
  <si>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</si>
  <si>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</si>
  <si>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</si>
  <si>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</si>
  <si>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</si>
  <si>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</si>
  <si>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</si>
  <si>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</si>
  <si>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</si>
  <si>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</si>
  <si>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</si>
  <si>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</si>
  <si>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</si>
  <si>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</si>
  <si>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</si>
  <si>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</si>
  <si>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</si>
  <si>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</si>
  <si>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</si>
  <si>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</si>
  <si>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</si>
  <si>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</si>
  <si>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</si>
  <si>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</si>
  <si>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</si>
  <si>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</si>
  <si>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</si>
  <si>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</si>
  <si>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</si>
  <si>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</si>
  <si>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</si>
  <si>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</si>
  <si>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</si>
  <si>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</si>
  <si>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</si>
  <si>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</si>
  <si>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</si>
  <si>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</si>
  <si>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</si>
  <si>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</si>
  <si>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</si>
  <si>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</si>
  <si>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</si>
  <si>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</si>
  <si>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</si>
  <si>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</si>
  <si>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</si>
  <si>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</si>
  <si>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</si>
  <si>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</si>
  <si>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</si>
  <si>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</si>
  <si>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</si>
  <si>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</si>
  <si>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</si>
  <si>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</si>
  <si>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</si>
  <si>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</si>
  <si>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</si>
  <si>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</si>
  <si>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</si>
  <si>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</si>
  <si>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</si>
  <si>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</si>
  <si>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</si>
  <si>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</si>
  <si>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</si>
  <si>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</si>
  <si>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</si>
  <si>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</si>
  <si>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</si>
  <si>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</si>
  <si>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</si>
  <si>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</si>
  <si>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</si>
  <si>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</si>
  <si>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</si>
  <si>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</si>
  <si>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</si>
  <si>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Sherman Fire District</t>
  </si>
  <si>
    <t>Dickinson County</t>
  </si>
  <si>
    <t>Equipment Fund</t>
  </si>
  <si>
    <t>D S &amp; O Refund</t>
  </si>
  <si>
    <t>Pagers-Frag Hill Twp- State of Ks</t>
  </si>
  <si>
    <t>Loan Warrant</t>
  </si>
  <si>
    <t>Greg Wolf-</t>
  </si>
  <si>
    <t>Baer Brothers</t>
  </si>
  <si>
    <t>Fireman Relief</t>
  </si>
  <si>
    <t>Fuel &amp; Propane</t>
  </si>
  <si>
    <t>Repairs-Supplies</t>
  </si>
  <si>
    <t>Equipment- Pagers</t>
  </si>
  <si>
    <t>Utilities</t>
  </si>
  <si>
    <t>Equipment</t>
  </si>
  <si>
    <t>Budget prep-Publication</t>
  </si>
  <si>
    <t>Lease payment</t>
  </si>
  <si>
    <t>Wages</t>
  </si>
  <si>
    <t>Building maintenace</t>
  </si>
  <si>
    <t>Fire Chef-record keeper</t>
  </si>
  <si>
    <t>Error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</si>
</sst>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200025</xdr:colOff>
      <xdr:row>34</xdr:row>
      <xdr:rowOff>123825</xdr:rowOff>
    </xdr:to>
    <xdr:pic>
      <xdr:nvPicPr>
        <xdr:cNvPr id="1" name="Picture 1"/>
        <xdr:cNvPicPr preferRelativeResize="1">
          <a:picLocks noChangeAspect="1"/>
        </xdr:cNvPicPr>
      </xdr:nvPicPr>
      <xdr:blipFill>
        <a:blip r:embed="rId1"/>
        <a:stretch>
          <a:fillRect/>
        </a:stretch>
      </xdr:blipFill>
      <xdr:spPr>
        <a:xfrm>
          <a:off x="0" y="0"/>
          <a:ext cx="9420225" cy="660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Sherman Fire District</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B48" sqref="B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Sherman Fire District</v>
      </c>
      <c r="C1" s="222"/>
      <c r="D1" s="18"/>
      <c r="E1" s="182"/>
    </row>
    <row r="2" spans="2:5" ht="15.75">
      <c r="B2" s="18" t="str">
        <f>inputPrYr!D4</f>
        <v>Dickinson County</v>
      </c>
      <c r="C2" s="222"/>
      <c r="D2" s="18"/>
      <c r="E2" s="138"/>
    </row>
    <row r="3" spans="2:6" ht="15.75">
      <c r="B3" s="491" t="s">
        <v>81</v>
      </c>
      <c r="C3" s="222"/>
      <c r="D3" s="18"/>
      <c r="E3" s="182">
        <f>inputPrYr!$D$6</f>
        <v>2014</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2646</v>
      </c>
      <c r="D7" s="374">
        <f>C62</f>
        <v>4499</v>
      </c>
      <c r="E7" s="45">
        <f>D62</f>
        <v>1853</v>
      </c>
    </row>
    <row r="8" spans="2:5" ht="15.75">
      <c r="B8" s="226" t="s">
        <v>127</v>
      </c>
      <c r="C8" s="227"/>
      <c r="D8" s="227"/>
      <c r="E8" s="123"/>
    </row>
    <row r="9" spans="2:5" ht="15.75">
      <c r="B9" s="119" t="s">
        <v>33</v>
      </c>
      <c r="C9" s="367">
        <v>5656</v>
      </c>
      <c r="D9" s="374">
        <f>IF(inputPrYr!H18&gt;0,inputPrYr!G19,inputPrYr!E19)</f>
        <v>5957</v>
      </c>
      <c r="E9" s="128" t="s">
        <v>28</v>
      </c>
    </row>
    <row r="10" spans="2:5" ht="15.75">
      <c r="B10" s="119" t="s">
        <v>34</v>
      </c>
      <c r="C10" s="367">
        <v>130</v>
      </c>
      <c r="D10" s="367"/>
      <c r="E10" s="198"/>
    </row>
    <row r="11" spans="2:5" ht="15.75">
      <c r="B11" s="119" t="s">
        <v>35</v>
      </c>
      <c r="C11" s="367">
        <v>573</v>
      </c>
      <c r="D11" s="367">
        <v>550</v>
      </c>
      <c r="E11" s="45">
        <f>mvalloc!D11</f>
        <v>556</v>
      </c>
    </row>
    <row r="12" spans="2:5" ht="15.75">
      <c r="B12" s="119" t="s">
        <v>36</v>
      </c>
      <c r="C12" s="367">
        <v>12</v>
      </c>
      <c r="D12" s="367">
        <v>8</v>
      </c>
      <c r="E12" s="45">
        <f>mvalloc!E11</f>
        <v>17</v>
      </c>
    </row>
    <row r="13" spans="2:5" ht="15.75">
      <c r="B13" s="227" t="s">
        <v>109</v>
      </c>
      <c r="C13" s="367">
        <v>46</v>
      </c>
      <c r="D13" s="367">
        <v>45</v>
      </c>
      <c r="E13" s="45">
        <f>mvalloc!F11</f>
        <v>37</v>
      </c>
    </row>
    <row r="14" spans="2:5" ht="15.75">
      <c r="B14" s="227" t="s">
        <v>159</v>
      </c>
      <c r="C14" s="367"/>
      <c r="D14" s="367"/>
      <c r="E14" s="45">
        <f>inputOth!E30</f>
        <v>0</v>
      </c>
    </row>
    <row r="15" spans="2:5" ht="15.75">
      <c r="B15" s="228" t="s">
        <v>37</v>
      </c>
      <c r="C15" s="367"/>
      <c r="D15" s="367"/>
      <c r="E15" s="198"/>
    </row>
    <row r="16" spans="2:5" ht="15.75">
      <c r="B16" s="228" t="s">
        <v>788</v>
      </c>
      <c r="C16" s="367">
        <v>17</v>
      </c>
      <c r="D16" s="367"/>
      <c r="E16" s="198"/>
    </row>
    <row r="17" spans="2:5" ht="15.75">
      <c r="B17" s="228"/>
      <c r="C17" s="367"/>
      <c r="D17" s="367"/>
      <c r="E17" s="198"/>
    </row>
    <row r="18" spans="2:5" ht="15.75">
      <c r="B18" s="228" t="s">
        <v>789</v>
      </c>
      <c r="C18" s="367">
        <v>758</v>
      </c>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7192</v>
      </c>
      <c r="D33" s="369">
        <f>SUM(D9:D31)</f>
        <v>6560</v>
      </c>
      <c r="E33" s="234">
        <f>SUM(E9:E31)</f>
        <v>610</v>
      </c>
    </row>
    <row r="34" spans="2:5" ht="15.75">
      <c r="B34" s="233" t="s">
        <v>40</v>
      </c>
      <c r="C34" s="369">
        <f>C7+C33</f>
        <v>9838</v>
      </c>
      <c r="D34" s="369">
        <f>D7+D33</f>
        <v>11059</v>
      </c>
      <c r="E34" s="234">
        <f>E7+E33</f>
        <v>2463</v>
      </c>
    </row>
    <row r="35" spans="2:5" ht="15.75">
      <c r="B35" s="119" t="s">
        <v>41</v>
      </c>
      <c r="C35" s="121"/>
      <c r="D35" s="121"/>
      <c r="E35" s="36"/>
    </row>
    <row r="36" spans="2:5" ht="15.75">
      <c r="B36" s="228"/>
      <c r="C36" s="367"/>
      <c r="D36" s="367"/>
      <c r="E36" s="198"/>
    </row>
    <row r="37" spans="2:5" ht="15.75">
      <c r="B37" s="228" t="s">
        <v>794</v>
      </c>
      <c r="C37" s="367">
        <v>893</v>
      </c>
      <c r="D37" s="367">
        <v>2300</v>
      </c>
      <c r="E37" s="198"/>
    </row>
    <row r="38" spans="2:5" ht="15.75">
      <c r="B38" s="228" t="s">
        <v>795</v>
      </c>
      <c r="C38" s="367">
        <v>2434</v>
      </c>
      <c r="D38" s="367">
        <v>1161</v>
      </c>
      <c r="E38" s="198"/>
    </row>
    <row r="39" spans="2:5" ht="15.75">
      <c r="B39" s="228" t="s">
        <v>796</v>
      </c>
      <c r="C39" s="367">
        <v>1720</v>
      </c>
      <c r="D39" s="367">
        <v>1600</v>
      </c>
      <c r="E39" s="198"/>
    </row>
    <row r="40" spans="2:5" ht="15.75">
      <c r="B40" s="228" t="s">
        <v>797</v>
      </c>
      <c r="C40" s="367">
        <v>95</v>
      </c>
      <c r="D40" s="367">
        <v>500</v>
      </c>
      <c r="E40" s="198"/>
    </row>
    <row r="41" spans="2:5" ht="15.75">
      <c r="B41" s="228" t="s">
        <v>798</v>
      </c>
      <c r="C41" s="367"/>
      <c r="D41" s="367">
        <v>2525</v>
      </c>
      <c r="E41" s="198"/>
    </row>
    <row r="42" spans="2:5" ht="15.75">
      <c r="B42" s="228" t="s">
        <v>799</v>
      </c>
      <c r="C42" s="367">
        <v>88</v>
      </c>
      <c r="D42" s="367">
        <v>200</v>
      </c>
      <c r="E42" s="198"/>
    </row>
    <row r="43" spans="2:5" ht="15.75">
      <c r="B43" s="228" t="s">
        <v>800</v>
      </c>
      <c r="C43" s="367">
        <v>40</v>
      </c>
      <c r="D43" s="367"/>
      <c r="E43" s="198"/>
    </row>
    <row r="44" spans="2:5" ht="15.75">
      <c r="B44" s="228" t="s">
        <v>801</v>
      </c>
      <c r="C44" s="367"/>
      <c r="D44" s="367"/>
      <c r="E44" s="198"/>
    </row>
    <row r="45" spans="2:5" ht="15.75">
      <c r="B45" s="228" t="s">
        <v>802</v>
      </c>
      <c r="C45" s="367"/>
      <c r="D45" s="367">
        <v>720</v>
      </c>
      <c r="E45" s="198"/>
    </row>
    <row r="46" spans="2:5" ht="15.75">
      <c r="B46" s="228" t="s">
        <v>803</v>
      </c>
      <c r="C46" s="367"/>
      <c r="D46" s="367">
        <v>200</v>
      </c>
      <c r="E46" s="198"/>
    </row>
    <row r="47" spans="2:5" ht="15.75">
      <c r="B47" s="228"/>
      <c r="C47" s="367"/>
      <c r="D47" s="367"/>
      <c r="E47" s="198"/>
    </row>
    <row r="48" spans="2:5" ht="15.75">
      <c r="B48" s="228" t="s">
        <v>804</v>
      </c>
      <c r="C48" s="367">
        <v>69</v>
      </c>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2015</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2015</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5339</v>
      </c>
      <c r="D61" s="369">
        <f>SUM(D36:D59)</f>
        <v>9206</v>
      </c>
      <c r="E61" s="234">
        <f>SUM(E36:E59)</f>
        <v>0</v>
      </c>
      <c r="F61" s="16"/>
      <c r="G61" s="490">
        <f>D62</f>
        <v>1853</v>
      </c>
      <c r="H61" s="489" t="str">
        <f>CONCATENATE("",E3-1," Ending Cash Balance (est.)")</f>
        <v>2013 Ending Cash Balance (est.)</v>
      </c>
      <c r="I61" s="586"/>
      <c r="J61" s="484"/>
      <c r="K61" s="16"/>
    </row>
    <row r="62" spans="2:11" ht="15.75">
      <c r="B62" s="119" t="s">
        <v>126</v>
      </c>
      <c r="C62" s="370">
        <f>C34-C61</f>
        <v>4499</v>
      </c>
      <c r="D62" s="370">
        <f>D34-D61</f>
        <v>1853</v>
      </c>
      <c r="E62" s="128" t="s">
        <v>28</v>
      </c>
      <c r="F62" s="16"/>
      <c r="G62" s="490">
        <f>E33</f>
        <v>610</v>
      </c>
      <c r="H62" s="483" t="str">
        <f>CONCATENATE("",E3," Non-AV Receipts (est.)")</f>
        <v>2014 Non-AV Receipts (est.)</v>
      </c>
      <c r="I62" s="586"/>
      <c r="J62" s="484"/>
      <c r="K62" s="16"/>
    </row>
    <row r="63" spans="2:11" ht="15.75">
      <c r="B63" s="138" t="str">
        <f>CONCATENATE("",E3-2,"/",E3-1," Budget Authority Amount:")</f>
        <v>2012/2013 Budget Authority Amount:</v>
      </c>
      <c r="C63" s="120">
        <f>inputOth!B41</f>
        <v>6360</v>
      </c>
      <c r="D63" s="388">
        <f>inputPrYr!D19</f>
        <v>9206</v>
      </c>
      <c r="E63" s="128" t="s">
        <v>28</v>
      </c>
      <c r="F63" s="251"/>
      <c r="G63" s="482">
        <f>IF(E67&gt;0,E66,E68)</f>
        <v>0</v>
      </c>
      <c r="H63" s="483" t="str">
        <f>CONCATENATE("",E3," Ad Valorem Tax (est.)")</f>
        <v>2014 Ad Valorem Tax (est.)</v>
      </c>
      <c r="I63" s="483"/>
      <c r="J63" s="484"/>
      <c r="K63" s="587">
        <f>IF(G63=E68,"","Note: Does not include Delinquent Taxes")</f>
      </c>
    </row>
    <row r="64" spans="2:11" ht="15.75">
      <c r="B64" s="138"/>
      <c r="C64" s="682" t="s">
        <v>659</v>
      </c>
      <c r="D64" s="683"/>
      <c r="E64" s="35"/>
      <c r="F64" s="588">
        <f>IF(E61/0.95-E61&lt;E64,"Exceeds 5%","")</f>
      </c>
      <c r="G64" s="490">
        <f>SUM(G61:G63)</f>
        <v>2463</v>
      </c>
      <c r="H64" s="483" t="str">
        <f>CONCATENATE("Total ",E3," Resources Available")</f>
        <v>Total 2014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5606</v>
      </c>
      <c r="H66" s="483" t="str">
        <f>CONCATENATE("Less ",E3-2," Expenditures + 5%")</f>
        <v>Less 2012 Expenditures + 5%</v>
      </c>
      <c r="I66" s="586"/>
      <c r="J66" s="484"/>
      <c r="K66" s="16"/>
    </row>
    <row r="67" spans="2:11" ht="15.75">
      <c r="B67" s="155"/>
      <c r="C67" s="492" t="s">
        <v>662</v>
      </c>
      <c r="D67" s="598">
        <f>inputOth!$E$35</f>
        <v>0</v>
      </c>
      <c r="E67" s="45">
        <f>ROUND(IF(D67&gt;0,(E66*D67),0),0)</f>
        <v>0</v>
      </c>
      <c r="F67" s="16"/>
      <c r="G67" s="480">
        <f>G64-G66</f>
        <v>-3143</v>
      </c>
      <c r="H67" s="479" t="str">
        <f>CONCATENATE("Projected ",E3+1," Carryover (est.)")</f>
        <v>Projected 2015 Carryover (est.)</v>
      </c>
      <c r="I67" s="589"/>
      <c r="J67" s="478"/>
      <c r="K67" s="16"/>
    </row>
    <row r="68" spans="2:11" ht="15.75">
      <c r="B68" s="18"/>
      <c r="C68" s="680" t="str">
        <f>CONCATENATE("Amount of  ",$E$3-1," Ad Valorem Tax")</f>
        <v>Amount of  2013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2014 Fund Mill Rate</v>
      </c>
      <c r="I71" s="571"/>
      <c r="J71" s="591"/>
      <c r="K71" s="16"/>
    </row>
    <row r="72" spans="2:11" ht="15.75">
      <c r="B72" s="18"/>
      <c r="C72" s="18"/>
      <c r="D72" s="18"/>
      <c r="E72" s="18"/>
      <c r="F72" s="593"/>
      <c r="G72" s="594">
        <f>summ!E16</f>
        <v>3.279</v>
      </c>
      <c r="H72" s="489" t="str">
        <f>CONCATENATE("",E3-1," Fund Mill Rate")</f>
        <v>2013 Fund Mill Rate</v>
      </c>
      <c r="I72" s="571"/>
      <c r="J72" s="591"/>
      <c r="K72" s="16"/>
    </row>
    <row r="73" spans="2:11" ht="15.75">
      <c r="B73" s="18"/>
      <c r="C73" s="222"/>
      <c r="D73" s="222"/>
      <c r="E73" s="222"/>
      <c r="F73" s="577"/>
      <c r="G73" s="595">
        <f>summ!H23</f>
        <v>0</v>
      </c>
      <c r="H73" s="489" t="str">
        <f>CONCATENATE("Total ",E3," Mill Rate")</f>
        <v>Total 2014 Mill Rate</v>
      </c>
      <c r="I73" s="571"/>
      <c r="J73" s="591"/>
      <c r="K73" s="16"/>
    </row>
    <row r="74" spans="2:11" ht="15.75">
      <c r="B74" s="138"/>
      <c r="C74" s="18" t="s">
        <v>228</v>
      </c>
      <c r="D74" s="18"/>
      <c r="E74" s="18"/>
      <c r="F74" s="577"/>
      <c r="G74" s="594">
        <f>summ!E23</f>
        <v>3.279</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Sherman Fire District</v>
      </c>
      <c r="C1" s="18"/>
      <c r="D1" s="18"/>
      <c r="E1" s="236">
        <f>inputPrYr!$D$6</f>
        <v>2014</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2015</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2015</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126</v>
      </c>
      <c r="C54" s="375">
        <f>C30-C53</f>
        <v>0</v>
      </c>
      <c r="D54" s="375">
        <f>D30-D53</f>
        <v>0</v>
      </c>
      <c r="E54" s="241" t="s">
        <v>28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2012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0" t="str">
        <f>CONCATENATE("Amount of  ",$E$1-1," Ad Valorem Tax")</f>
        <v>Amount of  2013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v>
      </c>
      <c r="H65" s="489" t="str">
        <f>CONCATENATE("Total ",E1," Mill Rate")</f>
        <v>Total 2014 Mill Rate</v>
      </c>
      <c r="I65" s="571"/>
      <c r="J65" s="591"/>
      <c r="K65" s="599"/>
    </row>
    <row r="66" spans="6:11" ht="15.75">
      <c r="F66"/>
      <c r="G66" s="594">
        <f>summ!E23</f>
        <v>3.279</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Sherman Fire District</v>
      </c>
      <c r="C1" s="18"/>
      <c r="D1" s="18"/>
      <c r="E1" s="182"/>
    </row>
    <row r="2" spans="2:5" ht="15.75">
      <c r="B2" s="18" t="str">
        <f>inputPrYr!D4</f>
        <v>Dickinson County</v>
      </c>
      <c r="C2" s="18"/>
      <c r="D2" s="18"/>
      <c r="E2" s="138"/>
    </row>
    <row r="3" spans="2:6" ht="15.75">
      <c r="B3" s="25" t="s">
        <v>81</v>
      </c>
      <c r="C3" s="222"/>
      <c r="D3" s="222"/>
      <c r="E3" s="18">
        <f>inputPrYr!D6</f>
        <v>2014</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2015</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2015</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ht="15.75">
      <c r="B36" s="138"/>
      <c r="C36" s="682" t="s">
        <v>659</v>
      </c>
      <c r="D36" s="683"/>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0" t="str">
        <f>CONCATENATE("Amount of  ",$E$3-1," Ad Valorem Tax")</f>
        <v>Amount of  2013 Ad Valorem Tax</v>
      </c>
      <c r="D40" s="681"/>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125</v>
      </c>
      <c r="C45" s="367"/>
      <c r="D45" s="374">
        <f>C72</f>
        <v>0</v>
      </c>
      <c r="E45" s="45">
        <f>D72</f>
        <v>0</v>
      </c>
      <c r="F45" s="16"/>
      <c r="G45" s="594" t="str">
        <f>summ!E18</f>
        <v>  </v>
      </c>
      <c r="H45" s="489" t="str">
        <f>CONCATENATE("",E3-1," Fund Mill Rate")</f>
        <v>2013 Fund Mill Rate</v>
      </c>
      <c r="I45" s="571"/>
      <c r="J45" s="591"/>
      <c r="K45" s="16"/>
    </row>
    <row r="46" spans="2:11" ht="15.75">
      <c r="B46" s="226" t="s">
        <v>127</v>
      </c>
      <c r="C46" s="227"/>
      <c r="D46" s="227"/>
      <c r="E46" s="123"/>
      <c r="F46" s="16"/>
      <c r="G46" s="595">
        <f>summ!H23</f>
        <v>0</v>
      </c>
      <c r="H46" s="489" t="str">
        <f>CONCATENATE("Total ",E3," Mill Rate")</f>
        <v>Total 2014 Mill Rate</v>
      </c>
      <c r="I46" s="571"/>
      <c r="J46" s="591"/>
      <c r="K46" s="16"/>
    </row>
    <row r="47" spans="2:11" ht="15.75">
      <c r="B47" s="119" t="s">
        <v>33</v>
      </c>
      <c r="C47" s="367"/>
      <c r="D47" s="374">
        <f>IF(inputPrYr!H18&gt;0,inputPrYr!G23,inputPrYr!E23)</f>
        <v>0</v>
      </c>
      <c r="E47" s="128" t="s">
        <v>28</v>
      </c>
      <c r="F47" s="16"/>
      <c r="G47" s="594">
        <f>summ!E23</f>
        <v>3.279</v>
      </c>
      <c r="H47" s="596" t="str">
        <f>CONCATENATE("Total ",E3-1," Mill Rate")</f>
        <v>Total 2013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2015</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2015</v>
      </c>
      <c r="H72" s="691"/>
      <c r="I72" s="691"/>
      <c r="J72" s="690"/>
      <c r="K72" s="16"/>
    </row>
    <row r="73" spans="2:11" ht="15.7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2014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0" t="str">
        <f>CONCATENATE("Amount of  ",$E$3-1," Ad Valorem Tax")</f>
        <v>Amount of  2013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v>
      </c>
      <c r="H86" s="489" t="str">
        <f>CONCATENATE("Total ",E3," Mill Rate")</f>
        <v>Total 2014 Mill Rate</v>
      </c>
      <c r="I86" s="571"/>
      <c r="J86" s="591"/>
      <c r="K86" s="16"/>
    </row>
    <row r="87" spans="3:11" ht="19.5" customHeight="1">
      <c r="C87" s="95">
        <f>IF(C33&gt;C35,"See Tab A","")</f>
      </c>
      <c r="D87" s="95">
        <f>IF(D33&gt;D35,"See Tab C","")</f>
      </c>
      <c r="F87" s="16"/>
      <c r="G87" s="594">
        <f>summ!E23</f>
        <v>3.279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Sherman Fire District</v>
      </c>
      <c r="C1" s="222"/>
      <c r="D1" s="18"/>
      <c r="E1" s="182"/>
    </row>
    <row r="2" spans="2:5" ht="15.75">
      <c r="B2" s="18" t="str">
        <f>inputPrYr!D4</f>
        <v>Dickinson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1" sqref="A2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Sherman Fire District</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Equipment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0</v>
      </c>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t="s">
        <v>790</v>
      </c>
      <c r="B9" s="267">
        <v>32000</v>
      </c>
      <c r="C9" s="273"/>
      <c r="D9" s="267"/>
      <c r="E9" s="273"/>
      <c r="F9" s="267"/>
      <c r="G9" s="273"/>
      <c r="H9" s="267"/>
      <c r="I9" s="273"/>
      <c r="J9" s="267"/>
      <c r="K9" s="255"/>
    </row>
    <row r="10" spans="1:11" ht="15.75">
      <c r="A10" s="273" t="s">
        <v>791</v>
      </c>
      <c r="B10" s="267">
        <v>2700</v>
      </c>
      <c r="C10" s="273"/>
      <c r="D10" s="267"/>
      <c r="E10" s="273"/>
      <c r="F10" s="267"/>
      <c r="G10" s="273"/>
      <c r="H10" s="267"/>
      <c r="I10" s="273"/>
      <c r="J10" s="267"/>
      <c r="K10" s="255"/>
    </row>
    <row r="11" spans="1:11" ht="15.75">
      <c r="A11" s="273" t="s">
        <v>792</v>
      </c>
      <c r="B11" s="267">
        <v>1000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35700</v>
      </c>
      <c r="C17" s="270" t="s">
        <v>39</v>
      </c>
      <c r="D17" s="269">
        <f>SUM(D9:D16)</f>
        <v>0</v>
      </c>
      <c r="E17" s="270" t="s">
        <v>39</v>
      </c>
      <c r="F17" s="283">
        <f>SUM(F9:F16)</f>
        <v>0</v>
      </c>
      <c r="G17" s="270" t="s">
        <v>39</v>
      </c>
      <c r="H17" s="269">
        <f>SUM(H9:H16)</f>
        <v>0</v>
      </c>
      <c r="I17" s="270" t="s">
        <v>39</v>
      </c>
      <c r="J17" s="269">
        <f>SUM(J9:J16)</f>
        <v>0</v>
      </c>
      <c r="K17" s="269">
        <f>SUM(B17+D17+F17+H17+J17)</f>
        <v>35700</v>
      </c>
    </row>
    <row r="18" spans="1:11" ht="15.75">
      <c r="A18" s="270" t="s">
        <v>40</v>
      </c>
      <c r="B18" s="269">
        <f>SUM(B7+B17)</f>
        <v>35700</v>
      </c>
      <c r="C18" s="270" t="s">
        <v>40</v>
      </c>
      <c r="D18" s="269">
        <f>SUM(D7+D17)</f>
        <v>0</v>
      </c>
      <c r="E18" s="270" t="s">
        <v>40</v>
      </c>
      <c r="F18" s="269">
        <f>SUM(F7+F17)</f>
        <v>0</v>
      </c>
      <c r="G18" s="270" t="s">
        <v>40</v>
      </c>
      <c r="H18" s="269">
        <f>SUM(H7+H17)</f>
        <v>0</v>
      </c>
      <c r="I18" s="270" t="s">
        <v>40</v>
      </c>
      <c r="J18" s="269">
        <f>SUM(J7+J17)</f>
        <v>0</v>
      </c>
      <c r="K18" s="269">
        <f>SUM(B18+D18+F18+H18+J18)</f>
        <v>35700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t="s">
        <v>793</v>
      </c>
      <c r="B21" s="267">
        <v>31338</v>
      </c>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31338</v>
      </c>
      <c r="C28" s="270" t="s">
        <v>42</v>
      </c>
      <c r="D28" s="269">
        <f>SUM(D20:D27)</f>
        <v>0</v>
      </c>
      <c r="E28" s="270" t="s">
        <v>42</v>
      </c>
      <c r="F28" s="283">
        <f>SUM(F20:F27)</f>
        <v>0</v>
      </c>
      <c r="G28" s="270" t="s">
        <v>42</v>
      </c>
      <c r="H28" s="283">
        <f>SUM(H20:H27)</f>
        <v>0</v>
      </c>
      <c r="I28" s="270" t="s">
        <v>42</v>
      </c>
      <c r="J28" s="269">
        <f>SUM(J20:J27)</f>
        <v>0</v>
      </c>
      <c r="K28" s="269">
        <f>SUM(B28+D28+F28+H28+J28)</f>
        <v>31338</v>
      </c>
    </row>
    <row r="29" spans="1:12" ht="15.75">
      <c r="A29" s="270" t="s">
        <v>241</v>
      </c>
      <c r="B29" s="269">
        <f>SUM(B18-B28)</f>
        <v>4362</v>
      </c>
      <c r="C29" s="270" t="s">
        <v>241</v>
      </c>
      <c r="D29" s="269">
        <f>SUM(D18-D28)</f>
        <v>0</v>
      </c>
      <c r="E29" s="270" t="s">
        <v>241</v>
      </c>
      <c r="F29" s="269">
        <f>SUM(F18-F28)</f>
        <v>0</v>
      </c>
      <c r="G29" s="270" t="s">
        <v>241</v>
      </c>
      <c r="H29" s="269">
        <f>SUM(H18-H28)</f>
        <v>0</v>
      </c>
      <c r="I29" s="270" t="s">
        <v>241</v>
      </c>
      <c r="J29" s="269">
        <f>SUM(J18-J28)</f>
        <v>0</v>
      </c>
      <c r="K29" s="284">
        <f>SUM(B29+D29+F29+H29+J29)</f>
        <v>4362</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4362</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2014</v>
      </c>
    </row>
    <row r="4" spans="1:8" ht="15.75">
      <c r="A4" s="638" t="str">
        <f>inputPrYr!D3</f>
        <v>Sherman Fire District</v>
      </c>
      <c r="B4" s="638"/>
      <c r="C4" s="638"/>
      <c r="D4" s="638"/>
      <c r="E4" s="638"/>
      <c r="F4" s="638"/>
      <c r="G4" s="638"/>
      <c r="H4" s="638"/>
    </row>
    <row r="5" spans="1:8" ht="15.75">
      <c r="A5" s="697" t="str">
        <f>inputPrYr!D4</f>
        <v>Dickinson County</v>
      </c>
      <c r="B5" s="697"/>
      <c r="C5" s="697"/>
      <c r="D5" s="697"/>
      <c r="E5" s="697"/>
      <c r="F5" s="697"/>
      <c r="G5" s="697"/>
      <c r="H5" s="697"/>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2013 Ad Valorem Tax</v>
      </c>
      <c r="H14" s="293" t="s">
        <v>566</v>
      </c>
      <c r="J14" s="501" t="s">
        <v>667</v>
      </c>
      <c r="K14" s="502"/>
      <c r="L14" s="502"/>
      <c r="M14" s="503">
        <f>ROUND(F27/1000,0)</f>
        <v>1656</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5339</v>
      </c>
      <c r="C16" s="624">
        <f>IF(inputPrYr!D38&gt;0,inputPrYr!D38,"  ")</f>
        <v>3.237</v>
      </c>
      <c r="D16" s="561">
        <f>IF(gen!$D$61&lt;&gt;0,gen!$D$61,"  ")</f>
        <v>9206</v>
      </c>
      <c r="E16" s="627">
        <f>IF(inputOth!D16&gt;0,inputOth!D16,"  ")</f>
        <v>3.279</v>
      </c>
      <c r="F16" s="561" t="str">
        <f>IF(gen!$E$61&lt;&gt;0,gen!$E$61,"  ")</f>
        <v>  </v>
      </c>
      <c r="G16" s="243" t="str">
        <f>IF(gen!$E$68&lt;&gt;0,gen!$E$68,"  ")</f>
        <v>  </v>
      </c>
      <c r="H16" s="624" t="str">
        <f>IF(gen!E68&gt;0,ROUND(G16/$F$27*1000,3)," ")</f>
        <v> </v>
      </c>
      <c r="J16" s="700" t="str">
        <f>CONCATENATE("Want The Mill Rate The Same As For ",I3-1,"?")</f>
        <v>Want The Mill Rate The Same As For 2013?</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3.279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5429</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31338</v>
      </c>
      <c r="C22" s="625"/>
      <c r="D22" s="623"/>
      <c r="E22" s="628"/>
      <c r="F22" s="623"/>
      <c r="G22" s="630"/>
      <c r="H22" s="625"/>
      <c r="J22" s="512"/>
      <c r="K22" s="512"/>
      <c r="L22" s="512"/>
      <c r="M22" s="512"/>
    </row>
    <row r="23" spans="1:13" ht="15.75">
      <c r="A23" s="33" t="s">
        <v>134</v>
      </c>
      <c r="B23" s="621">
        <f>SUM(B16:B22)</f>
        <v>36677</v>
      </c>
      <c r="C23" s="626">
        <f aca="true" t="shared" si="0" ref="C23:H23">SUM(C16:C21)</f>
        <v>3.237</v>
      </c>
      <c r="D23" s="621">
        <f t="shared" si="0"/>
        <v>9206</v>
      </c>
      <c r="E23" s="629">
        <f t="shared" si="0"/>
        <v>3.279</v>
      </c>
      <c r="F23" s="621">
        <f t="shared" si="0"/>
        <v>0</v>
      </c>
      <c r="G23" s="621">
        <f t="shared" si="0"/>
        <v>0</v>
      </c>
      <c r="H23" s="629">
        <f t="shared" si="0"/>
        <v>0</v>
      </c>
      <c r="J23" s="700" t="str">
        <f>CONCATENATE("Impact On Keeping The Same Mill Rate As For ",I3-1,"")</f>
        <v>Impact On Keeping The Same Mill Rate As For 2013</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36677</v>
      </c>
      <c r="C25" s="296"/>
      <c r="D25" s="129">
        <f>SUM(D23-D24)</f>
        <v>9206</v>
      </c>
      <c r="E25" s="296"/>
      <c r="F25" s="485">
        <f>SUM(F23-F24)</f>
        <v>0</v>
      </c>
      <c r="G25" s="238"/>
      <c r="H25" s="295"/>
      <c r="J25" s="504" t="str">
        <f>CONCATENATE("",I3," Ad Valorem Tax Revenue:")</f>
        <v>2014 Ad Valorem Tax Revenue:</v>
      </c>
      <c r="K25" s="499"/>
      <c r="L25" s="499"/>
      <c r="M25" s="500">
        <f>G23</f>
        <v>0</v>
      </c>
    </row>
    <row r="26" spans="1:13" ht="16.5" thickTop="1">
      <c r="A26" s="33" t="s">
        <v>54</v>
      </c>
      <c r="B26" s="621">
        <f>inputPrYr!E44</f>
        <v>5687</v>
      </c>
      <c r="C26" s="215"/>
      <c r="D26" s="621">
        <f>inputPrYr!E24</f>
        <v>5957</v>
      </c>
      <c r="E26" s="215"/>
      <c r="F26" s="83" t="s">
        <v>174</v>
      </c>
      <c r="G26" s="18"/>
      <c r="H26" s="18"/>
      <c r="J26" s="504" t="str">
        <f>CONCATENATE("",I3-1," Ad Valorem Tax Revenue:")</f>
        <v>2013 Ad Valorem Tax Revenue:</v>
      </c>
      <c r="K26" s="499"/>
      <c r="L26" s="499"/>
      <c r="M26" s="513">
        <f>ROUND(F27*M18/1000,0)</f>
        <v>5429</v>
      </c>
    </row>
    <row r="27" spans="1:13" ht="15.75">
      <c r="A27" s="33" t="s">
        <v>170</v>
      </c>
      <c r="B27" s="42">
        <f>inputPrYr!E45</f>
        <v>1757088</v>
      </c>
      <c r="C27" s="215"/>
      <c r="D27" s="42">
        <f>inputOth!E24</f>
        <v>1816871</v>
      </c>
      <c r="E27" s="215"/>
      <c r="F27" s="42">
        <f>inputOth!E7</f>
        <v>1655557</v>
      </c>
      <c r="G27" s="18"/>
      <c r="H27" s="18"/>
      <c r="J27" s="514" t="s">
        <v>668</v>
      </c>
      <c r="K27" s="515"/>
      <c r="L27" s="515"/>
      <c r="M27" s="503">
        <f>M25-M26</f>
        <v>-5429</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2011</v>
      </c>
      <c r="C30" s="18"/>
      <c r="D30" s="98">
        <f>I3-2</f>
        <v>2012</v>
      </c>
      <c r="E30" s="18"/>
      <c r="F30" s="98">
        <f>I3-1</f>
        <v>2013</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f>inputBudSum!B3</f>
        <v>0</v>
      </c>
      <c r="B40" s="664"/>
      <c r="C40" s="99"/>
      <c r="D40" s="18"/>
      <c r="E40" s="18"/>
      <c r="F40" s="18"/>
      <c r="G40" s="18"/>
      <c r="H40" s="52"/>
    </row>
    <row r="41" spans="1:8" ht="15.7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tabSelected="1" zoomScalePageLayoutView="0" workbookViewId="0" topLeftCell="A13">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2013</v>
      </c>
      <c r="E17" s="644" t="str">
        <f>CONCATENATE("Amount of ",D6-2,"     Ad Valorem Tax")</f>
        <v>Amount of 2012     Ad Valorem Tax</v>
      </c>
      <c r="G17" s="102" t="s">
        <v>707</v>
      </c>
      <c r="H17" s="111" t="s">
        <v>43</v>
      </c>
    </row>
    <row r="18" spans="1:8" ht="15.75">
      <c r="A18" s="17" t="s">
        <v>8</v>
      </c>
      <c r="B18" s="18"/>
      <c r="C18" s="30" t="s">
        <v>9</v>
      </c>
      <c r="D18" s="32" t="s">
        <v>277</v>
      </c>
      <c r="E18" s="645"/>
      <c r="G18" s="114" t="str">
        <f>CONCATENATE("",D6-2," Ad Valorem Tax")</f>
        <v>2012 Ad Valorem Tax</v>
      </c>
      <c r="H18" s="535">
        <v>0</v>
      </c>
    </row>
    <row r="19" spans="1:7" ht="15.75">
      <c r="A19" s="18"/>
      <c r="B19" s="33" t="s">
        <v>10</v>
      </c>
      <c r="C19" s="611"/>
      <c r="D19" s="35">
        <v>9206</v>
      </c>
      <c r="E19" s="35">
        <v>5957</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5957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9206</v>
      </c>
      <c r="E28" s="37"/>
    </row>
    <row r="29" spans="1:5" ht="15.75">
      <c r="A29" s="18" t="s">
        <v>244</v>
      </c>
      <c r="B29" s="18"/>
      <c r="C29" s="18"/>
      <c r="D29" s="18"/>
      <c r="E29" s="37"/>
    </row>
    <row r="30" spans="1:5" ht="15.75">
      <c r="A30" s="18">
        <v>1</v>
      </c>
      <c r="B30" s="46" t="s">
        <v>787</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3.237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3.237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5687</v>
      </c>
    </row>
    <row r="45" spans="1:5" ht="15.75">
      <c r="A45" s="49" t="str">
        <f>CONCATENATE("Assessed Valuation (",D6-2," budget column)")</f>
        <v>Assessed Valuation (2012 budget column)</v>
      </c>
      <c r="B45" s="27"/>
      <c r="C45" s="18"/>
      <c r="D45" s="18"/>
      <c r="E45" s="51">
        <v>1757088</v>
      </c>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Sherman Fire District</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1655557</v>
      </c>
      <c r="E16" s="18"/>
      <c r="F16" s="52"/>
    </row>
    <row r="17" spans="1:6" ht="15.75">
      <c r="A17" s="18"/>
      <c r="B17" s="18"/>
      <c r="C17" s="18"/>
      <c r="D17" s="18"/>
      <c r="E17" s="18"/>
      <c r="F17" s="52"/>
    </row>
    <row r="18" spans="1:6" ht="15.75">
      <c r="A18" s="18"/>
      <c r="B18" s="711" t="s">
        <v>319</v>
      </c>
      <c r="C18" s="711"/>
      <c r="D18" s="309">
        <f>IF(D16&gt;0,(D16*0.001),"")</f>
        <v>1655.557</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Fire District District with respect to financing the 2014 annual budget for Sherman Fire District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Sherman Fire District district budget exceed the amount levied to finance the</v>
      </c>
      <c r="C9"/>
      <c r="D9"/>
      <c r="E9"/>
      <c r="F9"/>
      <c r="G9"/>
      <c r="H9"/>
    </row>
    <row r="10" spans="2:8" ht="15.75">
      <c r="B10" s="12" t="str">
        <f>CONCATENATE("",inputPrYr!D6-1," ",inputPrYr!D3," except with regard to revenue produced and attributable to the")</f>
        <v>2013 Sherman Fire District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Sherman Fire District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Fire District that is our desire to notify the public of the possibility of increased property taxes to finance the 2014 Sherman Fire District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Sherman Fire District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Sherman Fire District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C41" sqref="C4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Sherman Fire District</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1655557</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26</v>
      </c>
      <c r="B15" s="641"/>
      <c r="C15" s="62"/>
      <c r="D15" s="73" t="s">
        <v>63</v>
      </c>
      <c r="E15" s="72"/>
    </row>
    <row r="16" spans="1:5" ht="15.75">
      <c r="A16" s="65" t="s">
        <v>10</v>
      </c>
      <c r="B16" s="40"/>
      <c r="C16" s="69"/>
      <c r="D16" s="74">
        <v>3.279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3.279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1816871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556</v>
      </c>
    </row>
    <row r="28" spans="1:5" ht="15.75">
      <c r="A28" s="66" t="s">
        <v>15</v>
      </c>
      <c r="B28" s="67"/>
      <c r="C28" s="67"/>
      <c r="D28" s="84"/>
      <c r="E28" s="35">
        <v>17</v>
      </c>
    </row>
    <row r="29" spans="1:5" ht="15.75">
      <c r="A29" s="66" t="s">
        <v>171</v>
      </c>
      <c r="B29" s="67"/>
      <c r="C29" s="67"/>
      <c r="D29" s="84"/>
      <c r="E29" s="35">
        <v>37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212</v>
      </c>
      <c r="B40" s="91" t="s">
        <v>213</v>
      </c>
      <c r="C40" s="92" t="s">
        <v>214</v>
      </c>
      <c r="D40" s="93"/>
      <c r="E40" s="93"/>
    </row>
    <row r="41" spans="1:5" ht="15.75">
      <c r="A41" s="94" t="str">
        <f>inputPrYr!B19</f>
        <v>General</v>
      </c>
      <c r="B41" s="56">
        <v>6360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Sherman Fire District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2013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0</v>
      </c>
      <c r="F30" s="566">
        <f>SUM(F23:F28)</f>
        <v>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2013</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Sherman Fire District</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5957</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5957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1655557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1655557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5957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5957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Fire District</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5957</v>
      </c>
      <c r="D11" s="123">
        <f>IF(E17=0,0,E17-D12-D13-D14)</f>
        <v>556</v>
      </c>
      <c r="E11" s="123">
        <f>IF(E19=0,0,E19-E12-E13-E14)</f>
        <v>17</v>
      </c>
      <c r="F11" s="123">
        <f>IF(E21=0,0,E21-F12-F13-F14)</f>
        <v>37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5957</v>
      </c>
      <c r="D15" s="130">
        <f>SUM(D11:D14)</f>
        <v>556</v>
      </c>
      <c r="E15" s="130">
        <f>SUM(E11:E14)</f>
        <v>17</v>
      </c>
      <c r="F15" s="203">
        <f>SUM(F11:F14)</f>
        <v>37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556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0.09333557159644117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0.0028537854624811148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0.006211180124223602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Sherman Fire District</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2013-01-18T22:50:33Z</cp:lastPrinted>
  <dcterms:created xsi:type="dcterms:W3CDTF">1999-08-06T13:59:57Z</dcterms:created>
  <dcterms:modified xsi:type="dcterms:W3CDTF">2013-07-10T17:17:53Z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