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NonBud" sheetId="13" r:id="rId13"/>
    <sheet name="levypage8" sheetId="14" r:id="rId14"/>
    <sheet name="nolevypage9"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6">'summ'!$A$1:$I$41</definedName>
  </definedNames>
  <calcPr fullCalcOnLoad="1"/>
</workbook>
</file>

<file path=xl/sharedStrings.xml><?xml version="1.0" encoding="utf-8"?>
<sst xmlns="http://schemas.openxmlformats.org/spreadsheetml/2006/main" count="1169" uniqueCount="792">
  <si>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</si>
  <si>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</si>
  <si>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</si>
  <si>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</si>
  <si>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</si>
  <si>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</si>
  <si>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</si>
  <si>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</si>
  <si>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</si>
  <si>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</si>
  <si>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</si>
  <si>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</si>
  <si>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</si>
  <si>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</si>
  <si>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</si>
  <si>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</si>
  <si>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</si>
  <si>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</si>
  <si>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</si>
  <si>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</si>
  <si>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</si>
  <si>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</si>
  <si>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</si>
  <si>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</si>
  <si>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</si>
  <si>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</si>
  <si>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</si>
  <si>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</si>
  <si>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</si>
  <si>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</si>
  <si>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</si>
  <si>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</si>
  <si>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</si>
  <si>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</si>
  <si>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</si>
  <si>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</si>
  <si>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</si>
  <si>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</si>
  <si>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</si>
  <si>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</si>
  <si>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</si>
  <si>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</si>
  <si>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</si>
  <si>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</si>
  <si>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</si>
  <si>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</si>
  <si>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</si>
  <si>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</si>
  <si>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</si>
  <si>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</si>
  <si>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</si>
  <si>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</si>
  <si>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</si>
  <si>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</si>
  <si>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</si>
  <si>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</si>
  <si>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</si>
  <si>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</si>
  <si>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</si>
  <si>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</si>
  <si>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</si>
  <si>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</si>
  <si>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</si>
  <si>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</si>
  <si>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</si>
  <si>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</si>
  <si>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</si>
  <si>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</si>
  <si>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</si>
  <si>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</si>
  <si>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</si>
  <si>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</si>
  <si>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</si>
  <si>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</si>
  <si>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</si>
  <si>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</si>
  <si>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</si>
  <si>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</si>
  <si>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</si>
  <si>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</si>
  <si>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</si>
  <si>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</si>
  <si>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</si>
  <si>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</si>
  <si>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</si>
  <si>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</si>
  <si>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</si>
  <si>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</si>
  <si>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</si>
  <si>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</si>
  <si>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</si>
  <si>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</si>
  <si>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</si>
  <si>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</si>
  <si>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</si>
  <si>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</si>
  <si>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</si>
  <si>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</si>
  <si>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</si>
  <si>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</si>
  <si>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</si>
  <si>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</si>
  <si>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</si>
  <si>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</si>
  <si>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</si>
  <si>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</si>
  <si>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</si>
  <si>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</si>
  <si>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</si>
  <si>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</si>
  <si>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</si>
  <si>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</si>
  <si>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</si>
  <si>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</si>
  <si>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</si>
  <si>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</si>
  <si>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</si>
  <si>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</si>
  <si>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</si>
  <si>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</si>
  <si>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</si>
  <si>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</si>
  <si>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</si>
  <si>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</si>
  <si>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</si>
  <si>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</si>
  <si>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</si>
  <si>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</si>
  <si>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</si>
  <si>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</si>
  <si>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</si>
  <si>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</si>
  <si>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</si>
  <si>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</si>
  <si>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</si>
  <si>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</si>
  <si>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</si>
  <si>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</si>
  <si>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</si>
  <si>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</si>
  <si>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</si>
  <si>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</si>
  <si>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</si>
  <si>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</si>
  <si>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</si>
  <si>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</si>
  <si>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</si>
  <si>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</si>
  <si>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</si>
  <si>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</si>
  <si>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</si>
  <si>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</si>
  <si>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</si>
  <si>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</si>
  <si>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</si>
  <si>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</si>
  <si>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</si>
  <si>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</si>
  <si>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</si>
  <si>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</si>
  <si>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</si>
  <si>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</si>
  <si>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</si>
  <si>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</si>
  <si>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</si>
  <si>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</si>
  <si>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</si>
  <si>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</si>
  <si>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</si>
  <si>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</si>
  <si>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</si>
  <si>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</si>
  <si>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</si>
  <si>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</si>
  <si>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</si>
  <si>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</si>
  <si>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</si>
  <si>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</si>
  <si>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</si>
  <si>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</si>
  <si>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</si>
  <si>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</si>
  <si>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</si>
  <si>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</si>
  <si>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</si>
  <si>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</si>
  <si>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</si>
  <si>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</si>
  <si>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</si>
  <si>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</si>
  <si>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</si>
  <si>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</si>
  <si>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</si>
  <si>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</si>
  <si>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</si>
  <si>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</si>
  <si>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</si>
  <si>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</si>
  <si>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</si>
  <si>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</si>
  <si>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</si>
  <si>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</si>
  <si>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</si>
  <si>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</si>
  <si>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</si>
  <si>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</si>
  <si>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</si>
  <si>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</si>
  <si>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</si>
  <si>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</si>
  <si>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</si>
  <si>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</si>
  <si>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</si>
  <si>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</si>
  <si>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</si>
  <si>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</si>
  <si>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</si>
  <si>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</si>
  <si>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</si>
  <si>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</si>
  <si>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</si>
  <si>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</si>
  <si>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</si>
  <si>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</si>
  <si>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</si>
  <si>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</si>
  <si>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</si>
  <si>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</si>
  <si>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</si>
  <si>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</si>
  <si>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</si>
  <si>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</si>
  <si>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</si>
  <si>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</si>
  <si>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</si>
  <si>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</si>
  <si>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</si>
  <si>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</si>
  <si>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</si>
  <si>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</si>
  <si>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</si>
  <si>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</si>
  <si>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</si>
  <si>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</si>
  <si>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</si>
  <si>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</si>
  <si>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</si>
  <si>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</si>
  <si>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</si>
  <si>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</si>
  <si>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</si>
  <si>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</si>
  <si>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</si>
  <si>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</si>
  <si>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</si>
  <si>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</si>
  <si>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</si>
  <si>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</si>
  <si>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</si>
  <si>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</si>
  <si>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</si>
  <si>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</si>
  <si>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</si>
  <si>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</si>
  <si>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</si>
  <si>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</si>
  <si>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</si>
  <si>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</si>
  <si>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</si>
  <si>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</si>
  <si>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</si>
  <si>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</si>
  <si>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</si>
  <si>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</si>
  <si>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</si>
  <si>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</si>
  <si>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</si>
  <si>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</si>
  <si>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</si>
  <si>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</si>
  <si>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</si>
  <si>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</si>
  <si>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</si>
  <si>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</si>
  <si>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</si>
  <si>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</si>
  <si>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</si>
  <si>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</si>
  <si>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</si>
  <si>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</si>
  <si>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</si>
  <si>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</si>
  <si>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</si>
  <si>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</si>
  <si>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</si>
  <si>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</si>
  <si>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</si>
  <si>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</si>
  <si>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</si>
  <si>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</si>
  <si>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</si>
  <si>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</si>
  <si>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</si>
  <si>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</si>
  <si>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</si>
  <si>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</si>
  <si>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</si>
  <si>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</si>
  <si>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</si>
  <si>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</si>
  <si>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</si>
  <si>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</si>
  <si>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</si>
  <si>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</si>
  <si>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</si>
  <si>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</si>
  <si>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</si>
  <si>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</si>
  <si>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</si>
  <si>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</si>
  <si>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</si>
  <si>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</si>
  <si>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</si>
  <si>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</si>
  <si>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</si>
  <si>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</si>
  <si>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</si>
  <si>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</si>
  <si>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</si>
  <si>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</si>
  <si>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</si>
  <si>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</si>
  <si>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</si>
  <si>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</si>
  <si>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</si>
  <si>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</si>
  <si>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</si>
  <si>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</si>
  <si>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</si>
  <si>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</si>
  <si>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</si>
  <si>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</si>
  <si>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</si>
  <si>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</si>
  <si>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</si>
  <si>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</si>
  <si>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</si>
  <si>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</si>
  <si>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</si>
  <si>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</si>
  <si>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</si>
  <si>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</si>
  <si>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</si>
  <si>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</si>
  <si>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</si>
  <si>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</si>
  <si>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</si>
  <si>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</si>
  <si>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</si>
  <si>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</si>
  <si>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</si>
  <si>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</si>
  <si>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</si>
  <si>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</si>
  <si>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</si>
  <si>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</si>
  <si>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</si>
  <si>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</si>
  <si>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</si>
  <si>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</si>
  <si>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</si>
  <si>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</si>
  <si>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</si>
  <si>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</si>
  <si>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</si>
  <si>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</si>
  <si>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</si>
  <si>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</si>
  <si>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</si>
  <si>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</si>
  <si>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</si>
  <si>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</si>
  <si>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</si>
  <si>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</si>
  <si>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</si>
  <si>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</si>
  <si>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</si>
  <si>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</si>
  <si>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</si>
  <si>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</si>
  <si>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</si>
  <si>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</si>
  <si>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</si>
  <si>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</si>
  <si>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</si>
  <si>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</si>
  <si>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</si>
  <si>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</si>
  <si>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</si>
  <si>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</si>
  <si>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</si>
  <si>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</si>
  <si>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</si>
  <si>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</si>
  <si>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</si>
  <si>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</si>
  <si>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</si>
  <si>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</si>
  <si>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</si>
  <si>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</si>
  <si>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</si>
  <si>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</si>
  <si>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</si>
  <si>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</si>
  <si>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</si>
  <si>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</si>
  <si>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</si>
  <si>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</si>
  <si>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</si>
  <si>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</si>
  <si>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</si>
  <si>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</si>
  <si>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</si>
  <si>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</si>
  <si>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</si>
  <si>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</si>
  <si>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</si>
  <si>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</si>
  <si>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</si>
  <si>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</si>
  <si>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</si>
  <si>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</si>
  <si>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</si>
  <si>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</si>
  <si>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</si>
  <si>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</si>
  <si>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</si>
  <si>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</si>
  <si>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</si>
  <si>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</si>
  <si>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</si>
  <si>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</si>
  <si>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</si>
  <si>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</si>
  <si>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</si>
  <si>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</si>
  <si>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</si>
  <si>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</si>
  <si>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</si>
  <si>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</si>
  <si>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</si>
  <si>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</si>
  <si>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</si>
  <si>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</si>
  <si>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</si>
  <si>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</si>
  <si>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</si>
  <si>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</si>
  <si>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</si>
  <si>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</si>
  <si>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</si>
  <si>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</si>
  <si>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</si>
  <si>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</si>
  <si>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</si>
  <si>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</si>
  <si>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</si>
  <si>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</si>
  <si>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</si>
  <si>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</si>
  <si>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</si>
  <si>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</si>
  <si>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</si>
  <si>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</si>
  <si>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</si>
  <si>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</si>
  <si>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</si>
  <si>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</si>
  <si>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</si>
  <si>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</si>
  <si>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</si>
  <si>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</si>
  <si>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</si>
  <si>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</si>
  <si>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</si>
  <si>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</si>
  <si>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</si>
  <si>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</si>
  <si>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</si>
  <si>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</si>
  <si>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</si>
  <si>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</si>
  <si>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</si>
  <si>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</si>
  <si>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</si>
  <si>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</si>
  <si>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</si>
  <si>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</si>
  <si>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</si>
  <si>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</si>
  <si>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</si>
  <si>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</si>
  <si>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</si>
  <si>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</si>
  <si>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</si>
  <si>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</si>
  <si>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</si>
  <si>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</si>
  <si>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</si>
  <si>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</si>
  <si>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</si>
  <si>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</si>
  <si>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</si>
  <si>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</si>
  <si>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</si>
  <si>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</si>
  <si>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</si>
  <si>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</si>
  <si>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</si>
  <si>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</si>
  <si>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</si>
  <si>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</si>
  <si>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</si>
  <si>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</si>
  <si>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</si>
  <si>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</si>
  <si>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</si>
  <si>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</si>
  <si>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</si>
  <si>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</si>
  <si>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</si>
  <si>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</si>
  <si>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</si>
  <si>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</si>
  <si>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</si>
  <si>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</si>
  <si>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</si>
  <si>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</si>
  <si>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</si>
  <si>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</si>
  <si>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</si>
  <si>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</si>
  <si>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</si>
  <si>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</si>
  <si>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</si>
  <si>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</si>
  <si>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</si>
  <si>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</si>
  <si>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</si>
  <si>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</si>
  <si>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</si>
  <si>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</si>
  <si>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</si>
  <si>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</si>
  <si>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</si>
  <si>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</si>
  <si>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</si>
  <si>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</si>
  <si>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</si>
  <si>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</si>
  <si>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</si>
  <si>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</si>
  <si>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</si>
  <si>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</si>
  <si>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</si>
  <si>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</si>
  <si>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</si>
  <si>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</si>
  <si>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</si>
  <si>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</si>
  <si>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</si>
  <si>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</si>
  <si>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</si>
  <si>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</si>
  <si>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</si>
  <si>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</si>
  <si>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</si>
  <si>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</si>
  <si>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</si>
  <si>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</si>
  <si>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</si>
  <si>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</si>
  <si>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</si>
  <si>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</si>
  <si>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</si>
  <si>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</si>
  <si>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</si>
  <si>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</si>
  <si>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</si>
  <si>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</si>
  <si>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</si>
  <si>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</si>
  <si>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</si>
  <si>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</si>
  <si>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</si>
  <si>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</si>
  <si>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</si>
  <si>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</si>
  <si>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</si>
  <si>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</si>
  <si>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</si>
  <si>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</si>
  <si>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</si>
  <si>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</si>
  <si>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</si>
  <si>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</si>
  <si>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</si>
  <si>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</si>
  <si>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</si>
  <si>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</si>
  <si>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</si>
  <si>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</si>
  <si>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</si>
  <si>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</si>
  <si>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</si>
  <si>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</si>
  <si>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</si>
  <si>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</si>
  <si>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</si>
  <si>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</si>
  <si>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</si>
  <si>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</si>
  <si>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</si>
  <si>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</si>
  <si>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</si>
  <si>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</si>
  <si>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</si>
  <si>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</si>
  <si>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</si>
  <si>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</si>
  <si>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</si>
  <si>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</si>
  <si>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</si>
  <si>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</si>
  <si>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</si>
  <si>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</si>
  <si>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</si>
  <si>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</si>
  <si>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</si>
  <si>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</si>
  <si>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</si>
  <si>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</si>
  <si>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</si>
  <si>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</si>
  <si>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</si>
  <si>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</si>
  <si>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</si>
  <si>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</si>
  <si>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</si>
  <si>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</si>
  <si>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</si>
  <si>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</si>
  <si>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</si>
  <si>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</si>
  <si>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</si>
  <si>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</si>
  <si>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</si>
  <si>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</si>
  <si>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</si>
  <si>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</si>
  <si>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</si>
  <si>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</si>
  <si>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</si>
  <si>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</si>
  <si>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</si>
  <si>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</si>
  <si>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</si>
  <si>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</si>
  <si>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</si>
  <si>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</si>
  <si>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</si>
  <si>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</si>
  <si>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</si>
  <si>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</si>
  <si>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</si>
  <si>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</si>
  <si>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</si>
  <si>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</si>
  <si>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</si>
  <si>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</si>
  <si>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</si>
  <si>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</si>
  <si>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</si>
  <si>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</si>
  <si>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</si>
  <si>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</si>
  <si>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</si>
  <si>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</si>
  <si>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</si>
  <si>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</si>
  <si>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</si>
  <si>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</si>
  <si>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</si>
  <si>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</si>
  <si>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</si>
  <si>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</si>
  <si>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</si>
  <si>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</si>
  <si>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</si>
  <si>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</si>
  <si>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</si>
  <si>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</si>
  <si>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</si>
  <si>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</si>
  <si>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</si>
  <si>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</si>
  <si>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</si>
  <si>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</si>
  <si>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</si>
  <si>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</si>
  <si>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</si>
  <si>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</si>
  <si>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</si>
  <si>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</si>
  <si>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</si>
  <si>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</si>
  <si>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</si>
  <si>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</si>
  <si>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</si>
  <si>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</si>
  <si>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</si>
  <si>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</si>
  <si>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</si>
  <si>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</si>
  <si>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</si>
  <si>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</si>
  <si>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</si>
  <si>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</si>
  <si>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</si>
  <si>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</si>
  <si>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</si>
  <si>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</si>
  <si>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</si>
  <si>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</si>
  <si>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</si>
  <si>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</si>
  <si>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</si>
  <si>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</si>
  <si>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</si>
  <si>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</si>
  <si>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</si>
  <si>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</si>
  <si>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</si>
  <si>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</si>
  <si>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</si>
  <si>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</si>
  <si>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</si>
  <si>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</si>
  <si>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</si>
  <si>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</si>
  <si>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</si>
  <si>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</si>
  <si>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</si>
  <si>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</si>
  <si>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</si>
  <si>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</si>
  <si>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</si>
  <si>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</si>
  <si>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</si>
  <si>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</si>
  <si>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</si>
  <si>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</si>
  <si>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</si>
  <si>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</si>
  <si>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</si>
  <si>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</si>
  <si>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</si>
  <si>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</si>
  <si>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</si>
  <si>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</si>
  <si>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</si>
  <si>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</si>
  <si>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</si>
  <si>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</si>
  <si>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</si>
  <si>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</si>
  <si>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</si>
  <si>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</si>
  <si>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</si>
  <si>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</si>
  <si>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</si>
  <si>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</si>
  <si>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</si>
  <si>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</si>
  <si>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</si>
  <si>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Lincoln Fire District</t>
  </si>
  <si>
    <t>Dickinson County</t>
  </si>
  <si>
    <t>Machine Fund</t>
  </si>
  <si>
    <t>Solomon City-Fire Protection</t>
  </si>
  <si>
    <t>Publication-acctg-budget prep</t>
  </si>
  <si>
    <t>Transfer</t>
  </si>
  <si>
    <t>Equipment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</si>
</sst>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Lincoln Fire District</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726</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1">
      <selection activeCell="D40" sqref="D4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Lincoln Fire District</v>
      </c>
      <c r="C1" s="222"/>
      <c r="D1" s="18"/>
      <c r="E1" s="182"/>
    </row>
    <row r="2" spans="2:5" ht="15.75">
      <c r="B2" s="18" t="str">
        <f>inputPrYr!D4</f>
        <v>Dickinson County</v>
      </c>
      <c r="C2" s="222"/>
      <c r="D2" s="18"/>
      <c r="E2" s="138"/>
    </row>
    <row r="3" spans="2:6" ht="15.75">
      <c r="B3" s="491" t="s">
        <v>81</v>
      </c>
      <c r="C3" s="222"/>
      <c r="D3" s="18"/>
      <c r="E3" s="182">
        <f>inputPrYr!$D$6</f>
        <v>2014</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125</v>
      </c>
      <c r="C7" s="367">
        <v>0</v>
      </c>
      <c r="D7" s="374">
        <f>C62</f>
        <v>0</v>
      </c>
      <c r="E7" s="45">
        <f>D62</f>
        <v>0</v>
      </c>
    </row>
    <row r="8" spans="2:5" ht="15.75">
      <c r="B8" s="226" t="s">
        <v>127</v>
      </c>
      <c r="C8" s="227"/>
      <c r="D8" s="227"/>
      <c r="E8" s="123"/>
    </row>
    <row r="9" spans="2:5" ht="15.75">
      <c r="B9" s="119" t="s">
        <v>33</v>
      </c>
      <c r="C9" s="367">
        <v>23582</v>
      </c>
      <c r="D9" s="374">
        <f>IF(inputPrYr!H18&gt;0,inputPrYr!G19,inputPrYr!E19)</f>
        <v>25111</v>
      </c>
      <c r="E9" s="128" t="s">
        <v>28</v>
      </c>
    </row>
    <row r="10" spans="2:5" ht="15.75">
      <c r="B10" s="119" t="s">
        <v>34</v>
      </c>
      <c r="C10" s="367">
        <v>347</v>
      </c>
      <c r="D10" s="367"/>
      <c r="E10" s="198"/>
    </row>
    <row r="11" spans="2:5" ht="15.75">
      <c r="B11" s="119" t="s">
        <v>35</v>
      </c>
      <c r="C11" s="367">
        <v>3977</v>
      </c>
      <c r="D11" s="367">
        <v>3232</v>
      </c>
      <c r="E11" s="45">
        <f>mvalloc!D11</f>
        <v>3597</v>
      </c>
    </row>
    <row r="12" spans="2:5" ht="15.75">
      <c r="B12" s="119" t="s">
        <v>36</v>
      </c>
      <c r="C12" s="367">
        <v>102</v>
      </c>
      <c r="D12" s="367">
        <v>63</v>
      </c>
      <c r="E12" s="45">
        <f>mvalloc!E11</f>
        <v>69</v>
      </c>
    </row>
    <row r="13" spans="2:5" ht="15.75">
      <c r="B13" s="227" t="s">
        <v>109</v>
      </c>
      <c r="C13" s="367">
        <v>225</v>
      </c>
      <c r="D13" s="367">
        <v>221</v>
      </c>
      <c r="E13" s="45">
        <f>mvalloc!F11</f>
        <v>214</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15</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28248</v>
      </c>
      <c r="D33" s="369">
        <f>SUM(D9:D31)</f>
        <v>28627</v>
      </c>
      <c r="E33" s="234">
        <f>SUM(E9:E31)</f>
        <v>3880</v>
      </c>
    </row>
    <row r="34" spans="2:5" ht="15.75">
      <c r="B34" s="233" t="s">
        <v>40</v>
      </c>
      <c r="C34" s="369">
        <f>C7+C33</f>
        <v>28248</v>
      </c>
      <c r="D34" s="369">
        <f>D7+D33</f>
        <v>28627</v>
      </c>
      <c r="E34" s="234">
        <f>E7+E33</f>
        <v>3880</v>
      </c>
    </row>
    <row r="35" spans="2:5" ht="15.75">
      <c r="B35" s="119" t="s">
        <v>41</v>
      </c>
      <c r="C35" s="121"/>
      <c r="D35" s="121"/>
      <c r="E35" s="36"/>
    </row>
    <row r="36" spans="2:5" ht="15.75">
      <c r="B36" s="228"/>
      <c r="C36" s="367"/>
      <c r="D36" s="367"/>
      <c r="E36" s="198"/>
    </row>
    <row r="37" spans="2:5" ht="15.75">
      <c r="B37" s="228" t="s">
        <v>788</v>
      </c>
      <c r="C37" s="367">
        <v>22037</v>
      </c>
      <c r="D37" s="367">
        <v>24012</v>
      </c>
      <c r="E37" s="198"/>
    </row>
    <row r="38" spans="2:5" ht="15.75">
      <c r="B38" s="228" t="s">
        <v>789</v>
      </c>
      <c r="C38" s="367">
        <v>93</v>
      </c>
      <c r="D38" s="367">
        <v>200</v>
      </c>
      <c r="E38" s="198"/>
    </row>
    <row r="39" spans="2:5" ht="15.75">
      <c r="B39" s="228"/>
      <c r="C39" s="367">
        <v>6118</v>
      </c>
      <c r="D39" s="367">
        <v>4415</v>
      </c>
      <c r="E39" s="198"/>
    </row>
    <row r="40" spans="2:5" ht="15.75">
      <c r="B40" s="228" t="s">
        <v>790</v>
      </c>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2015</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2015</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28248</v>
      </c>
      <c r="D61" s="369">
        <f>SUM(D36:D59)</f>
        <v>28627</v>
      </c>
      <c r="E61" s="234">
        <f>SUM(E36:E59)</f>
        <v>0</v>
      </c>
      <c r="F61" s="16"/>
      <c r="G61" s="490">
        <f>D62</f>
        <v>0</v>
      </c>
      <c r="H61" s="489" t="str">
        <f>CONCATENATE("",E3-1," Ending Cash Balance (est.)")</f>
        <v>2013 Ending Cash Balance (est.)</v>
      </c>
      <c r="I61" s="586"/>
      <c r="J61" s="484"/>
      <c r="K61" s="16"/>
    </row>
    <row r="62" spans="2:11" ht="15.75">
      <c r="B62" s="119" t="s">
        <v>126</v>
      </c>
      <c r="C62" s="370">
        <f>C34-C61</f>
        <v>0</v>
      </c>
      <c r="D62" s="370">
        <f>D34-D61</f>
        <v>0</v>
      </c>
      <c r="E62" s="128" t="s">
        <v>28</v>
      </c>
      <c r="F62" s="16"/>
      <c r="G62" s="490">
        <f>E33</f>
        <v>3880</v>
      </c>
      <c r="H62" s="483" t="str">
        <f>CONCATENATE("",E3," Non-AV Receipts (est.)")</f>
        <v>2014 Non-AV Receipts (est.)</v>
      </c>
      <c r="I62" s="586"/>
      <c r="J62" s="484"/>
      <c r="K62" s="16"/>
    </row>
    <row r="63" spans="2:11" ht="15.75">
      <c r="B63" s="138" t="str">
        <f>CONCATENATE("",E3-2,"/",E3-1," Budget Authority Amount:")</f>
        <v>2012/2013 Budget Authority Amount:</v>
      </c>
      <c r="C63" s="120">
        <f>inputOth!B41</f>
        <v>28450</v>
      </c>
      <c r="D63" s="388">
        <f>inputPrYr!D19</f>
        <v>28627</v>
      </c>
      <c r="E63" s="128" t="s">
        <v>28</v>
      </c>
      <c r="F63" s="251"/>
      <c r="G63" s="482">
        <f>IF(E67&gt;0,E66,E68)</f>
        <v>0</v>
      </c>
      <c r="H63" s="483" t="str">
        <f>CONCATENATE("",E3," Ad Valorem Tax (est.)")</f>
        <v>2014 Ad Valorem Tax (est.)</v>
      </c>
      <c r="I63" s="483"/>
      <c r="J63" s="484"/>
      <c r="K63" s="587">
        <f>IF(G63=E68,"","Note: Does not include Delinquent Taxes")</f>
      </c>
    </row>
    <row r="64" spans="2:11" ht="15.75">
      <c r="B64" s="138"/>
      <c r="C64" s="682" t="s">
        <v>659</v>
      </c>
      <c r="D64" s="683"/>
      <c r="E64" s="35"/>
      <c r="F64" s="588">
        <f>IF(E61/0.95-E61&lt;E64,"Exceeds 5%","")</f>
      </c>
      <c r="G64" s="490">
        <f>SUM(G61:G63)</f>
        <v>3880</v>
      </c>
      <c r="H64" s="483" t="str">
        <f>CONCATENATE("Total ",E3," Resources Available")</f>
        <v>Total 2014 Resources Available</v>
      </c>
      <c r="I64" s="586"/>
      <c r="J64" s="484"/>
      <c r="K64" s="16"/>
    </row>
    <row r="65" spans="2:11" ht="15.75">
      <c r="B65" s="386" t="str">
        <f>CONCATENATE(C81,"     ",D81)</f>
        <v>     </v>
      </c>
      <c r="C65" s="684" t="s">
        <v>660</v>
      </c>
      <c r="D65" s="685"/>
      <c r="E65" s="45">
        <f>E61+E64</f>
        <v>0</v>
      </c>
      <c r="F65" s="16"/>
      <c r="G65" s="481"/>
      <c r="H65" s="483"/>
      <c r="I65" s="483"/>
      <c r="J65" s="484"/>
      <c r="K65" s="16"/>
    </row>
    <row r="66" spans="2:11" ht="15.75">
      <c r="B66" s="386" t="str">
        <f>CONCATENATE(C82,"     ",D82)</f>
        <v>     </v>
      </c>
      <c r="C66" s="494"/>
      <c r="D66" s="493" t="s">
        <v>661</v>
      </c>
      <c r="E66" s="42">
        <f>IF(E65-E34&gt;0,E65-E34,0)</f>
        <v>0</v>
      </c>
      <c r="F66" s="16"/>
      <c r="G66" s="482">
        <f>ROUND(C61*0.05+C61,0)</f>
        <v>29660</v>
      </c>
      <c r="H66" s="483" t="str">
        <f>CONCATENATE("Less ",E3-2," Expenditures + 5%")</f>
        <v>Less 2012 Expenditures + 5%</v>
      </c>
      <c r="I66" s="586"/>
      <c r="J66" s="484"/>
      <c r="K66" s="16"/>
    </row>
    <row r="67" spans="2:11" ht="15.75">
      <c r="B67" s="155"/>
      <c r="C67" s="492" t="s">
        <v>662</v>
      </c>
      <c r="D67" s="598">
        <f>inputOth!$E$35</f>
        <v>0</v>
      </c>
      <c r="E67" s="45">
        <f>ROUND(IF(D67&gt;0,(E66*D67),0),0)</f>
        <v>0</v>
      </c>
      <c r="F67" s="16"/>
      <c r="G67" s="480">
        <f>G64-G66</f>
        <v>-25780</v>
      </c>
      <c r="H67" s="479" t="str">
        <f>CONCATENATE("Projected ",E3+1," Carryover (est.)")</f>
        <v>Projected 2015 Carryover (est.)</v>
      </c>
      <c r="I67" s="589"/>
      <c r="J67" s="478"/>
      <c r="K67" s="16"/>
    </row>
    <row r="68" spans="2:11" ht="15.75">
      <c r="B68" s="18"/>
      <c r="C68" s="680" t="str">
        <f>CONCATENATE("Amount of  ",$E$3-1," Ad Valorem Tax")</f>
        <v>Amount of  2013 Ad Valorem Tax</v>
      </c>
      <c r="D68" s="681"/>
      <c r="E68" s="42">
        <f>E66+E67</f>
        <v>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t="str">
        <f>summ!H16</f>
        <v> </v>
      </c>
      <c r="H71" s="489" t="str">
        <f>CONCATENATE("",E3," Fund Mill Rate")</f>
        <v>2014 Fund Mill Rate</v>
      </c>
      <c r="I71" s="571"/>
      <c r="J71" s="591"/>
      <c r="K71" s="16"/>
    </row>
    <row r="72" spans="2:11" ht="15.75">
      <c r="B72" s="18"/>
      <c r="C72" s="18"/>
      <c r="D72" s="18"/>
      <c r="E72" s="18"/>
      <c r="F72" s="593"/>
      <c r="G72" s="594">
        <f>summ!E16</f>
        <v>3.773</v>
      </c>
      <c r="H72" s="489" t="str">
        <f>CONCATENATE("",E3-1," Fund Mill Rate")</f>
        <v>2013 Fund Mill Rate</v>
      </c>
      <c r="I72" s="571"/>
      <c r="J72" s="591"/>
      <c r="K72" s="16"/>
    </row>
    <row r="73" spans="2:11" ht="15.75">
      <c r="B73" s="18"/>
      <c r="C73" s="222"/>
      <c r="D73" s="222"/>
      <c r="E73" s="222"/>
      <c r="F73" s="577"/>
      <c r="G73" s="595">
        <f>summ!H23</f>
        <v>0</v>
      </c>
      <c r="H73" s="489" t="str">
        <f>CONCATENATE("Total ",E3," Mill Rate")</f>
        <v>Total 2014 Mill Rate</v>
      </c>
      <c r="I73" s="571"/>
      <c r="J73" s="591"/>
      <c r="K73" s="16"/>
    </row>
    <row r="74" spans="2:11" ht="15.75">
      <c r="B74" s="138"/>
      <c r="C74" s="18" t="s">
        <v>228</v>
      </c>
      <c r="D74" s="18"/>
      <c r="E74" s="18"/>
      <c r="F74" s="577"/>
      <c r="G74" s="594">
        <f>summ!E23</f>
        <v>3.773</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Lincoln Fire District</v>
      </c>
      <c r="C1" s="18"/>
      <c r="D1" s="18"/>
      <c r="E1" s="236">
        <f>inputPrYr!$D$6</f>
        <v>2014</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2012</v>
      </c>
      <c r="D5" s="379" t="str">
        <f>CONCATENATE("Estimate for ",E1-1,"")</f>
        <v>Estimate for 2013</v>
      </c>
      <c r="E5" s="170" t="str">
        <f>CONCATENATE("Year for ",E1,"")</f>
        <v>Year for 2014</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2015</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2015</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126</v>
      </c>
      <c r="C54" s="375">
        <f>C30-C53</f>
        <v>0</v>
      </c>
      <c r="D54" s="375">
        <f>D30-D53</f>
        <v>0</v>
      </c>
      <c r="E54" s="241" t="s">
        <v>28</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28</v>
      </c>
      <c r="F55" s="251"/>
      <c r="G55" s="482">
        <f>IF(E59&gt;0,E58,E60)</f>
        <v>0</v>
      </c>
      <c r="H55" s="483" t="str">
        <f>CONCATENATE("",E1," Ad Valorem Tax (est.)")</f>
        <v>2014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2012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0" t="str">
        <f>CONCATENATE("Amount of  ",$E$1-1," Ad Valorem Tax")</f>
        <v>Amount of  2013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0</v>
      </c>
      <c r="H65" s="489" t="str">
        <f>CONCATENATE("Total ",E1," Mill Rate")</f>
        <v>Total 2014 Mill Rate</v>
      </c>
      <c r="I65" s="571"/>
      <c r="J65" s="591"/>
      <c r="K65" s="599"/>
    </row>
    <row r="66" spans="6:11" ht="15.75">
      <c r="F66"/>
      <c r="G66" s="594">
        <f>summ!E23</f>
        <v>3.773</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rgb="FF002060"/>
    <pageSetUpPr fitToPage="1"/>
  </sheetPr>
  <dimension ref="A1:L41"/>
  <sheetViews>
    <sheetView tabSelected="1" zoomScalePageLayoutView="0" workbookViewId="0" topLeftCell="A1">
      <selection activeCell="B22" sqref="B22"/>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Lincoln Fire District</v>
      </c>
      <c r="B1" s="255"/>
      <c r="C1" s="60"/>
      <c r="D1" s="60"/>
      <c r="E1" s="60"/>
      <c r="F1" s="256" t="s">
        <v>232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Machine Fund</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17554</v>
      </c>
      <c r="C7" s="268" t="s">
        <v>240</v>
      </c>
      <c r="D7" s="267"/>
      <c r="E7" s="268" t="s">
        <v>240</v>
      </c>
      <c r="F7" s="267"/>
      <c r="G7" s="268" t="s">
        <v>240</v>
      </c>
      <c r="H7" s="267"/>
      <c r="I7" s="268" t="s">
        <v>240</v>
      </c>
      <c r="J7" s="267"/>
      <c r="K7" s="269">
        <f>SUM(B7+D7+F7+H7+J7)</f>
        <v>17554</v>
      </c>
    </row>
    <row r="8" spans="1:11" ht="15.75">
      <c r="A8" s="270" t="s">
        <v>127</v>
      </c>
      <c r="B8" s="271"/>
      <c r="C8" s="270" t="s">
        <v>127</v>
      </c>
      <c r="D8" s="272"/>
      <c r="E8" s="270" t="s">
        <v>127</v>
      </c>
      <c r="F8" s="255"/>
      <c r="G8" s="270" t="s">
        <v>127</v>
      </c>
      <c r="H8" s="60"/>
      <c r="I8" s="270" t="s">
        <v>127</v>
      </c>
      <c r="J8" s="60"/>
      <c r="K8" s="255"/>
    </row>
    <row r="9" spans="1:11" ht="15.75">
      <c r="A9" s="273" t="s">
        <v>790</v>
      </c>
      <c r="B9" s="267">
        <v>6118</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6118</v>
      </c>
      <c r="C17" s="270" t="s">
        <v>39</v>
      </c>
      <c r="D17" s="269">
        <f>SUM(D9:D16)</f>
        <v>0</v>
      </c>
      <c r="E17" s="270" t="s">
        <v>39</v>
      </c>
      <c r="F17" s="283">
        <f>SUM(F9:F16)</f>
        <v>0</v>
      </c>
      <c r="G17" s="270" t="s">
        <v>39</v>
      </c>
      <c r="H17" s="269">
        <f>SUM(H9:H16)</f>
        <v>0</v>
      </c>
      <c r="I17" s="270" t="s">
        <v>39</v>
      </c>
      <c r="J17" s="269">
        <f>SUM(J9:J16)</f>
        <v>0</v>
      </c>
      <c r="K17" s="269">
        <f>SUM(B17+D17+F17+H17+J17)</f>
        <v>6118</v>
      </c>
    </row>
    <row r="18" spans="1:11" ht="15.75">
      <c r="A18" s="270" t="s">
        <v>40</v>
      </c>
      <c r="B18" s="269">
        <f>SUM(B7+B17)</f>
        <v>23672</v>
      </c>
      <c r="C18" s="270" t="s">
        <v>40</v>
      </c>
      <c r="D18" s="269">
        <f>SUM(D7+D17)</f>
        <v>0</v>
      </c>
      <c r="E18" s="270" t="s">
        <v>40</v>
      </c>
      <c r="F18" s="269">
        <f>SUM(F7+F17)</f>
        <v>0</v>
      </c>
      <c r="G18" s="270" t="s">
        <v>40</v>
      </c>
      <c r="H18" s="269">
        <f>SUM(H7+H17)</f>
        <v>0</v>
      </c>
      <c r="I18" s="270" t="s">
        <v>40</v>
      </c>
      <c r="J18" s="269">
        <f>SUM(J7+J17)</f>
        <v>0</v>
      </c>
      <c r="K18" s="269">
        <f>SUM(B18+D18+F18+H18+J18)</f>
        <v>23672</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t="s">
        <v>791</v>
      </c>
      <c r="B21" s="267">
        <v>5758</v>
      </c>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5758</v>
      </c>
      <c r="C28" s="270" t="s">
        <v>42</v>
      </c>
      <c r="D28" s="269">
        <f>SUM(D20:D27)</f>
        <v>0</v>
      </c>
      <c r="E28" s="270" t="s">
        <v>42</v>
      </c>
      <c r="F28" s="283">
        <f>SUM(F20:F27)</f>
        <v>0</v>
      </c>
      <c r="G28" s="270" t="s">
        <v>42</v>
      </c>
      <c r="H28" s="283">
        <f>SUM(H20:H27)</f>
        <v>0</v>
      </c>
      <c r="I28" s="270" t="s">
        <v>42</v>
      </c>
      <c r="J28" s="269">
        <f>SUM(J20:J27)</f>
        <v>0</v>
      </c>
      <c r="K28" s="269">
        <f>SUM(B28+D28+F28+H28+J28)</f>
        <v>5758</v>
      </c>
    </row>
    <row r="29" spans="1:12" ht="15.75">
      <c r="A29" s="270" t="s">
        <v>241</v>
      </c>
      <c r="B29" s="269">
        <f>SUM(B18-B28)</f>
        <v>17914</v>
      </c>
      <c r="C29" s="270" t="s">
        <v>241</v>
      </c>
      <c r="D29" s="269">
        <f>SUM(D18-D28)</f>
        <v>0</v>
      </c>
      <c r="E29" s="270" t="s">
        <v>241</v>
      </c>
      <c r="F29" s="269">
        <f>SUM(F18-F28)</f>
        <v>0</v>
      </c>
      <c r="G29" s="270" t="s">
        <v>241</v>
      </c>
      <c r="H29" s="269">
        <f>SUM(H18-H28)</f>
        <v>0</v>
      </c>
      <c r="I29" s="270" t="s">
        <v>241</v>
      </c>
      <c r="J29" s="269">
        <f>SUM(J18-J28)</f>
        <v>0</v>
      </c>
      <c r="K29" s="284">
        <f>SUM(B29+D29+F29+H29+J29)</f>
        <v>17914</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17914</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Lincoln Fire District</v>
      </c>
      <c r="C1" s="18"/>
      <c r="D1" s="18"/>
      <c r="E1" s="182"/>
    </row>
    <row r="2" spans="2:5" ht="15.75">
      <c r="B2" s="18" t="str">
        <f>inputPrYr!D4</f>
        <v>Dickinson County</v>
      </c>
      <c r="C2" s="18"/>
      <c r="D2" s="18"/>
      <c r="E2" s="138"/>
    </row>
    <row r="3" spans="2:6" ht="15.75">
      <c r="B3" s="25" t="s">
        <v>81</v>
      </c>
      <c r="C3" s="222"/>
      <c r="D3" s="222"/>
      <c r="E3" s="18">
        <f>inputPrYr!D6</f>
        <v>2014</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2015</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2015</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28</v>
      </c>
      <c r="F35" s="16"/>
      <c r="G35" s="490">
        <f>E21</f>
        <v>0</v>
      </c>
      <c r="H35" s="483" t="str">
        <f>CONCATENATE("",E3," Non-AV Receipts (est.)")</f>
        <v>2014 Non-AV Receipts (est.)</v>
      </c>
      <c r="I35" s="586"/>
      <c r="J35" s="604"/>
      <c r="K35" s="16"/>
    </row>
    <row r="36" spans="2:11" ht="15.75">
      <c r="B36" s="138"/>
      <c r="C36" s="682" t="s">
        <v>659</v>
      </c>
      <c r="D36" s="683"/>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0" t="str">
        <f>CONCATENATE("Amount of  ",$E$3-1," Ad Valorem Tax")</f>
        <v>Amount of  2013 Ad Valorem Tax</v>
      </c>
      <c r="D40" s="681"/>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125</v>
      </c>
      <c r="C45" s="367"/>
      <c r="D45" s="374">
        <f>C72</f>
        <v>0</v>
      </c>
      <c r="E45" s="45">
        <f>D72</f>
        <v>0</v>
      </c>
      <c r="F45" s="16"/>
      <c r="G45" s="594" t="str">
        <f>summ!E18</f>
        <v>  </v>
      </c>
      <c r="H45" s="489" t="str">
        <f>CONCATENATE("",E3-1," Fund Mill Rate")</f>
        <v>2013 Fund Mill Rate</v>
      </c>
      <c r="I45" s="571"/>
      <c r="J45" s="591"/>
      <c r="K45" s="16"/>
    </row>
    <row r="46" spans="2:11" ht="15.75">
      <c r="B46" s="226" t="s">
        <v>127</v>
      </c>
      <c r="C46" s="227"/>
      <c r="D46" s="227"/>
      <c r="E46" s="123"/>
      <c r="F46" s="16"/>
      <c r="G46" s="595">
        <f>summ!H23</f>
        <v>0</v>
      </c>
      <c r="H46" s="489" t="str">
        <f>CONCATENATE("Total ",E3," Mill Rate")</f>
        <v>Total 2014 Mill Rate</v>
      </c>
      <c r="I46" s="571"/>
      <c r="J46" s="591"/>
      <c r="K46" s="16"/>
    </row>
    <row r="47" spans="2:11" ht="15.75">
      <c r="B47" s="119" t="s">
        <v>33</v>
      </c>
      <c r="C47" s="367"/>
      <c r="D47" s="374">
        <f>IF(inputPrYr!H18&gt;0,inputPrYr!G23,inputPrYr!E23)</f>
        <v>0</v>
      </c>
      <c r="E47" s="128" t="s">
        <v>28</v>
      </c>
      <c r="F47" s="16"/>
      <c r="G47" s="594">
        <f>summ!E23</f>
        <v>3.773</v>
      </c>
      <c r="H47" s="596" t="str">
        <f>CONCATENATE("Total ",E3-1," Mill Rate")</f>
        <v>Total 2013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2015</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2015</v>
      </c>
      <c r="H72" s="691"/>
      <c r="I72" s="691"/>
      <c r="J72" s="690"/>
      <c r="K72" s="16"/>
    </row>
    <row r="73" spans="2:11" ht="15.75">
      <c r="B73" s="138" t="str">
        <f>CONCATENATE("",E3-2,"/",E3-1," Budget Authority Amount:")</f>
        <v>2012/2013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2014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0" t="str">
        <f>CONCATENATE("Amount of  ",$E$3-1," Ad Valorem Tax")</f>
        <v>Amount of  2013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44</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0</v>
      </c>
      <c r="H86" s="489" t="str">
        <f>CONCATENATE("Total ",E3," Mill Rate")</f>
        <v>Total 2014 Mill Rate</v>
      </c>
      <c r="I86" s="571"/>
      <c r="J86" s="591"/>
      <c r="K86" s="16"/>
    </row>
    <row r="87" spans="3:11" ht="19.5" customHeight="1">
      <c r="C87" s="95">
        <f>IF(C33&gt;C35,"See Tab A","")</f>
      </c>
      <c r="D87" s="95">
        <f>IF(D33&gt;D35,"See Tab C","")</f>
      </c>
      <c r="F87" s="16"/>
      <c r="G87" s="594">
        <f>summ!E23</f>
        <v>3.773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Lincoln Fire District</v>
      </c>
      <c r="C1" s="222"/>
      <c r="D1" s="18"/>
      <c r="E1" s="182"/>
    </row>
    <row r="2" spans="2:5" ht="15.75">
      <c r="B2" s="18" t="str">
        <f>inputPrYr!D4</f>
        <v>Dickinson County</v>
      </c>
      <c r="C2" s="222"/>
      <c r="D2" s="18"/>
      <c r="E2" s="138"/>
    </row>
    <row r="3" spans="2:5" ht="15.75">
      <c r="B3" s="25" t="s">
        <v>82</v>
      </c>
      <c r="C3" s="222"/>
      <c r="D3" s="222"/>
      <c r="E3" s="138">
        <f>inputPrYr!D6</f>
        <v>2014</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2014</v>
      </c>
    </row>
    <row r="4" spans="1:8" ht="15.75">
      <c r="A4" s="638" t="str">
        <f>inputPrYr!D3</f>
        <v>Lincoln Fire District</v>
      </c>
      <c r="B4" s="638"/>
      <c r="C4" s="638"/>
      <c r="D4" s="638"/>
      <c r="E4" s="638"/>
      <c r="F4" s="638"/>
      <c r="G4" s="638"/>
      <c r="H4" s="638"/>
    </row>
    <row r="5" spans="1:8" ht="15.75">
      <c r="A5" s="705" t="str">
        <f>inputPrYr!D4</f>
        <v>Dickinson County</v>
      </c>
      <c r="B5" s="705"/>
      <c r="C5" s="705"/>
      <c r="D5" s="705"/>
      <c r="E5" s="705"/>
      <c r="F5" s="705"/>
      <c r="G5" s="705"/>
      <c r="H5" s="705"/>
    </row>
    <row r="6" spans="1:8" ht="15.75">
      <c r="A6" s="656" t="str">
        <f>CONCATENATE("will meet on ",inputBudSum!B7," at ",inputBudSum!B9," at ",inputBudSum!B11," for the purpose of hearing and")</f>
        <v>will meet on  at  at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4" t="str">
        <f>CONCATENATE("Estimated Value Of One Mill For ",I3,"")</f>
        <v>Estimated Value Of One Mill For 2014</v>
      </c>
      <c r="K12" s="695"/>
      <c r="L12" s="695"/>
      <c r="M12" s="696"/>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2013 Ad Valorem Tax</v>
      </c>
      <c r="H14" s="293" t="s">
        <v>566</v>
      </c>
      <c r="J14" s="501" t="s">
        <v>667</v>
      </c>
      <c r="K14" s="502"/>
      <c r="L14" s="502"/>
      <c r="M14" s="503">
        <f>ROUND(F27/1000,0)</f>
        <v>5675</v>
      </c>
    </row>
    <row r="15" spans="1:13" ht="15.75">
      <c r="A15" s="169" t="s">
        <v>52</v>
      </c>
      <c r="B15" s="114" t="s">
        <v>53</v>
      </c>
      <c r="C15" s="294" t="s">
        <v>198</v>
      </c>
      <c r="D15" s="114" t="s">
        <v>53</v>
      </c>
      <c r="E15" s="294" t="s">
        <v>198</v>
      </c>
      <c r="F15" s="114" t="s">
        <v>561</v>
      </c>
      <c r="G15" s="704"/>
      <c r="H15" s="294" t="s">
        <v>198</v>
      </c>
      <c r="J15" s="16"/>
      <c r="K15" s="16"/>
      <c r="L15" s="16"/>
      <c r="M15" s="16"/>
    </row>
    <row r="16" spans="1:13" ht="15.75">
      <c r="A16" s="36" t="str">
        <f>inputPrYr!B19</f>
        <v>General</v>
      </c>
      <c r="B16" s="123">
        <f>IF(gen!$C$61&lt;&gt;0,gen!$C$61,"  ")</f>
        <v>28248</v>
      </c>
      <c r="C16" s="624">
        <f>IF(inputPrYr!D38&gt;0,inputPrYr!D38,"  ")</f>
        <v>3.703</v>
      </c>
      <c r="D16" s="561">
        <f>IF(gen!$D$61&lt;&gt;0,gen!$D$61,"  ")</f>
        <v>28627</v>
      </c>
      <c r="E16" s="627">
        <f>IF(inputOth!D16&gt;0,inputOth!D16,"  ")</f>
        <v>3.773</v>
      </c>
      <c r="F16" s="561" t="str">
        <f>IF(gen!$E$61&lt;&gt;0,gen!$E$61,"  ")</f>
        <v>  </v>
      </c>
      <c r="G16" s="243" t="str">
        <f>IF(gen!$E$68&lt;&gt;0,gen!$E$68,"  ")</f>
        <v>  </v>
      </c>
      <c r="H16" s="624" t="str">
        <f>IF(gen!E68&gt;0,ROUND(G16/$F$27*1000,3)," ")</f>
        <v> </v>
      </c>
      <c r="J16" s="694" t="str">
        <f>CONCATENATE("Want The Mill Rate The Same As For ",I3-1,"?")</f>
        <v>Want The Mill Rate The Same As For 2013?</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3.773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21411</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v>5758</v>
      </c>
      <c r="C22" s="625"/>
      <c r="D22" s="623"/>
      <c r="E22" s="628"/>
      <c r="F22" s="623"/>
      <c r="G22" s="630"/>
      <c r="H22" s="625"/>
      <c r="J22" s="512"/>
      <c r="K22" s="512"/>
      <c r="L22" s="512"/>
      <c r="M22" s="512"/>
    </row>
    <row r="23" spans="1:13" ht="15.75">
      <c r="A23" s="33" t="s">
        <v>134</v>
      </c>
      <c r="B23" s="621">
        <f>SUM(B16:B22)</f>
        <v>34006</v>
      </c>
      <c r="C23" s="626">
        <f aca="true" t="shared" si="0" ref="C23:H23">SUM(C16:C21)</f>
        <v>3.703</v>
      </c>
      <c r="D23" s="621">
        <f t="shared" si="0"/>
        <v>28627</v>
      </c>
      <c r="E23" s="629">
        <f t="shared" si="0"/>
        <v>3.773</v>
      </c>
      <c r="F23" s="621">
        <f t="shared" si="0"/>
        <v>0</v>
      </c>
      <c r="G23" s="621">
        <f t="shared" si="0"/>
        <v>0</v>
      </c>
      <c r="H23" s="629">
        <f t="shared" si="0"/>
        <v>0</v>
      </c>
      <c r="J23" s="694" t="str">
        <f>CONCATENATE("Impact On Keeping The Same Mill Rate As For ",I3-1,"")</f>
        <v>Impact On Keeping The Same Mill Rate As For 2013</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34006</v>
      </c>
      <c r="C25" s="296"/>
      <c r="D25" s="129">
        <f>SUM(D23-D24)</f>
        <v>28627</v>
      </c>
      <c r="E25" s="296"/>
      <c r="F25" s="485">
        <f>SUM(F23-F24)</f>
        <v>0</v>
      </c>
      <c r="G25" s="238"/>
      <c r="H25" s="295"/>
      <c r="J25" s="504" t="str">
        <f>CONCATENATE("",I3," Ad Valorem Tax Revenue:")</f>
        <v>2014 Ad Valorem Tax Revenue:</v>
      </c>
      <c r="K25" s="499"/>
      <c r="L25" s="499"/>
      <c r="M25" s="500">
        <f>G23</f>
        <v>0</v>
      </c>
    </row>
    <row r="26" spans="1:13" ht="16.5" thickTop="1">
      <c r="A26" s="33" t="s">
        <v>54</v>
      </c>
      <c r="B26" s="621">
        <f>inputPrYr!E44</f>
        <v>24146</v>
      </c>
      <c r="C26" s="215"/>
      <c r="D26" s="621">
        <f>inputPrYr!E24</f>
        <v>25111</v>
      </c>
      <c r="E26" s="215"/>
      <c r="F26" s="83" t="s">
        <v>174</v>
      </c>
      <c r="G26" s="18"/>
      <c r="H26" s="18"/>
      <c r="J26" s="504" t="str">
        <f>CONCATENATE("",I3-1," Ad Valorem Tax Revenue:")</f>
        <v>2013 Ad Valorem Tax Revenue:</v>
      </c>
      <c r="K26" s="499"/>
      <c r="L26" s="499"/>
      <c r="M26" s="513">
        <f>ROUND(F27*M18/1000,0)</f>
        <v>21411</v>
      </c>
    </row>
    <row r="27" spans="1:13" ht="15.75">
      <c r="A27" s="33" t="s">
        <v>170</v>
      </c>
      <c r="B27" s="42">
        <f>inputPrYr!E45</f>
        <v>6520765</v>
      </c>
      <c r="C27" s="215"/>
      <c r="D27" s="42">
        <f>inputOth!E24</f>
        <v>6655368</v>
      </c>
      <c r="E27" s="215"/>
      <c r="F27" s="42">
        <f>inputOth!E7</f>
        <v>5674762</v>
      </c>
      <c r="G27" s="18"/>
      <c r="H27" s="18"/>
      <c r="J27" s="514" t="s">
        <v>668</v>
      </c>
      <c r="K27" s="515"/>
      <c r="L27" s="515"/>
      <c r="M27" s="503">
        <f>M25-M26</f>
        <v>-21411</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4" t="s">
        <v>669</v>
      </c>
      <c r="K29" s="697"/>
      <c r="L29" s="697"/>
      <c r="M29" s="698"/>
    </row>
    <row r="30" spans="1:13" ht="15.75">
      <c r="A30" s="17" t="s">
        <v>167</v>
      </c>
      <c r="B30" s="98">
        <f>I3-3</f>
        <v>2011</v>
      </c>
      <c r="C30" s="18"/>
      <c r="D30" s="98">
        <f>I3-2</f>
        <v>2012</v>
      </c>
      <c r="E30" s="18"/>
      <c r="F30" s="98">
        <f>I3-1</f>
        <v>2013</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0</v>
      </c>
    </row>
    <row r="32" spans="1:13" ht="15.75">
      <c r="A32" s="18" t="s">
        <v>57</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1">
        <f>inputBudSum!B3</f>
        <v>0</v>
      </c>
      <c r="B40" s="664"/>
      <c r="C40" s="99"/>
      <c r="D40" s="18"/>
      <c r="E40" s="18"/>
      <c r="F40" s="18"/>
      <c r="G40" s="18"/>
      <c r="H40" s="52"/>
    </row>
    <row r="41" spans="1:8" ht="15.75">
      <c r="A41" s="706">
        <f>inputBudSum!B5</f>
        <v>0</v>
      </c>
      <c r="B41" s="707"/>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Lincoln Fire District</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10"/>
      <c r="D4" s="710"/>
      <c r="E4" s="702"/>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2013 July 1 Valuation:</v>
      </c>
      <c r="B16" s="709"/>
      <c r="C16" s="711"/>
      <c r="D16" s="308">
        <f>inputOth!E7</f>
        <v>5674762</v>
      </c>
      <c r="E16" s="18"/>
      <c r="F16" s="52"/>
    </row>
    <row r="17" spans="1:6" ht="15.75">
      <c r="A17" s="18"/>
      <c r="B17" s="18"/>
      <c r="C17" s="18"/>
      <c r="D17" s="18"/>
      <c r="E17" s="18"/>
      <c r="F17" s="52"/>
    </row>
    <row r="18" spans="1:6" ht="15.75">
      <c r="A18" s="18"/>
      <c r="B18" s="711" t="s">
        <v>319</v>
      </c>
      <c r="C18" s="711"/>
      <c r="D18" s="309">
        <f>IF(D16&gt;0,(D16*0.001),"")</f>
        <v>5674.762</v>
      </c>
      <c r="E18" s="18"/>
      <c r="F18" s="52"/>
    </row>
    <row r="19" spans="1:6" ht="15.75">
      <c r="A19" s="18"/>
      <c r="B19" s="138"/>
      <c r="C19" s="138"/>
      <c r="D19" s="310"/>
      <c r="E19" s="18"/>
      <c r="F19" s="52"/>
    </row>
    <row r="20" spans="1:6" ht="15.75">
      <c r="A20" s="708" t="s">
        <v>317</v>
      </c>
      <c r="B20" s="702"/>
      <c r="C20" s="702"/>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Lincoln Fire District District with respect to financing the 2014 annual budget for Lincoln Fire District , Dickinson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Lincoln Fire District district budget exceed the amount levied to finance the</v>
      </c>
      <c r="C9"/>
      <c r="D9"/>
      <c r="E9"/>
      <c r="F9"/>
      <c r="G9"/>
      <c r="H9"/>
    </row>
    <row r="10" spans="2:8" ht="15.75">
      <c r="B10" s="12" t="str">
        <f>CONCATENATE("",inputPrYr!D6-1," ",inputPrYr!D3," except with regard to revenue produced and attributable to the")</f>
        <v>2013 Lincoln Fire District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Lincoln Fire District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Lincoln Fire District that is our desire to notify the public of the possibility of increased property taxes to finance the 2014 Lincoln Fire District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2013 by the Lincoln Fire District District Board, Dickinson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Lincoln Fire District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2013</v>
      </c>
      <c r="E17" s="644" t="str">
        <f>CONCATENATE("Amount of ",D6-2,"     Ad Valorem Tax")</f>
        <v>Amount of 2012     Ad Valorem Tax</v>
      </c>
      <c r="G17" s="102" t="s">
        <v>707</v>
      </c>
      <c r="H17" s="111" t="s">
        <v>43</v>
      </c>
    </row>
    <row r="18" spans="1:8" ht="15.75">
      <c r="A18" s="17" t="s">
        <v>8</v>
      </c>
      <c r="B18" s="18"/>
      <c r="C18" s="30" t="s">
        <v>9</v>
      </c>
      <c r="D18" s="32" t="s">
        <v>277</v>
      </c>
      <c r="E18" s="645"/>
      <c r="G18" s="114" t="str">
        <f>CONCATENATE("",D6-2," Ad Valorem Tax")</f>
        <v>2012 Ad Valorem Tax</v>
      </c>
      <c r="H18" s="535">
        <v>0</v>
      </c>
    </row>
    <row r="19" spans="1:7" ht="15.75">
      <c r="A19" s="18"/>
      <c r="B19" s="33" t="s">
        <v>10</v>
      </c>
      <c r="C19" s="611"/>
      <c r="D19" s="35">
        <v>28627</v>
      </c>
      <c r="E19" s="35">
        <v>25111</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25111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28627</v>
      </c>
      <c r="E28" s="37"/>
    </row>
    <row r="29" spans="1:5" ht="15.75">
      <c r="A29" s="18" t="s">
        <v>244</v>
      </c>
      <c r="B29" s="18"/>
      <c r="C29" s="18"/>
      <c r="D29" s="18"/>
      <c r="E29" s="37"/>
    </row>
    <row r="30" spans="1:5" ht="15.75">
      <c r="A30" s="18">
        <v>1</v>
      </c>
      <c r="B30" s="46" t="s">
        <v>787</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3.703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3.703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24146</v>
      </c>
    </row>
    <row r="45" spans="1:5" ht="15.75">
      <c r="A45" s="49" t="str">
        <f>CONCATENATE("Assessed Valuation (",D6-2," budget column)")</f>
        <v>Assessed Valuation (2012 budget column)</v>
      </c>
      <c r="B45" s="27"/>
      <c r="C45" s="18"/>
      <c r="D45" s="18"/>
      <c r="E45" s="51">
        <v>6520765</v>
      </c>
    </row>
    <row r="46" spans="1:5" ht="15.75">
      <c r="A46" s="18"/>
      <c r="B46" s="18"/>
      <c r="C46" s="18"/>
      <c r="D46" s="18"/>
      <c r="E46" s="37"/>
    </row>
    <row r="47" spans="1:5" ht="15.75">
      <c r="A47" s="27" t="s">
        <v>209</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2012 'total expenditures' exceed your 2012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2014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2012 budget was amended, did you</v>
      </c>
    </row>
    <row r="26" ht="15">
      <c r="A26" s="356" t="s">
        <v>349</v>
      </c>
    </row>
    <row r="27" ht="15">
      <c r="A27" s="356"/>
    </row>
    <row r="28" ht="15">
      <c r="A28" s="356" t="str">
        <f>CONCATENATE("Next, look to see if any of your ",inputPrYr!D6-2," expenditures can be")</f>
        <v>Next, look to see if any of your 2012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2012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2012 financial records have been closed?</v>
      </c>
    </row>
    <row r="63" ht="15">
      <c r="A63" s="356" t="s">
        <v>378</v>
      </c>
    </row>
    <row r="64" ht="15">
      <c r="A64" s="356" t="str">
        <f>CONCATENATE("(i.e. an audit for ",inputPrYr!D6-2," has been completed, or the ",inputPrYr!D6)</f>
        <v>(i.e. an audit for 2012 has been completed, or the 2014</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2012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2013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2014 'total expenditures' exceed your 2014</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3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Lincoln Fire District</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5674762</v>
      </c>
    </row>
    <row r="8" spans="1:5" ht="15.75">
      <c r="A8" s="66" t="str">
        <f>CONCATENATE("New Improvements for ",inputPrYr!D6-1,"")</f>
        <v>New Improvements for 2013</v>
      </c>
      <c r="B8" s="67"/>
      <c r="C8" s="67"/>
      <c r="D8" s="67"/>
      <c r="E8" s="68">
        <v>42458</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26</v>
      </c>
      <c r="B15" s="641"/>
      <c r="C15" s="62"/>
      <c r="D15" s="73" t="s">
        <v>63</v>
      </c>
      <c r="E15" s="72"/>
    </row>
    <row r="16" spans="1:5" ht="15.75">
      <c r="A16" s="65" t="s">
        <v>10</v>
      </c>
      <c r="B16" s="40"/>
      <c r="C16" s="69"/>
      <c r="D16" s="74">
        <v>3.773</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3.773</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6655368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3597</v>
      </c>
    </row>
    <row r="28" spans="1:5" ht="15.75">
      <c r="A28" s="66" t="s">
        <v>15</v>
      </c>
      <c r="B28" s="67"/>
      <c r="C28" s="67"/>
      <c r="D28" s="84"/>
      <c r="E28" s="35">
        <v>69</v>
      </c>
    </row>
    <row r="29" spans="1:5" ht="15.75">
      <c r="A29" s="66" t="s">
        <v>171</v>
      </c>
      <c r="B29" s="67"/>
      <c r="C29" s="67"/>
      <c r="D29" s="84"/>
      <c r="E29" s="35">
        <v>214</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212</v>
      </c>
      <c r="B40" s="91" t="s">
        <v>213</v>
      </c>
      <c r="C40" s="92" t="s">
        <v>214</v>
      </c>
      <c r="D40" s="93"/>
      <c r="E40" s="93"/>
    </row>
    <row r="41" spans="1:5" ht="15.75">
      <c r="A41" s="94" t="str">
        <f>inputPrYr!B19</f>
        <v>General</v>
      </c>
      <c r="B41" s="56">
        <v>28450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c r="C7" s="344"/>
      <c r="D7" s="342" t="s">
        <v>709</v>
      </c>
      <c r="E7" s="340"/>
      <c r="F7" s="340"/>
      <c r="J7" s="540" t="s">
        <v>718</v>
      </c>
    </row>
    <row r="8" spans="1:10" ht="15.75">
      <c r="A8" s="342"/>
      <c r="B8" s="345"/>
      <c r="C8" s="346"/>
      <c r="D8" s="541">
        <f>IF(B7="","",CONCATENATE("Latest date for notice to be published in your newspaper: ",G18," ",G22,", ",G23))</f>
      </c>
      <c r="E8" s="340"/>
      <c r="F8" s="340"/>
      <c r="J8" s="540" t="s">
        <v>719</v>
      </c>
    </row>
    <row r="9" spans="1:10" ht="15.75">
      <c r="A9" s="342" t="s">
        <v>322</v>
      </c>
      <c r="B9" s="343"/>
      <c r="C9" s="347"/>
      <c r="D9" s="342"/>
      <c r="E9" s="340"/>
      <c r="F9" s="340"/>
      <c r="J9" s="540" t="s">
        <v>720</v>
      </c>
    </row>
    <row r="10" spans="1:10" ht="15.75">
      <c r="A10" s="342"/>
      <c r="B10" s="342"/>
      <c r="C10" s="342"/>
      <c r="D10" s="342"/>
      <c r="E10" s="340"/>
      <c r="F10" s="340"/>
      <c r="J10" s="540" t="s">
        <v>721</v>
      </c>
    </row>
    <row r="11" spans="1:10" ht="15.75">
      <c r="A11" s="342" t="s">
        <v>323</v>
      </c>
      <c r="B11" s="348"/>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c r="C14" s="348"/>
      <c r="D14" s="348"/>
      <c r="E14" s="349"/>
      <c r="F14" s="340"/>
    </row>
    <row r="17" spans="1:6" ht="15.75">
      <c r="A17" s="653" t="s">
        <v>325</v>
      </c>
      <c r="B17" s="653"/>
      <c r="C17" s="342"/>
      <c r="D17" s="342"/>
      <c r="E17" s="342"/>
      <c r="F17" s="340"/>
    </row>
    <row r="18" spans="1:7" ht="15.75">
      <c r="A18" s="342"/>
      <c r="B18" s="342"/>
      <c r="C18" s="342"/>
      <c r="D18" s="342"/>
      <c r="E18" s="342"/>
      <c r="F18" s="340"/>
      <c r="G18" s="540">
        <f ca="1">IF(B7="","",INDIRECT(G19))</f>
      </c>
    </row>
    <row r="19" spans="1:7" ht="15.75">
      <c r="A19" s="342" t="s">
        <v>321</v>
      </c>
      <c r="B19" s="345" t="s">
        <v>326</v>
      </c>
      <c r="C19" s="342"/>
      <c r="D19" s="342"/>
      <c r="E19" s="342"/>
      <c r="G19" s="542">
        <f>IF(B7="","",CONCATENATE("J",G21))</f>
      </c>
    </row>
    <row r="20" spans="1:7" ht="15.75">
      <c r="A20" s="342"/>
      <c r="B20" s="342"/>
      <c r="C20" s="342"/>
      <c r="D20" s="342"/>
      <c r="E20" s="342"/>
      <c r="G20" s="543">
        <f>B7-10</f>
        <v>-10</v>
      </c>
    </row>
    <row r="21" spans="1:7" ht="15.75">
      <c r="A21" s="342" t="s">
        <v>322</v>
      </c>
      <c r="B21" s="342" t="s">
        <v>327</v>
      </c>
      <c r="C21" s="342"/>
      <c r="D21" s="342"/>
      <c r="E21" s="342"/>
      <c r="G21" s="544">
        <f>IF(B7="","",MONTH(G20))</f>
      </c>
    </row>
    <row r="22" spans="1:7" ht="15.75">
      <c r="A22" s="342"/>
      <c r="B22" s="342"/>
      <c r="C22" s="342"/>
      <c r="D22" s="342"/>
      <c r="E22" s="342"/>
      <c r="G22" s="545">
        <f>IF(B7="","",DAY(G20))</f>
      </c>
    </row>
    <row r="23" spans="1:7" ht="15.75">
      <c r="A23" s="342" t="s">
        <v>323</v>
      </c>
      <c r="B23" s="342" t="s">
        <v>329</v>
      </c>
      <c r="C23" s="342"/>
      <c r="D23" s="342"/>
      <c r="E23" s="342"/>
      <c r="G23" s="546">
        <f>IF(B7="","",YEAR(G20))</f>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State of Kansas</v>
      </c>
      <c r="B4" s="656"/>
      <c r="C4" s="656"/>
      <c r="D4" s="656"/>
      <c r="E4" s="656"/>
      <c r="F4" s="656"/>
      <c r="G4" s="656"/>
    </row>
    <row r="5" spans="1:7" ht="15.75">
      <c r="A5" s="97" t="s">
        <v>156</v>
      </c>
      <c r="B5" s="24"/>
      <c r="C5" s="24"/>
      <c r="D5" s="24"/>
      <c r="E5" s="24"/>
      <c r="F5" s="24"/>
      <c r="G5" s="24"/>
    </row>
    <row r="6" spans="1:7" ht="15.75">
      <c r="A6" s="638" t="str">
        <f>inputPrYr!D3</f>
        <v>Lincoln Fire District</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2013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t="str">
        <f>IF(gen!$E$61&lt;&gt;0,gen!$E$61,"  ")</f>
        <v>  </v>
      </c>
      <c r="F23" s="559" t="str">
        <f>IF(gen!$E$68&lt;&gt;0,gen!$E$68,"  ")</f>
        <v>  </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134</v>
      </c>
      <c r="B30" s="67"/>
      <c r="C30" s="116"/>
      <c r="D30" s="128" t="s">
        <v>28</v>
      </c>
      <c r="E30" s="565">
        <f>SUM(E23:E28)</f>
        <v>0</v>
      </c>
      <c r="F30" s="566">
        <f>SUM(F23:F28)</f>
        <v>0</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2014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2013</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Lincoln Fire District</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2">
        <f>inputPrYr!E24</f>
        <v>25111</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25111</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42458</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0</v>
      </c>
      <c r="F14" s="146"/>
      <c r="G14" s="37"/>
      <c r="H14" s="37"/>
      <c r="I14" s="149"/>
      <c r="J14" s="37"/>
    </row>
    <row r="15" spans="1:10" ht="15.75">
      <c r="A15" s="145"/>
      <c r="B15" s="18" t="s">
        <v>99</v>
      </c>
      <c r="C15" s="18" t="str">
        <f>CONCATENATE("Personal Property ",J1-2,"")</f>
        <v>Personal Property 2012</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42458</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5674762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5632304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0.007538300489462217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189</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25300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25300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Lincoln Fire District</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25111</v>
      </c>
      <c r="D11" s="123">
        <f>IF(E17=0,0,E17-D12-D13-D14)</f>
        <v>3597</v>
      </c>
      <c r="E11" s="123">
        <f>IF(E19=0,0,E19-E12-E13-E14)</f>
        <v>69</v>
      </c>
      <c r="F11" s="123">
        <f>IF(E21=0,0,E21-F12-F13-F14)</f>
        <v>214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25111</v>
      </c>
      <c r="D15" s="130">
        <f>SUM(D11:D14)</f>
        <v>3597</v>
      </c>
      <c r="E15" s="130">
        <f>SUM(E11:E14)</f>
        <v>69</v>
      </c>
      <c r="F15" s="203">
        <f>SUM(F11:F14)</f>
        <v>214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3597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69</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214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0.14324399665485246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0.002747799769025527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0.008522161602484967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Lincoln Fire District</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2013-01-18T22:50:33Z</cp:lastPrinted>
  <dcterms:created xsi:type="dcterms:W3CDTF">1999-08-06T13:59:57Z</dcterms:created>
  <dcterms:modified xsi:type="dcterms:W3CDTF">2013-05-03T17:21:31Z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