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69" firstSheet="5"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DebtService" sheetId="13" r:id="rId13"/>
    <sheet name="summ" sheetId="14" r:id="rId14"/>
    <sheet name="Resolution" sheetId="15" r:id="rId15"/>
    <sheet name="SignCert" sheetId="16" r:id="rId16"/>
    <sheet name="SignRes" sheetId="17" r:id="rId17"/>
    <sheet name="ProofPub"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3">'summ'!$A$1:$I$41</definedName>
  </definedNames>
  <calcPr fullCalcOnLoad="1"/>
</workbook>
</file>

<file path=xl/sharedStrings.xml><?xml version="1.0" encoding="utf-8"?>
<sst xmlns="http://schemas.openxmlformats.org/spreadsheetml/2006/main" count="1177" uniqueCount="798">
  <si>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</si>
  <si>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</si>
  <si>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</si>
  <si>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</si>
  <si>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</si>
  <si>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</si>
  <si>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</si>
  <si>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</si>
  <si>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</si>
  <si>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</si>
  <si>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</si>
  <si>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</si>
  <si>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</si>
  <si>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</si>
  <si>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</si>
  <si>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</si>
  <si>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</si>
  <si>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</si>
  <si>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</si>
  <si>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</si>
  <si>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</si>
  <si>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</si>
  <si>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</si>
  <si>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</si>
  <si>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</si>
  <si>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</si>
  <si>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</si>
  <si>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</si>
  <si>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</si>
  <si>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</si>
  <si>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</si>
  <si>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</si>
  <si>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</si>
  <si>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</si>
  <si>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</si>
  <si>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</si>
  <si>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</si>
  <si>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</si>
  <si>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</si>
  <si>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</si>
  <si>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</si>
  <si>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</si>
  <si>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</si>
  <si>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</si>
  <si>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</si>
  <si>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</si>
  <si>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</si>
  <si>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</si>
  <si>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</si>
  <si>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</si>
  <si>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</si>
  <si>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</si>
  <si>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</si>
  <si>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</si>
  <si>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</si>
  <si>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</si>
  <si>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</si>
  <si>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</si>
  <si>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</si>
  <si>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</si>
  <si>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</si>
  <si>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</si>
  <si>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</si>
  <si>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</si>
  <si>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</si>
  <si>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</si>
  <si>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</si>
  <si>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</si>
  <si>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</si>
  <si>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</si>
  <si>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</si>
  <si>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</si>
  <si>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</si>
  <si>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</si>
  <si>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</si>
  <si>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</si>
  <si>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</si>
  <si>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</si>
  <si>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</si>
  <si>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</si>
  <si>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</si>
  <si>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</si>
  <si>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</si>
  <si>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</si>
  <si>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</si>
  <si>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</si>
  <si>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</si>
  <si>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</si>
  <si>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</si>
  <si>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</si>
  <si>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</si>
  <si>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</si>
  <si>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</si>
  <si>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</si>
  <si>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</si>
  <si>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</si>
  <si>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</si>
  <si>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</si>
  <si>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</si>
  <si>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</si>
  <si>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</si>
  <si>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</si>
  <si>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Mowing</t>
  </si>
  <si>
    <t>Operations</t>
  </si>
  <si>
    <t>Transfer</t>
  </si>
  <si>
    <t>Greenlawn Cemetery #7</t>
  </si>
  <si>
    <t>Memorial</t>
  </si>
  <si>
    <t>Lots</t>
  </si>
  <si>
    <t>Tree removal</t>
  </si>
  <si>
    <t>Publication</t>
  </si>
  <si>
    <t>Donation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</si>
  <si>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</si>
  <si>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</si>
  <si>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</si>
  <si>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</si>
  <si>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</si>
  <si>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</si>
  <si>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</si>
  <si>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</si>
  <si>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</si>
  <si>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</si>
  <si>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</si>
  <si>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</si>
  <si>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</si>
  <si>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</si>
  <si>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</si>
  <si>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</si>
  <si>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</si>
  <si>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</si>
  <si>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</si>
  <si>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</si>
  <si>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</si>
  <si>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</si>
  <si>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</si>
  <si>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</si>
  <si>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</si>
  <si>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</si>
  <si>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</si>
  <si>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</si>
  <si>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</si>
  <si>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</si>
  <si>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</si>
  <si>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</si>
  <si>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</si>
  <si>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</si>
  <si>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</si>
  <si>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</si>
  <si>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</si>
  <si>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</si>
  <si>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</si>
  <si>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</si>
  <si>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</si>
  <si>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</si>
  <si>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</si>
  <si>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</si>
  <si>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</si>
  <si>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</si>
  <si>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</si>
  <si>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</si>
  <si>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</si>
  <si>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</si>
  <si>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</si>
  <si>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</si>
  <si>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</si>
  <si>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</si>
  <si>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</si>
  <si>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</si>
  <si>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</si>
  <si>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</si>
  <si>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</si>
  <si>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</si>
  <si>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</si>
  <si>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</si>
  <si>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</si>
  <si>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</si>
  <si>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</si>
  <si>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</si>
  <si>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</si>
  <si>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</si>
  <si>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</si>
  <si>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</si>
  <si>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</si>
  <si>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</si>
  <si>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</si>
  <si>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</si>
  <si>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</si>
  <si>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</si>
  <si>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</si>
  <si>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</si>
  <si>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</si>
  <si>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</si>
  <si>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</si>
  <si>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</si>
  <si>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</si>
  <si>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</si>
  <si>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</si>
  <si>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</si>
  <si>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</si>
  <si>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</si>
  <si>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</si>
  <si>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</si>
  <si>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</si>
  <si>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</si>
  <si>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</si>
  <si>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</si>
  <si>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</si>
  <si>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</si>
  <si>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</si>
  <si>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</si>
  <si>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</si>
  <si>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</si>
  <si>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</si>
  <si>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</si>
  <si>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</si>
  <si>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</si>
  <si>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</si>
  <si>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</si>
  <si>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</si>
  <si>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</si>
  <si>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</si>
  <si>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</si>
  <si>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</si>
  <si>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</si>
  <si>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</si>
  <si>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</si>
  <si>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</si>
  <si>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</si>
  <si>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</si>
  <si>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</si>
  <si>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</si>
  <si>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</si>
  <si>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</si>
  <si>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</si>
  <si>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</si>
  <si>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</si>
  <si>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</si>
  <si>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</si>
  <si>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</si>
  <si>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</si>
  <si>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</si>
  <si>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</si>
  <si>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</si>
  <si>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</si>
  <si>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</si>
  <si>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</si>
  <si>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</si>
  <si>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</si>
  <si>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</si>
  <si>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</si>
  <si>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</si>
  <si>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</si>
  <si>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</si>
  <si>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</si>
  <si>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</si>
  <si>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</si>
  <si>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</si>
  <si>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</si>
  <si>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</si>
  <si>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</si>
  <si>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</si>
  <si>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</si>
  <si>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</si>
  <si>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</si>
  <si>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</si>
  <si>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</si>
  <si>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</si>
  <si>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</si>
  <si>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</si>
  <si>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</si>
  <si>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</si>
  <si>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</si>
  <si>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</si>
  <si>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</si>
  <si>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</si>
  <si>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</si>
  <si>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</si>
  <si>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</si>
  <si>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</si>
  <si>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</si>
  <si>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</si>
  <si>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</si>
  <si>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</si>
  <si>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</si>
  <si>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</si>
  <si>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</si>
  <si>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</si>
  <si>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</si>
  <si>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</si>
  <si>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</si>
  <si>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</si>
  <si>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</si>
  <si>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</si>
  <si>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</si>
  <si>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</si>
  <si>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</si>
  <si>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</si>
  <si>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</si>
  <si>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</si>
  <si>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</si>
  <si>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</si>
  <si>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</si>
  <si>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</si>
  <si>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</si>
  <si>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</si>
  <si>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</si>
  <si>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</si>
  <si>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</si>
  <si>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</si>
  <si>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</si>
  <si>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</si>
  <si>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</si>
  <si>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</si>
  <si>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</si>
  <si>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</si>
  <si>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</si>
  <si>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</si>
  <si>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</si>
  <si>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</si>
  <si>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</si>
  <si>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</si>
  <si>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</si>
  <si>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</si>
  <si>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</si>
  <si>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</si>
  <si>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</si>
  <si>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</si>
  <si>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</si>
  <si>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</si>
  <si>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</si>
  <si>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</si>
  <si>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</si>
  <si>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</si>
  <si>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</si>
  <si>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</si>
  <si>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</si>
  <si>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</si>
  <si>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</si>
  <si>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</si>
  <si>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</si>
  <si>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</si>
  <si>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</si>
  <si>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</si>
  <si>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</si>
  <si>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</si>
  <si>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</si>
  <si>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</si>
  <si>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</si>
  <si>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</si>
  <si>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</si>
  <si>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</si>
  <si>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</si>
  <si>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</si>
  <si>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</si>
  <si>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</si>
  <si>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</si>
  <si>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</si>
  <si>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</si>
  <si>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</si>
  <si>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</si>
  <si>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</si>
  <si>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</si>
  <si>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</si>
  <si>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</si>
  <si>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</si>
  <si>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</si>
  <si>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</si>
  <si>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</si>
  <si>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</si>
  <si>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</si>
  <si>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</si>
  <si>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</si>
  <si>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</si>
  <si>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</si>
  <si>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</si>
  <si>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</si>
  <si>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</si>
  <si>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</si>
  <si>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</si>
  <si>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</si>
  <si>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August 17, 2013</t>
  </si>
  <si>
    <t>7:00 PM</t>
  </si>
  <si>
    <t xml:space="preserve">Alan Anderson- 1325 Deer Rd , Abilene, KS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</si>
  <si>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</si>
  <si>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</si>
  <si>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</si>
  <si>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</si>
  <si>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</si>
  <si>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</si>
  <si>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</si>
  <si>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</si>
  <si>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</si>
  <si>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</si>
  <si>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</si>
  <si>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</si>
  <si>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</si>
  <si>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</si>
  <si>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</si>
  <si>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</si>
  <si>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</si>
  <si>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</si>
  <si>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</si>
  <si>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</si>
  <si>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</si>
  <si>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</si>
  <si>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</si>
  <si>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</si>
  <si>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</si>
  <si>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</si>
  <si>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</si>
  <si>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</si>
  <si>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</si>
  <si>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</si>
  <si>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</si>
  <si>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</si>
  <si>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</si>
  <si>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</si>
  <si>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</si>
  <si>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</si>
  <si>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</si>
  <si>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</si>
  <si>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</si>
  <si>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</si>
  <si>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</si>
  <si>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</si>
  <si>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</si>
  <si>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</si>
  <si>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</si>
  <si>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</si>
  <si>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</si>
  <si>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</si>
  <si>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</si>
  <si>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</si>
  <si>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</si>
  <si>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</si>
  <si>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</si>
  <si>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</si>
  <si>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</si>
  <si>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</si>
  <si>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</si>
  <si>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</si>
  <si>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</si>
  <si>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</si>
  <si>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</si>
  <si>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</si>
  <si>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</si>
  <si>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</si>
  <si>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</si>
  <si>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</si>
  <si>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</si>
  <si>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</si>
  <si>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</si>
  <si>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</si>
  <si>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</si>
  <si>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</si>
  <si>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</si>
  <si>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</si>
  <si>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</si>
  <si>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</si>
  <si>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</si>
  <si>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</si>
  <si>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</si>
  <si>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</si>
  <si>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</si>
  <si>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</si>
  <si>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</si>
  <si>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</si>
  <si>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</si>
  <si>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</si>
  <si>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</si>
  <si>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</si>
  <si>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</si>
  <si>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</si>
  <si>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</si>
  <si>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</si>
  <si>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</si>
  <si>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</si>
  <si>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</si>
  <si>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</si>
  <si>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</si>
  <si>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</si>
  <si>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</si>
  <si>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</si>
  <si>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</si>
  <si>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</si>
  <si>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</si>
  <si>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</si>
  <si>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</si>
  <si>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</si>
  <si>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</si>
  <si>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</si>
  <si>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</si>
  <si>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</si>
  <si>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</si>
  <si>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</si>
  <si>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</si>
  <si>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</si>
  <si>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</si>
  <si>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</si>
  <si>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</si>
  <si>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</si>
  <si>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</si>
  <si>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</si>
  <si>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</si>
  <si>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</si>
  <si>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</si>
  <si>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</si>
  <si>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</si>
  <si>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</si>
  <si>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</si>
  <si>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</si>
  <si>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</si>
  <si>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</si>
  <si>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</si>
  <si>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</si>
  <si>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</si>
  <si>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</si>
  <si>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</si>
  <si>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</si>
  <si>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</si>
  <si>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</si>
  <si>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</si>
  <si>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</si>
  <si>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</si>
  <si>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</si>
  <si>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</si>
  <si>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</si>
  <si>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</si>
  <si>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</si>
  <si>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</si>
  <si>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</si>
  <si>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</si>
  <si>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</si>
  <si>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</si>
  <si>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</si>
  <si>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</si>
  <si>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</si>
  <si>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</si>
  <si>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</si>
  <si>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</si>
  <si>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</si>
  <si>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</si>
  <si>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</si>
  <si>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</si>
  <si>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</si>
  <si>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</si>
  <si>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</si>
  <si>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</si>
  <si>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</si>
  <si>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</si>
  <si>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</si>
  <si>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</si>
  <si>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</si>
  <si>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</si>
  <si>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</si>
  <si>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</si>
  <si>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</si>
  <si>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</si>
  <si>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</si>
  <si>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</si>
  <si>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</si>
  <si>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</si>
  <si>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</si>
  <si>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</si>
  <si>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</si>
  <si>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</si>
  <si>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</si>
  <si>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</si>
  <si>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</si>
  <si>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</si>
  <si>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</si>
  <si>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</si>
  <si>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</si>
  <si>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</si>
  <si>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</si>
  <si>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</si>
  <si>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</si>
  <si>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</si>
  <si>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</si>
  <si>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</si>
  <si>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</si>
  <si>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</si>
  <si>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</si>
  <si>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</si>
  <si>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</si>
  <si>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</si>
  <si>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</si>
  <si>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</si>
  <si>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</si>
  <si>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</si>
  <si>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</si>
  <si>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</si>
  <si>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</si>
  <si>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</si>
  <si>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</si>
  <si>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</si>
  <si>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</si>
  <si>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</si>
  <si>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</si>
  <si>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</si>
  <si>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</si>
  <si>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</si>
  <si>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</si>
  <si>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</si>
  <si>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</si>
  <si>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</si>
  <si>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</si>
  <si>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</si>
  <si>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</si>
  <si>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</si>
  <si>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</si>
  <si>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</si>
  <si>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</si>
  <si>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</si>
  <si>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</si>
  <si>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</si>
  <si>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</si>
  <si>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</si>
  <si>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</si>
  <si>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</si>
  <si>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</si>
  <si>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</si>
  <si>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</si>
  <si>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</si>
  <si>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</si>
  <si>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</si>
  <si>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</si>
  <si>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</si>
  <si>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</si>
  <si>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</si>
  <si>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</si>
  <si>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</si>
  <si>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</si>
  <si>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</si>
  <si>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</si>
  <si>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</si>
  <si>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</si>
  <si>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</si>
  <si>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</si>
  <si>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</si>
  <si>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</si>
  <si>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</si>
  <si>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</si>
  <si>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</si>
  <si>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</si>
  <si>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</si>
  <si>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</si>
  <si>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</si>
  <si>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</si>
  <si>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</si>
  <si>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</si>
  <si>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</si>
  <si>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</si>
  <si>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</si>
  <si>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</si>
  <si>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</si>
  <si>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</si>
  <si>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</si>
  <si>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</si>
  <si>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</si>
  <si>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</si>
  <si>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</si>
  <si>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</si>
  <si>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</si>
  <si>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</si>
  <si>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</si>
  <si>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</si>
  <si>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</si>
  <si>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</si>
  <si>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</si>
  <si>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</si>
  <si>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</si>
  <si>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</si>
  <si>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</si>
  <si>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</si>
  <si>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</si>
  <si>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</si>
  <si>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</si>
  <si>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</si>
  <si>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</si>
  <si>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</si>
  <si>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</si>
  <si>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</si>
  <si>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</si>
  <si>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</si>
  <si>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</si>
  <si>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</si>
  <si>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</si>
  <si>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</si>
  <si>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</si>
  <si>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</si>
  <si>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</si>
  <si>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</si>
  <si>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</si>
  <si>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</si>
  <si>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</si>
  <si>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</si>
  <si>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</si>
  <si>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</si>
  <si>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</si>
  <si>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</si>
  <si>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</si>
  <si>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</si>
  <si>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</si>
  <si>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</si>
  <si>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</si>
  <si>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</si>
  <si>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</si>
  <si>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</si>
  <si>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</si>
  <si>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</si>
  <si>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</si>
  <si>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</si>
  <si>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</si>
  <si>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</si>
  <si>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</si>
  <si>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</si>
  <si>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</si>
  <si>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</si>
  <si>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</si>
  <si>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</si>
  <si>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</si>
  <si>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</si>
  <si>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</si>
  <si>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</si>
  <si>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</si>
  <si>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</si>
  <si>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</si>
  <si>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</si>
  <si>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</si>
  <si>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</si>
  <si>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</si>
  <si>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</si>
  <si>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</si>
  <si>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</si>
  <si>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</si>
  <si>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</si>
  <si>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</si>
  <si>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</si>
  <si>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</si>
  <si>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</si>
  <si>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</si>
  <si>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</si>
  <si>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</si>
  <si>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</si>
  <si>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</si>
  <si>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</si>
  <si>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</si>
  <si>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</si>
  <si>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</si>
  <si>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</si>
  <si>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</si>
  <si>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</si>
  <si>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</si>
  <si>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</si>
  <si>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</si>
  <si>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</si>
  <si>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</si>
  <si>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</si>
  <si>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</si>
  <si>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</si>
  <si>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</si>
  <si>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</si>
  <si>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</si>
  <si>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</si>
  <si>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</si>
  <si>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</si>
  <si>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</si>
  <si>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</si>
  <si>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</si>
  <si>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</si>
  <si>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</si>
  <si>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</si>
  <si>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</si>
  <si>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</si>
  <si>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</si>
  <si>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</si>
  <si>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</si>
  <si>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</si>
  <si>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</si>
  <si>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</si>
  <si>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</si>
  <si>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</si>
  <si>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</si>
  <si>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</si>
  <si>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</si>
  <si>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</si>
  <si>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</si>
  <si>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</si>
  <si>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</si>
  <si>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</si>
  <si>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</si>
  <si>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</si>
  <si>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</si>
  <si>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</si>
  <si>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</si>
  <si>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</si>
  <si>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</si>
  <si>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RESOLUTION NO.  2014-1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</si>
</sst>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18" fillId="4" borderId="23"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18" xfId="0" applyFont="1" applyFill="1" applyBorder="1" applyAlignment="1">
      <alignment horizont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2"/>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400050</xdr:colOff>
      <xdr:row>38</xdr:row>
      <xdr:rowOff>123825</xdr:rowOff>
    </xdr:to>
    <xdr:pic>
      <xdr:nvPicPr>
        <xdr:cNvPr id="1" name="Picture 1"/>
        <xdr:cNvPicPr preferRelativeResize="1">
          <a:picLocks noChangeAspect="1"/>
        </xdr:cNvPicPr>
      </xdr:nvPicPr>
      <xdr:blipFill>
        <a:blip r:embed="rId1"/>
        <a:stretch>
          <a:fillRect/>
        </a:stretch>
      </xdr:blipFill>
      <xdr:spPr>
        <a:xfrm>
          <a:off x="0" y="0"/>
          <a:ext cx="6267450" cy="7362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409575</xdr:colOff>
      <xdr:row>31</xdr:row>
      <xdr:rowOff>152400</xdr:rowOff>
    </xdr:to>
    <xdr:pic>
      <xdr:nvPicPr>
        <xdr:cNvPr id="1" name="Picture 1"/>
        <xdr:cNvPicPr preferRelativeResize="1">
          <a:picLocks noChangeAspect="1"/>
        </xdr:cNvPicPr>
      </xdr:nvPicPr>
      <xdr:blipFill>
        <a:blip r:embed="rId1"/>
        <a:stretch>
          <a:fillRect/>
        </a:stretch>
      </xdr:blipFill>
      <xdr:spPr>
        <a:xfrm>
          <a:off x="0" y="0"/>
          <a:ext cx="7953375" cy="6057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0">
      <selection activeCell="A15" sqref="A15"/>
    </sheetView>
  </sheetViews>
  <sheetFormatPr defaultColWidth="8.796875" defaultRowHeight="15"/>
  <cols>
    <col min="1" max="1" width="81.69921875" style="95" customWidth="1"/>
    <col min="2" max="16384" width="8.8984375" style="95" customWidth="1"/>
  </cols>
  <sheetData>
    <row r="1" spans="1:2" ht="15.75">
      <c r="A1" s="321" t="s">
        <v>467</v>
      </c>
      <c r="B1" s="322"/>
    </row>
    <row r="2" spans="1:2" ht="15.75">
      <c r="A2" s="321"/>
      <c r="B2" s="322"/>
    </row>
    <row r="3" ht="35.25" customHeight="1">
      <c r="A3" s="323" t="s">
        <v>567</v>
      </c>
    </row>
    <row r="4" ht="15.75">
      <c r="A4" s="324"/>
    </row>
    <row r="5" ht="15.75">
      <c r="A5" s="324" t="s">
        <v>618</v>
      </c>
    </row>
    <row r="6" ht="15.75">
      <c r="A6" s="324"/>
    </row>
    <row r="7" ht="57.75" customHeight="1">
      <c r="A7" s="325" t="s">
        <v>656</v>
      </c>
    </row>
    <row r="8" ht="15.75">
      <c r="A8" s="324"/>
    </row>
    <row r="9" spans="1:2" ht="15.75">
      <c r="A9" s="326" t="s">
        <v>612</v>
      </c>
      <c r="B9" s="322"/>
    </row>
    <row r="10" spans="1:2" ht="15.75">
      <c r="A10" s="326"/>
      <c r="B10" s="322"/>
    </row>
    <row r="11" spans="1:2" ht="15.75">
      <c r="A11" s="324" t="s">
        <v>613</v>
      </c>
      <c r="B11" s="322"/>
    </row>
    <row r="12" ht="14.25" customHeight="1">
      <c r="A12" s="143"/>
    </row>
    <row r="13" s="315" customFormat="1" ht="42" customHeight="1">
      <c r="A13" s="327" t="s">
        <v>657</v>
      </c>
    </row>
    <row r="16" ht="15.75">
      <c r="A16" s="326" t="s">
        <v>395</v>
      </c>
    </row>
    <row r="17" ht="15.75">
      <c r="A17" s="143"/>
    </row>
    <row r="18" ht="15.75">
      <c r="A18" s="251" t="s">
        <v>607</v>
      </c>
    </row>
    <row r="19" ht="17.25" customHeight="1">
      <c r="A19" s="327" t="s">
        <v>519</v>
      </c>
    </row>
    <row r="20" ht="24.75" customHeight="1">
      <c r="A20" s="328" t="s">
        <v>518</v>
      </c>
    </row>
    <row r="21" ht="52.5" customHeight="1">
      <c r="A21" s="329" t="s">
        <v>520</v>
      </c>
    </row>
    <row r="22" ht="20.25" customHeight="1">
      <c r="A22" s="330" t="s">
        <v>568</v>
      </c>
    </row>
    <row r="23" s="331" customFormat="1" ht="20.25" customHeight="1">
      <c r="A23" s="286" t="s">
        <v>611</v>
      </c>
    </row>
    <row r="24" ht="21" customHeight="1">
      <c r="A24" s="327" t="s">
        <v>466</v>
      </c>
    </row>
    <row r="25" ht="15.75">
      <c r="A25" s="143"/>
    </row>
    <row r="26" ht="15.75">
      <c r="A26" s="332" t="s">
        <v>396</v>
      </c>
    </row>
    <row r="28" ht="21" customHeight="1">
      <c r="A28" s="315" t="s">
        <v>537</v>
      </c>
    </row>
    <row r="30" ht="71.25" customHeight="1">
      <c r="A30" s="315" t="s">
        <v>98</v>
      </c>
    </row>
    <row r="31" ht="49.5" customHeight="1">
      <c r="A31" s="333" t="s">
        <v>610</v>
      </c>
    </row>
    <row r="32" ht="89.25" customHeight="1">
      <c r="A32" s="333" t="s">
        <v>307</v>
      </c>
    </row>
    <row r="33" ht="15.75" customHeight="1">
      <c r="A33" s="333"/>
    </row>
    <row r="34" ht="59.25" customHeight="1">
      <c r="A34" s="315" t="s">
        <v>309</v>
      </c>
    </row>
    <row r="35" ht="51.75" customHeight="1">
      <c r="A35" s="315" t="s">
        <v>310</v>
      </c>
    </row>
    <row r="36" ht="93.75" customHeight="1">
      <c r="A36" s="315" t="s">
        <v>311</v>
      </c>
    </row>
    <row r="37" ht="15.75" customHeight="1">
      <c r="A37" s="333"/>
    </row>
    <row r="38" ht="73.5" customHeight="1">
      <c r="A38" s="617" t="s">
        <v>317</v>
      </c>
    </row>
    <row r="39" ht="65.25" customHeight="1">
      <c r="A39" s="618" t="s">
        <v>313</v>
      </c>
    </row>
    <row r="40" ht="64.5" customHeight="1">
      <c r="A40" s="618" t="s">
        <v>314</v>
      </c>
    </row>
    <row r="41" ht="15.75">
      <c r="A41" s="315"/>
    </row>
    <row r="42" ht="70.5" customHeight="1">
      <c r="A42" s="315" t="s">
        <v>372</v>
      </c>
    </row>
    <row r="43" ht="70.5" customHeight="1">
      <c r="A43" s="315" t="s">
        <v>373</v>
      </c>
    </row>
    <row r="44" ht="39" customHeight="1">
      <c r="A44" s="315" t="s">
        <v>99</v>
      </c>
    </row>
    <row r="45" ht="15.75">
      <c r="A45" s="315"/>
    </row>
    <row r="46" ht="71.25" customHeight="1">
      <c r="A46" s="315" t="s">
        <v>374</v>
      </c>
    </row>
    <row r="47" ht="104.25" customHeight="1">
      <c r="A47" s="315" t="s">
        <v>318</v>
      </c>
    </row>
    <row r="48" ht="44.25" customHeight="1">
      <c r="A48" s="315" t="s">
        <v>375</v>
      </c>
    </row>
    <row r="50" ht="51.75" customHeight="1">
      <c r="A50" s="315" t="s">
        <v>320</v>
      </c>
    </row>
    <row r="52" ht="35.25" customHeight="1">
      <c r="A52" s="315" t="s">
        <v>376</v>
      </c>
    </row>
    <row r="53" ht="23.25" customHeight="1">
      <c r="A53" s="95" t="s">
        <v>377</v>
      </c>
    </row>
    <row r="54" ht="72.75" customHeight="1">
      <c r="A54" s="315" t="s">
        <v>122</v>
      </c>
    </row>
    <row r="55" ht="25.5" customHeight="1">
      <c r="A55" s="315" t="s">
        <v>378</v>
      </c>
    </row>
    <row r="57" ht="72" customHeight="1">
      <c r="A57" s="315" t="s">
        <v>111</v>
      </c>
    </row>
    <row r="59" ht="67.5" customHeight="1">
      <c r="A59" s="315" t="s">
        <v>3</v>
      </c>
    </row>
    <row r="60" ht="15.75">
      <c r="A60" s="315"/>
    </row>
    <row r="61" ht="53.25" customHeight="1">
      <c r="A61" s="315" t="s">
        <v>100</v>
      </c>
    </row>
    <row r="62" ht="84" customHeight="1">
      <c r="A62" s="520" t="s">
        <v>322</v>
      </c>
    </row>
    <row r="63" ht="70.5" customHeight="1">
      <c r="A63" s="520" t="s">
        <v>0</v>
      </c>
    </row>
    <row r="64" ht="53.25" customHeight="1">
      <c r="A64" s="618" t="s">
        <v>1</v>
      </c>
    </row>
    <row r="65" ht="69" customHeight="1">
      <c r="A65" s="315" t="s">
        <v>2</v>
      </c>
    </row>
    <row r="66" ht="90" customHeight="1">
      <c r="A66" s="315" t="s">
        <v>42</v>
      </c>
    </row>
    <row r="67" ht="113.25" customHeight="1">
      <c r="A67" s="335" t="s">
        <v>43</v>
      </c>
    </row>
    <row r="68" ht="105.75" customHeight="1">
      <c r="A68" s="336" t="s">
        <v>44</v>
      </c>
    </row>
    <row r="69" ht="77.25" customHeight="1">
      <c r="A69" s="337" t="s">
        <v>45</v>
      </c>
    </row>
    <row r="70" ht="91.5" customHeight="1">
      <c r="A70" s="315" t="s">
        <v>382</v>
      </c>
    </row>
    <row r="71" ht="113.25" customHeight="1">
      <c r="A71" s="338" t="s">
        <v>383</v>
      </c>
    </row>
    <row r="72" ht="11.25" customHeight="1">
      <c r="A72" s="315"/>
    </row>
    <row r="73" ht="120.75" customHeight="1">
      <c r="A73" s="315" t="s">
        <v>112</v>
      </c>
    </row>
    <row r="74" ht="108" customHeight="1">
      <c r="A74" s="334" t="s">
        <v>113</v>
      </c>
    </row>
    <row r="75" ht="66" customHeight="1">
      <c r="A75" s="334" t="s">
        <v>114</v>
      </c>
    </row>
    <row r="76" ht="21" customHeight="1">
      <c r="A76" s="315" t="s">
        <v>115</v>
      </c>
    </row>
    <row r="77" ht="11.25" customHeight="1">
      <c r="A77" s="315"/>
    </row>
    <row r="78" s="315" customFormat="1" ht="50.25" customHeight="1">
      <c r="A78" s="315" t="s">
        <v>116</v>
      </c>
    </row>
    <row r="79" s="315" customFormat="1" ht="23.25" customHeight="1">
      <c r="A79" s="315" t="s">
        <v>119</v>
      </c>
    </row>
    <row r="80" s="315" customFormat="1" ht="36.75" customHeight="1">
      <c r="A80" s="520" t="s">
        <v>4</v>
      </c>
    </row>
    <row r="81" s="315" customFormat="1" ht="103.5" customHeight="1">
      <c r="A81" s="520" t="s">
        <v>363</v>
      </c>
    </row>
    <row r="82" s="315" customFormat="1" ht="138.75" customHeight="1">
      <c r="A82" s="315" t="s">
        <v>364</v>
      </c>
    </row>
    <row r="83" s="315" customFormat="1" ht="72" customHeight="1">
      <c r="A83" s="315" t="s">
        <v>365</v>
      </c>
    </row>
    <row r="84" s="315" customFormat="1" ht="72" customHeight="1">
      <c r="A84" s="620" t="s">
        <v>41</v>
      </c>
    </row>
    <row r="86" s="315" customFormat="1" ht="33.75" customHeight="1">
      <c r="A86" s="315" t="s">
        <v>117</v>
      </c>
    </row>
    <row r="88" ht="21.75" customHeight="1">
      <c r="A88" s="315" t="s">
        <v>118</v>
      </c>
    </row>
    <row r="90" ht="49.5" customHeight="1">
      <c r="A90" s="520" t="s">
        <v>264</v>
      </c>
    </row>
    <row r="91" ht="81.75" customHeight="1">
      <c r="A91" s="520" t="s">
        <v>265</v>
      </c>
    </row>
    <row r="92" ht="97.5" customHeight="1">
      <c r="A92" s="520" t="s">
        <v>266</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Greenlawn Cemetery #7</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475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297</v>
      </c>
      <c r="C6" s="102" t="s">
        <v>450</v>
      </c>
      <c r="D6" s="102" t="s">
        <v>458</v>
      </c>
      <c r="E6" s="102"/>
      <c r="F6" s="102" t="s">
        <v>421</v>
      </c>
      <c r="G6" s="187"/>
      <c r="H6" s="188"/>
      <c r="I6" s="187" t="s">
        <v>451</v>
      </c>
      <c r="J6" s="188"/>
      <c r="K6" s="187" t="s">
        <v>451</v>
      </c>
      <c r="L6" s="188"/>
    </row>
    <row r="7" spans="2:12" s="185" customFormat="1" ht="15.75">
      <c r="B7" s="105" t="s">
        <v>452</v>
      </c>
      <c r="C7" s="105" t="s">
        <v>452</v>
      </c>
      <c r="D7" s="105" t="s">
        <v>453</v>
      </c>
      <c r="E7" s="105" t="s">
        <v>421</v>
      </c>
      <c r="F7" s="105" t="s">
        <v>522</v>
      </c>
      <c r="G7" s="189" t="s">
        <v>454</v>
      </c>
      <c r="H7" s="190"/>
      <c r="I7" s="189">
        <f>L1-1</f>
        <v>2013</v>
      </c>
      <c r="J7" s="190"/>
      <c r="K7" s="189">
        <f>L1</f>
        <v>2014</v>
      </c>
      <c r="L7" s="190"/>
    </row>
    <row r="8" spans="2:12" s="185" customFormat="1" ht="15.75">
      <c r="B8" s="114" t="s">
        <v>298</v>
      </c>
      <c r="C8" s="114" t="s">
        <v>455</v>
      </c>
      <c r="D8" s="114" t="s">
        <v>433</v>
      </c>
      <c r="E8" s="114" t="s">
        <v>456</v>
      </c>
      <c r="F8" s="191" t="str">
        <f>CONCATENATE("Jan 1,",L1-1,"")</f>
        <v>Jan 1,2013</v>
      </c>
      <c r="G8" s="111" t="s">
        <v>458</v>
      </c>
      <c r="H8" s="111" t="s">
        <v>459</v>
      </c>
      <c r="I8" s="111" t="s">
        <v>458</v>
      </c>
      <c r="J8" s="111" t="s">
        <v>459</v>
      </c>
      <c r="K8" s="111" t="s">
        <v>458</v>
      </c>
      <c r="L8" s="111" t="s">
        <v>459</v>
      </c>
    </row>
    <row r="9" spans="2:12" s="185" customFormat="1" ht="15.75">
      <c r="B9" s="33" t="s">
        <v>569</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570</v>
      </c>
      <c r="C12" s="200"/>
      <c r="D12" s="201"/>
      <c r="E12" s="202"/>
      <c r="F12" s="203">
        <f>SUM(F10:F11)</f>
        <v>0</v>
      </c>
      <c r="G12" s="204"/>
      <c r="H12" s="204"/>
      <c r="I12" s="203">
        <f>SUM(I10:I11)</f>
        <v>0</v>
      </c>
      <c r="J12" s="203">
        <f>SUM(J10:J11)</f>
        <v>0</v>
      </c>
      <c r="K12" s="203">
        <f>SUM(K10:K11)</f>
        <v>0</v>
      </c>
      <c r="L12" s="203">
        <f>SUM(L10:L11)</f>
        <v>0</v>
      </c>
    </row>
    <row r="13" spans="2:12" s="185" customFormat="1" ht="15.75">
      <c r="B13" s="199" t="s">
        <v>571</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572</v>
      </c>
      <c r="C16" s="200"/>
      <c r="D16" s="201"/>
      <c r="E16" s="202"/>
      <c r="F16" s="123">
        <f>SUM(F14:F15)</f>
        <v>0</v>
      </c>
      <c r="G16" s="204"/>
      <c r="H16" s="204"/>
      <c r="I16" s="203">
        <f>SUM(I14:I15)</f>
        <v>0</v>
      </c>
      <c r="J16" s="203">
        <f>SUM(J14:J15)</f>
        <v>0</v>
      </c>
      <c r="K16" s="203">
        <f>SUM(K14:K15)</f>
        <v>0</v>
      </c>
      <c r="L16" s="203">
        <f>SUM(L14:L15)</f>
        <v>0</v>
      </c>
    </row>
    <row r="17" spans="2:12" s="185" customFormat="1" ht="15.75">
      <c r="B17" s="199" t="s">
        <v>573</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574</v>
      </c>
      <c r="C20" s="205"/>
      <c r="D20" s="206"/>
      <c r="E20" s="45"/>
      <c r="F20" s="203">
        <f>SUM(F18:F19)</f>
        <v>0</v>
      </c>
      <c r="G20" s="549"/>
      <c r="H20" s="204"/>
      <c r="I20" s="203">
        <f>SUM(I18:I19)</f>
        <v>0</v>
      </c>
      <c r="J20" s="203">
        <f>SUM(J18:J19)</f>
        <v>0</v>
      </c>
      <c r="K20" s="203">
        <f>SUM(K18:K19)</f>
        <v>0</v>
      </c>
      <c r="L20" s="203">
        <f>SUM(L18:L19)</f>
        <v>0</v>
      </c>
    </row>
    <row r="21" spans="2:12" s="185" customFormat="1" ht="15.75">
      <c r="B21" s="207" t="s">
        <v>476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470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457</v>
      </c>
      <c r="E25" s="212"/>
      <c r="F25" s="102" t="s">
        <v>403</v>
      </c>
      <c r="G25" s="212"/>
      <c r="H25" s="212"/>
      <c r="I25" s="212"/>
      <c r="J25" s="213"/>
      <c r="K25" s="214"/>
      <c r="L25" s="210"/>
    </row>
    <row r="26" spans="2:12" s="211" customFormat="1" ht="15.75">
      <c r="B26" s="215"/>
      <c r="C26" s="105"/>
      <c r="D26" s="105" t="s">
        <v>452</v>
      </c>
      <c r="E26" s="105" t="s">
        <v>458</v>
      </c>
      <c r="F26" s="105" t="s">
        <v>421</v>
      </c>
      <c r="G26" s="105" t="s">
        <v>459</v>
      </c>
      <c r="H26" s="105" t="s">
        <v>460</v>
      </c>
      <c r="I26" s="105" t="s">
        <v>460</v>
      </c>
      <c r="J26" s="210"/>
      <c r="K26" s="210"/>
      <c r="L26" s="210"/>
    </row>
    <row r="27" spans="2:12" s="211" customFormat="1" ht="15.75">
      <c r="B27" s="105" t="s">
        <v>299</v>
      </c>
      <c r="C27" s="105" t="s">
        <v>461</v>
      </c>
      <c r="D27" s="105" t="s">
        <v>462</v>
      </c>
      <c r="E27" s="105" t="s">
        <v>453</v>
      </c>
      <c r="F27" s="105" t="s">
        <v>463</v>
      </c>
      <c r="G27" s="105" t="s">
        <v>502</v>
      </c>
      <c r="H27" s="105" t="s">
        <v>464</v>
      </c>
      <c r="I27" s="105" t="s">
        <v>464</v>
      </c>
      <c r="J27" s="210"/>
      <c r="K27" s="210"/>
      <c r="L27" s="210"/>
    </row>
    <row r="28" spans="2:12" s="211" customFormat="1" ht="15.75">
      <c r="B28" s="114" t="s">
        <v>300</v>
      </c>
      <c r="C28" s="114" t="s">
        <v>450</v>
      </c>
      <c r="D28" s="216" t="s">
        <v>465</v>
      </c>
      <c r="E28" s="114" t="s">
        <v>433</v>
      </c>
      <c r="F28" s="216" t="s">
        <v>523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476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620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1">
      <selection activeCell="D43" sqref="D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Greenlawn Cemetery #7</v>
      </c>
      <c r="C1" s="222"/>
      <c r="D1" s="18"/>
      <c r="E1" s="182"/>
    </row>
    <row r="2" spans="2:5" ht="15.75">
      <c r="B2" s="18" t="str">
        <f>inputPrYr!D4</f>
        <v>Dickinson County</v>
      </c>
      <c r="C2" s="222"/>
      <c r="D2" s="18"/>
      <c r="E2" s="138"/>
    </row>
    <row r="3" spans="2:6" ht="15.75">
      <c r="B3" s="491" t="s">
        <v>471</v>
      </c>
      <c r="C3" s="222"/>
      <c r="D3" s="18"/>
      <c r="E3" s="182">
        <f>inputPrYr!$D$6</f>
        <v>2014</v>
      </c>
      <c r="F3" s="568"/>
    </row>
    <row r="4" spans="2:5" ht="15.75">
      <c r="B4" s="18"/>
      <c r="C4" s="100"/>
      <c r="D4" s="100"/>
      <c r="E4" s="100"/>
    </row>
    <row r="5" spans="2:5" ht="15.75">
      <c r="B5" s="17" t="s">
        <v>422</v>
      </c>
      <c r="C5" s="371" t="s">
        <v>638</v>
      </c>
      <c r="D5" s="372" t="s">
        <v>637</v>
      </c>
      <c r="E5" s="223" t="s">
        <v>634</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515</v>
      </c>
      <c r="C7" s="367">
        <v>5342</v>
      </c>
      <c r="D7" s="374">
        <f>C62</f>
        <v>4831</v>
      </c>
      <c r="E7" s="45">
        <f>D62</f>
        <v>1736</v>
      </c>
    </row>
    <row r="8" spans="2:5" ht="15.75">
      <c r="B8" s="226" t="s">
        <v>517</v>
      </c>
      <c r="C8" s="227"/>
      <c r="D8" s="227"/>
      <c r="E8" s="123"/>
    </row>
    <row r="9" spans="2:5" ht="15.75">
      <c r="B9" s="119" t="s">
        <v>423</v>
      </c>
      <c r="C9" s="367">
        <v>5455</v>
      </c>
      <c r="D9" s="374">
        <f>IF(inputPrYr!H18&gt;0,inputPrYr!G19,inputPrYr!E19)</f>
        <v>3239</v>
      </c>
      <c r="E9" s="128" t="s">
        <v>418</v>
      </c>
    </row>
    <row r="10" spans="2:5" ht="15.75">
      <c r="B10" s="119" t="s">
        <v>424</v>
      </c>
      <c r="C10" s="367">
        <v>37</v>
      </c>
      <c r="D10" s="367"/>
      <c r="E10" s="198"/>
    </row>
    <row r="11" spans="2:5" ht="15.75">
      <c r="B11" s="119" t="s">
        <v>425</v>
      </c>
      <c r="C11" s="367">
        <v>448</v>
      </c>
      <c r="D11" s="367">
        <v>474</v>
      </c>
      <c r="E11" s="45">
        <f>mvalloc!D11</f>
        <v>227</v>
      </c>
    </row>
    <row r="12" spans="2:5" ht="15.75">
      <c r="B12" s="119" t="s">
        <v>426</v>
      </c>
      <c r="C12" s="367">
        <v>4</v>
      </c>
      <c r="D12" s="367">
        <v>5</v>
      </c>
      <c r="E12" s="45">
        <f>mvalloc!E11</f>
        <v>3</v>
      </c>
    </row>
    <row r="13" spans="2:5" ht="15.75">
      <c r="B13" s="227" t="s">
        <v>499</v>
      </c>
      <c r="C13" s="367">
        <v>22</v>
      </c>
      <c r="D13" s="367">
        <v>37</v>
      </c>
      <c r="E13" s="45">
        <f>mvalloc!F11</f>
        <v>29</v>
      </c>
    </row>
    <row r="14" spans="2:5" ht="15.75">
      <c r="B14" s="227" t="s">
        <v>548</v>
      </c>
      <c r="C14" s="367"/>
      <c r="D14" s="367"/>
      <c r="E14" s="45">
        <f>inputOth!E30</f>
        <v>0</v>
      </c>
    </row>
    <row r="15" spans="2:5" ht="15.75">
      <c r="B15" s="228" t="s">
        <v>427</v>
      </c>
      <c r="C15" s="367"/>
      <c r="D15" s="367"/>
      <c r="E15" s="198"/>
    </row>
    <row r="16" spans="2:5" ht="15.75">
      <c r="B16" s="228" t="s">
        <v>107</v>
      </c>
      <c r="C16" s="367">
        <v>300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428</v>
      </c>
      <c r="C30" s="367"/>
      <c r="D30" s="367"/>
      <c r="E30" s="198"/>
    </row>
    <row r="31" spans="2:5" ht="15.75">
      <c r="B31" s="230">
        <v>221</v>
      </c>
      <c r="C31" s="228"/>
      <c r="D31" s="228"/>
      <c r="E31" s="198"/>
    </row>
    <row r="32" spans="2:5" ht="15.75">
      <c r="B32" s="230" t="s">
        <v>135</v>
      </c>
      <c r="C32" s="368">
        <f>IF(C33*0.1&lt;C31,"Exceed 10% Rule","")</f>
      </c>
      <c r="D32" s="368">
        <f>IF(D33*0.1&lt;D31,"Exceed 10% Rule","")</f>
      </c>
      <c r="E32" s="387">
        <f>IF(E33*0.1+E68&lt;E31,"Exceed 10% Rule","")</f>
      </c>
    </row>
    <row r="33" spans="2:5" ht="15.75">
      <c r="B33" s="233" t="s">
        <v>429</v>
      </c>
      <c r="C33" s="369">
        <f>SUM(C9:C31)</f>
        <v>6266</v>
      </c>
      <c r="D33" s="369">
        <f>SUM(D9:D31)</f>
        <v>3755</v>
      </c>
      <c r="E33" s="234">
        <f>SUM(E9:E31)</f>
        <v>259</v>
      </c>
    </row>
    <row r="34" spans="2:5" ht="15.75">
      <c r="B34" s="233" t="s">
        <v>430</v>
      </c>
      <c r="C34" s="369">
        <f>C7+C33</f>
        <v>11608</v>
      </c>
      <c r="D34" s="369">
        <f>D7+D33</f>
        <v>8586</v>
      </c>
      <c r="E34" s="234">
        <f>E7+E33</f>
        <v>1995</v>
      </c>
    </row>
    <row r="35" spans="2:5" ht="15.75">
      <c r="B35" s="119" t="s">
        <v>431</v>
      </c>
      <c r="C35" s="121"/>
      <c r="D35" s="121"/>
      <c r="E35" s="36"/>
    </row>
    <row r="36" spans="2:5" ht="15.75">
      <c r="B36" s="228"/>
      <c r="C36" s="367"/>
      <c r="D36" s="367"/>
      <c r="E36" s="198"/>
    </row>
    <row r="37" spans="2:5" ht="15.75">
      <c r="B37" s="228" t="s">
        <v>102</v>
      </c>
      <c r="C37" s="367">
        <v>2650</v>
      </c>
      <c r="D37" s="367">
        <v>3550</v>
      </c>
      <c r="E37" s="198"/>
    </row>
    <row r="38" spans="2:5" ht="15.75">
      <c r="B38" s="228" t="s">
        <v>103</v>
      </c>
      <c r="C38" s="367">
        <v>1103</v>
      </c>
      <c r="D38" s="367">
        <v>100</v>
      </c>
      <c r="E38" s="198">
        <v>7550</v>
      </c>
    </row>
    <row r="39" spans="2:5" ht="15.75">
      <c r="B39" s="228" t="s">
        <v>108</v>
      </c>
      <c r="C39" s="367"/>
      <c r="D39" s="367">
        <v>100</v>
      </c>
      <c r="E39" s="198"/>
    </row>
    <row r="40" spans="2:5" ht="15.75">
      <c r="B40" s="228" t="s">
        <v>109</v>
      </c>
      <c r="C40" s="367">
        <v>24</v>
      </c>
      <c r="D40" s="367">
        <v>100</v>
      </c>
      <c r="E40" s="198"/>
    </row>
    <row r="41" spans="2:5" ht="15.75">
      <c r="B41" s="228"/>
      <c r="C41" s="367"/>
      <c r="D41" s="367"/>
      <c r="E41" s="198"/>
    </row>
    <row r="42" spans="2:5" ht="15.75">
      <c r="B42" s="228" t="s">
        <v>104</v>
      </c>
      <c r="C42" s="367">
        <v>3000</v>
      </c>
      <c r="D42" s="367">
        <v>3000</v>
      </c>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237</v>
      </c>
      <c r="H54" s="483"/>
      <c r="I54" s="483"/>
      <c r="J54" s="473">
        <v>0</v>
      </c>
      <c r="K54" s="16"/>
    </row>
    <row r="55" spans="2:11" ht="15.75">
      <c r="B55" s="228"/>
      <c r="C55" s="367"/>
      <c r="D55" s="367"/>
      <c r="E55" s="198"/>
      <c r="F55" s="16"/>
      <c r="G55" s="476" t="s">
        <v>238</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304</v>
      </c>
      <c r="H57" s="584"/>
      <c r="I57" s="584"/>
      <c r="J57" s="585">
        <f>IF(J54&gt;0,J56-E65,0)</f>
        <v>0</v>
      </c>
      <c r="K57" s="16"/>
    </row>
    <row r="58" spans="2:11" ht="15.75">
      <c r="B58" s="121" t="s">
        <v>609</v>
      </c>
      <c r="C58" s="367"/>
      <c r="D58" s="367"/>
      <c r="E58" s="203">
        <f>Nhood!E7</f>
      </c>
      <c r="F58" s="16"/>
      <c r="G58" s="16"/>
      <c r="H58" s="16"/>
      <c r="I58" s="16"/>
      <c r="J58" s="16"/>
      <c r="K58" s="16"/>
    </row>
    <row r="59" spans="2:11" ht="15.75">
      <c r="B59" s="121" t="s">
        <v>608</v>
      </c>
      <c r="C59" s="367"/>
      <c r="D59" s="367"/>
      <c r="E59" s="35"/>
      <c r="F59" s="16"/>
      <c r="G59" s="677" t="str">
        <f>CONCATENATE("Projected Carryover Into ",E3+1,"")</f>
        <v>Projected Carryover Into 2015</v>
      </c>
      <c r="H59" s="678"/>
      <c r="I59" s="678"/>
      <c r="J59" s="679"/>
      <c r="K59" s="16"/>
    </row>
    <row r="60" spans="2:11" ht="15.75">
      <c r="B60" s="121" t="s">
        <v>134</v>
      </c>
      <c r="C60" s="368">
        <f>IF(C61*0.1&lt;C59,"Exceed 10% Rule","")</f>
      </c>
      <c r="D60" s="368">
        <f>IF(D61*0.1&lt;D59,"Exceed 10% Rule","")</f>
      </c>
      <c r="E60" s="387">
        <f>IF(E61*0.1&lt;E59,"Exceed 10% Rule","")</f>
      </c>
      <c r="F60" s="16"/>
      <c r="G60" s="495"/>
      <c r="H60" s="69"/>
      <c r="I60" s="69"/>
      <c r="J60" s="484"/>
      <c r="K60" s="16"/>
    </row>
    <row r="61" spans="2:11" ht="15.75">
      <c r="B61" s="233" t="s">
        <v>432</v>
      </c>
      <c r="C61" s="369">
        <f>SUM(C36:C59)</f>
        <v>6777</v>
      </c>
      <c r="D61" s="369">
        <f>SUM(D36:D59)</f>
        <v>6850</v>
      </c>
      <c r="E61" s="234">
        <f>SUM(E36:E59)</f>
        <v>7550</v>
      </c>
      <c r="F61" s="16"/>
      <c r="G61" s="490">
        <f>D62</f>
        <v>1736</v>
      </c>
      <c r="H61" s="489" t="str">
        <f>CONCATENATE("",E3-1," Ending Cash Balance (est.)")</f>
        <v>2013 Ending Cash Balance (est.)</v>
      </c>
      <c r="I61" s="586"/>
      <c r="J61" s="484"/>
      <c r="K61" s="16"/>
    </row>
    <row r="62" spans="2:11" ht="15.75">
      <c r="B62" s="119" t="s">
        <v>516</v>
      </c>
      <c r="C62" s="370">
        <f>C34-C61</f>
        <v>4831</v>
      </c>
      <c r="D62" s="370">
        <f>D34-D61</f>
        <v>1736</v>
      </c>
      <c r="E62" s="128" t="s">
        <v>418</v>
      </c>
      <c r="F62" s="16"/>
      <c r="G62" s="490">
        <f>E33</f>
        <v>259</v>
      </c>
      <c r="H62" s="483" t="str">
        <f>CONCATENATE("",E3," Non-AV Receipts (est.)")</f>
        <v>2014 Non-AV Receipts (est.)</v>
      </c>
      <c r="I62" s="586"/>
      <c r="J62" s="484"/>
      <c r="K62" s="16"/>
    </row>
    <row r="63" spans="2:11" ht="15.75">
      <c r="B63" s="138" t="str">
        <f>CONCATENATE("",E3-2,"/",E3-1," Budget Authority Amount:")</f>
        <v>2012/2013 Budget Authority Amount:</v>
      </c>
      <c r="C63" s="120">
        <f>inputOth!B41</f>
        <v>7500</v>
      </c>
      <c r="D63" s="388">
        <f>inputPrYr!D19</f>
        <v>7550</v>
      </c>
      <c r="E63" s="128" t="s">
        <v>418</v>
      </c>
      <c r="F63" s="251"/>
      <c r="G63" s="482">
        <f>IF(E67&gt;0,E66,E68)</f>
        <v>5555</v>
      </c>
      <c r="H63" s="483" t="str">
        <f>CONCATENATE("",E3," Ad Valorem Tax (est.)")</f>
        <v>2014 Ad Valorem Tax (est.)</v>
      </c>
      <c r="I63" s="483"/>
      <c r="J63" s="484"/>
      <c r="K63" s="587">
        <f>IF(G63=E68,"","Note: Does not include Delinquent Taxes")</f>
      </c>
    </row>
    <row r="64" spans="2:11" ht="15.75">
      <c r="B64" s="138"/>
      <c r="C64" s="685" t="s">
        <v>231</v>
      </c>
      <c r="D64" s="686"/>
      <c r="E64" s="35"/>
      <c r="F64" s="588">
        <f>IF(E61/0.95-E61&lt;E64,"Exceeds 5%","")</f>
      </c>
      <c r="G64" s="490">
        <f>SUM(G61:G63)</f>
        <v>7550</v>
      </c>
      <c r="H64" s="483" t="str">
        <f>CONCATENATE("Total ",E3," Resources Available")</f>
        <v>Total 2014 Resources Available</v>
      </c>
      <c r="I64" s="586"/>
      <c r="J64" s="484"/>
      <c r="K64" s="16"/>
    </row>
    <row r="65" spans="2:11" ht="15.75">
      <c r="B65" s="386" t="str">
        <f>CONCATENATE(C81,"     ",D81)</f>
        <v>     </v>
      </c>
      <c r="C65" s="687" t="s">
        <v>232</v>
      </c>
      <c r="D65" s="688"/>
      <c r="E65" s="45">
        <f>E61+E64</f>
        <v>7550</v>
      </c>
      <c r="F65" s="16"/>
      <c r="G65" s="481"/>
      <c r="H65" s="483"/>
      <c r="I65" s="483"/>
      <c r="J65" s="484"/>
      <c r="K65" s="16"/>
    </row>
    <row r="66" spans="2:11" ht="15.75">
      <c r="B66" s="386" t="str">
        <f>CONCATENATE(C82,"     ",D82)</f>
        <v>     </v>
      </c>
      <c r="C66" s="494"/>
      <c r="D66" s="493" t="s">
        <v>233</v>
      </c>
      <c r="E66" s="42">
        <f>IF(E65-E34&gt;0,E65-E34,0)</f>
        <v>5555</v>
      </c>
      <c r="F66" s="16"/>
      <c r="G66" s="482">
        <f>ROUND(C61*0.05+C61,0)</f>
        <v>7116</v>
      </c>
      <c r="H66" s="483" t="str">
        <f>CONCATENATE("Less ",E3-2," Expenditures + 5%")</f>
        <v>Less 2012 Expenditures + 5%</v>
      </c>
      <c r="I66" s="586"/>
      <c r="J66" s="484"/>
      <c r="K66" s="16"/>
    </row>
    <row r="67" spans="2:11" ht="15.75">
      <c r="B67" s="155"/>
      <c r="C67" s="492" t="s">
        <v>234</v>
      </c>
      <c r="D67" s="598">
        <f>inputOth!$E$35</f>
        <v>0</v>
      </c>
      <c r="E67" s="45">
        <f>ROUND(IF(D67&gt;0,(E66*D67),0),0)</f>
        <v>0</v>
      </c>
      <c r="F67" s="16"/>
      <c r="G67" s="480">
        <f>G64-G66</f>
        <v>434</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5555</v>
      </c>
      <c r="F68" s="16"/>
      <c r="G68" s="16"/>
      <c r="H68" s="16"/>
      <c r="I68" s="16"/>
      <c r="J68" s="16"/>
      <c r="K68" s="16"/>
    </row>
    <row r="69" spans="2:11" ht="15.75">
      <c r="B69" s="18"/>
      <c r="C69" s="18"/>
      <c r="D69" s="18"/>
      <c r="E69" s="18"/>
      <c r="F69" s="16"/>
      <c r="G69" s="680" t="s">
        <v>305</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1.598</v>
      </c>
      <c r="H71" s="489" t="str">
        <f>CONCATENATE("",E3," Fund Mill Rate")</f>
        <v>2014 Fund Mill Rate</v>
      </c>
      <c r="I71" s="571"/>
      <c r="J71" s="591"/>
      <c r="K71" s="16"/>
    </row>
    <row r="72" spans="2:11" ht="15.75">
      <c r="B72" s="18"/>
      <c r="C72" s="18"/>
      <c r="D72" s="18"/>
      <c r="E72" s="18"/>
      <c r="F72" s="593"/>
      <c r="G72" s="594">
        <f>summ!E16</f>
        <v>0.932</v>
      </c>
      <c r="H72" s="489" t="str">
        <f>CONCATENATE("",E3-1," Fund Mill Rate")</f>
        <v>2013 Fund Mill Rate</v>
      </c>
      <c r="I72" s="571"/>
      <c r="J72" s="591"/>
      <c r="K72" s="16"/>
    </row>
    <row r="73" spans="2:11" ht="15.75">
      <c r="B73" s="18"/>
      <c r="C73" s="222"/>
      <c r="D73" s="222"/>
      <c r="E73" s="222"/>
      <c r="F73" s="577"/>
      <c r="G73" s="595">
        <f>summ!H23</f>
        <v>1.598</v>
      </c>
      <c r="H73" s="489" t="str">
        <f>CONCATENATE("Total ",E3," Mill Rate")</f>
        <v>Total 2014 Mill Rate</v>
      </c>
      <c r="I73" s="571"/>
      <c r="J73" s="591"/>
      <c r="K73" s="16"/>
    </row>
    <row r="74" spans="2:11" ht="15.75">
      <c r="B74" s="138"/>
      <c r="C74" s="18" t="s">
        <v>617</v>
      </c>
      <c r="D74" s="18"/>
      <c r="E74" s="18"/>
      <c r="F74" s="577"/>
      <c r="G74" s="594">
        <f>summ!E23</f>
        <v>0.932</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Greenlawn Cemetery #7</v>
      </c>
      <c r="B1" s="255"/>
      <c r="C1" s="60"/>
      <c r="D1" s="60"/>
      <c r="E1" s="60"/>
      <c r="F1" s="256" t="s">
        <v>621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622</v>
      </c>
      <c r="B3" s="60"/>
      <c r="C3" s="60"/>
      <c r="D3" s="60"/>
      <c r="E3" s="60"/>
      <c r="F3" s="255"/>
      <c r="G3" s="60"/>
      <c r="H3" s="60"/>
      <c r="I3" s="60"/>
      <c r="J3" s="60"/>
      <c r="K3" s="60"/>
    </row>
    <row r="4" spans="1:11" ht="15.75">
      <c r="A4" s="60" t="s">
        <v>623</v>
      </c>
      <c r="B4" s="60"/>
      <c r="C4" s="60" t="s">
        <v>624</v>
      </c>
      <c r="D4" s="60"/>
      <c r="E4" s="60" t="s">
        <v>625</v>
      </c>
      <c r="F4" s="255"/>
      <c r="G4" s="60" t="s">
        <v>626</v>
      </c>
      <c r="H4" s="60"/>
      <c r="I4" s="60" t="s">
        <v>627</v>
      </c>
      <c r="J4" s="60"/>
      <c r="K4" s="60"/>
    </row>
    <row r="5" spans="1:11" ht="15.75">
      <c r="A5" s="689" t="str">
        <f>inputPrYr!B30</f>
        <v>Memorial</v>
      </c>
      <c r="B5" s="690"/>
      <c r="C5" s="689">
        <f>inputPrYr!B31</f>
        <v>0</v>
      </c>
      <c r="D5" s="690"/>
      <c r="E5" s="689">
        <f>inputPrYr!B32</f>
        <v>0</v>
      </c>
      <c r="F5" s="690"/>
      <c r="G5" s="689">
        <f>inputPrYr!B33</f>
        <v>0</v>
      </c>
      <c r="H5" s="690"/>
      <c r="I5" s="689">
        <f>inputPrYr!B34</f>
        <v>0</v>
      </c>
      <c r="J5" s="690"/>
      <c r="K5" s="259"/>
    </row>
    <row r="6" spans="1:11" ht="15.75">
      <c r="A6" s="260" t="s">
        <v>628</v>
      </c>
      <c r="B6" s="261"/>
      <c r="C6" s="262" t="s">
        <v>628</v>
      </c>
      <c r="D6" s="263"/>
      <c r="E6" s="262" t="s">
        <v>628</v>
      </c>
      <c r="F6" s="264"/>
      <c r="G6" s="262" t="s">
        <v>628</v>
      </c>
      <c r="H6" s="258"/>
      <c r="I6" s="262" t="s">
        <v>628</v>
      </c>
      <c r="J6" s="60"/>
      <c r="K6" s="265" t="s">
        <v>403</v>
      </c>
    </row>
    <row r="7" spans="1:11" ht="15.75">
      <c r="A7" s="266" t="s">
        <v>629</v>
      </c>
      <c r="B7" s="267">
        <v>2625</v>
      </c>
      <c r="C7" s="268" t="s">
        <v>629</v>
      </c>
      <c r="D7" s="267"/>
      <c r="E7" s="268" t="s">
        <v>629</v>
      </c>
      <c r="F7" s="267"/>
      <c r="G7" s="268" t="s">
        <v>629</v>
      </c>
      <c r="H7" s="267"/>
      <c r="I7" s="268" t="s">
        <v>629</v>
      </c>
      <c r="J7" s="267"/>
      <c r="K7" s="269">
        <f>SUM(B7+D7+F7+H7+J7)</f>
        <v>2625</v>
      </c>
    </row>
    <row r="8" spans="1:11" ht="15.75">
      <c r="A8" s="270" t="s">
        <v>517</v>
      </c>
      <c r="B8" s="271"/>
      <c r="C8" s="270" t="s">
        <v>517</v>
      </c>
      <c r="D8" s="272"/>
      <c r="E8" s="270" t="s">
        <v>517</v>
      </c>
      <c r="F8" s="255"/>
      <c r="G8" s="270" t="s">
        <v>517</v>
      </c>
      <c r="H8" s="60"/>
      <c r="I8" s="270" t="s">
        <v>517</v>
      </c>
      <c r="J8" s="60"/>
      <c r="K8" s="255"/>
    </row>
    <row r="9" spans="1:11" ht="15.75">
      <c r="A9" s="273" t="s">
        <v>110</v>
      </c>
      <c r="B9" s="267">
        <v>100</v>
      </c>
      <c r="C9" s="273"/>
      <c r="D9" s="267"/>
      <c r="E9" s="273"/>
      <c r="F9" s="267"/>
      <c r="G9" s="273"/>
      <c r="H9" s="267"/>
      <c r="I9" s="273"/>
      <c r="J9" s="267"/>
      <c r="K9" s="255"/>
    </row>
    <row r="10" spans="1:11" ht="15.75">
      <c r="A10" s="273" t="s">
        <v>104</v>
      </c>
      <c r="B10" s="267">
        <v>3000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429</v>
      </c>
      <c r="B17" s="269">
        <f>SUM(B9:B16)</f>
        <v>3100</v>
      </c>
      <c r="C17" s="270" t="s">
        <v>429</v>
      </c>
      <c r="D17" s="269">
        <f>SUM(D9:D16)</f>
        <v>0</v>
      </c>
      <c r="E17" s="270" t="s">
        <v>429</v>
      </c>
      <c r="F17" s="283">
        <f>SUM(F9:F16)</f>
        <v>0</v>
      </c>
      <c r="G17" s="270" t="s">
        <v>429</v>
      </c>
      <c r="H17" s="269">
        <f>SUM(H9:H16)</f>
        <v>0</v>
      </c>
      <c r="I17" s="270" t="s">
        <v>429</v>
      </c>
      <c r="J17" s="269">
        <f>SUM(J9:J16)</f>
        <v>0</v>
      </c>
      <c r="K17" s="269">
        <f>SUM(B17+D17+F17+H17+J17)</f>
        <v>3100</v>
      </c>
    </row>
    <row r="18" spans="1:11" ht="15.75">
      <c r="A18" s="270" t="s">
        <v>430</v>
      </c>
      <c r="B18" s="269">
        <f>SUM(B7+B17)</f>
        <v>5725</v>
      </c>
      <c r="C18" s="270" t="s">
        <v>430</v>
      </c>
      <c r="D18" s="269">
        <f>SUM(D7+D17)</f>
        <v>0</v>
      </c>
      <c r="E18" s="270" t="s">
        <v>430</v>
      </c>
      <c r="F18" s="269">
        <f>SUM(F7+F17)</f>
        <v>0</v>
      </c>
      <c r="G18" s="270" t="s">
        <v>430</v>
      </c>
      <c r="H18" s="269">
        <f>SUM(H7+H17)</f>
        <v>0</v>
      </c>
      <c r="I18" s="270" t="s">
        <v>430</v>
      </c>
      <c r="J18" s="269">
        <f>SUM(J7+J17)</f>
        <v>0</v>
      </c>
      <c r="K18" s="269">
        <f>SUM(B18+D18+F18+H18+J18)</f>
        <v>5725</v>
      </c>
    </row>
    <row r="19" spans="1:11" ht="15.75">
      <c r="A19" s="270" t="s">
        <v>431</v>
      </c>
      <c r="B19" s="271"/>
      <c r="C19" s="270" t="s">
        <v>431</v>
      </c>
      <c r="D19" s="272"/>
      <c r="E19" s="270" t="s">
        <v>431</v>
      </c>
      <c r="F19" s="255"/>
      <c r="G19" s="270" t="s">
        <v>431</v>
      </c>
      <c r="H19" s="60"/>
      <c r="I19" s="270" t="s">
        <v>431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432</v>
      </c>
      <c r="B28" s="269">
        <f>SUM(B20:B27)</f>
        <v>0</v>
      </c>
      <c r="C28" s="270" t="s">
        <v>432</v>
      </c>
      <c r="D28" s="269">
        <f>SUM(D20:D27)</f>
        <v>0</v>
      </c>
      <c r="E28" s="270" t="s">
        <v>432</v>
      </c>
      <c r="F28" s="283">
        <f>SUM(F20:F27)</f>
        <v>0</v>
      </c>
      <c r="G28" s="270" t="s">
        <v>432</v>
      </c>
      <c r="H28" s="283">
        <f>SUM(H20:H27)</f>
        <v>0</v>
      </c>
      <c r="I28" s="270" t="s">
        <v>432</v>
      </c>
      <c r="J28" s="269">
        <f>SUM(J20:J27)</f>
        <v>0</v>
      </c>
      <c r="K28" s="269">
        <f>SUM(B28+D28+F28+H28+J28)</f>
        <v>0</v>
      </c>
    </row>
    <row r="29" spans="1:12" ht="15.75">
      <c r="A29" s="270" t="s">
        <v>630</v>
      </c>
      <c r="B29" s="269">
        <f>SUM(B18-B28)</f>
        <v>5725</v>
      </c>
      <c r="C29" s="270" t="s">
        <v>630</v>
      </c>
      <c r="D29" s="269">
        <f>SUM(D18-D28)</f>
        <v>0</v>
      </c>
      <c r="E29" s="270" t="s">
        <v>630</v>
      </c>
      <c r="F29" s="269">
        <f>SUM(F18-F28)</f>
        <v>0</v>
      </c>
      <c r="G29" s="270" t="s">
        <v>630</v>
      </c>
      <c r="H29" s="269">
        <f>SUM(H18-H28)</f>
        <v>0</v>
      </c>
      <c r="I29" s="270" t="s">
        <v>630</v>
      </c>
      <c r="J29" s="269">
        <f>SUM(J18-J28)</f>
        <v>0</v>
      </c>
      <c r="K29" s="284">
        <f>SUM(B29+D29+F29+H29+J29)</f>
        <v>5725</v>
      </c>
      <c r="L29" s="95" t="s">
        <v>631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5725</v>
      </c>
      <c r="L30" s="95" t="s">
        <v>631</v>
      </c>
    </row>
    <row r="31" spans="1:11" ht="15.75">
      <c r="A31" s="60"/>
      <c r="B31" s="285"/>
      <c r="C31" s="60"/>
      <c r="D31" s="255"/>
      <c r="E31" s="60"/>
      <c r="F31" s="60"/>
      <c r="G31" s="286" t="s">
        <v>632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434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Greenlawn Cemetery #7</v>
      </c>
      <c r="C1" s="18"/>
      <c r="D1" s="18"/>
      <c r="E1" s="236">
        <f>inputPrYr!$D$6</f>
        <v>2014</v>
      </c>
    </row>
    <row r="2" spans="2:5" ht="15.75">
      <c r="B2" s="18"/>
      <c r="C2" s="18"/>
      <c r="D2" s="18"/>
      <c r="E2" s="155"/>
    </row>
    <row r="3" spans="2:6" ht="15.75">
      <c r="B3" s="491" t="s">
        <v>471</v>
      </c>
      <c r="C3" s="222"/>
      <c r="D3" s="222"/>
      <c r="E3" s="237"/>
      <c r="F3" s="568"/>
    </row>
    <row r="4" spans="2:5" ht="15.75">
      <c r="B4" s="43" t="s">
        <v>422</v>
      </c>
      <c r="C4" s="371" t="s">
        <v>636</v>
      </c>
      <c r="D4" s="372" t="s">
        <v>637</v>
      </c>
      <c r="E4" s="223" t="s">
        <v>634</v>
      </c>
    </row>
    <row r="5" spans="2:5" ht="15.75">
      <c r="B5" s="390" t="s">
        <v>661</v>
      </c>
      <c r="C5" s="379" t="str">
        <f>CONCATENATE("Actual for ",E1-2,"")</f>
        <v>Actual for 2012</v>
      </c>
      <c r="D5" s="379" t="str">
        <f>CONCATENATE("Estimate for ",E1-1,"")</f>
        <v>Estimate for 2013</v>
      </c>
      <c r="E5" s="170" t="str">
        <f>CONCATENATE("Year for ",E1,"")</f>
        <v>Year for 2014</v>
      </c>
    </row>
    <row r="6" spans="2:5" ht="15.75">
      <c r="B6" s="113" t="s">
        <v>515</v>
      </c>
      <c r="C6" s="376"/>
      <c r="D6" s="380">
        <f>C54</f>
        <v>0</v>
      </c>
      <c r="E6" s="239">
        <f>D54</f>
        <v>0</v>
      </c>
    </row>
    <row r="7" spans="2:5" ht="15.75">
      <c r="B7" s="240" t="s">
        <v>517</v>
      </c>
      <c r="C7" s="378"/>
      <c r="D7" s="380"/>
      <c r="E7" s="239"/>
    </row>
    <row r="8" spans="2:5" ht="15.75">
      <c r="B8" s="113" t="s">
        <v>423</v>
      </c>
      <c r="C8" s="367"/>
      <c r="D8" s="378">
        <f>IF(inputPrYr!H18&gt;0,inputPrYr!G20,inputPrYr!E20)</f>
        <v>0</v>
      </c>
      <c r="E8" s="241" t="s">
        <v>418</v>
      </c>
    </row>
    <row r="9" spans="2:5" ht="15.75">
      <c r="B9" s="113" t="s">
        <v>424</v>
      </c>
      <c r="C9" s="367"/>
      <c r="D9" s="367"/>
      <c r="E9" s="242"/>
    </row>
    <row r="10" spans="2:5" ht="15.75">
      <c r="B10" s="113" t="s">
        <v>425</v>
      </c>
      <c r="C10" s="367"/>
      <c r="D10" s="367"/>
      <c r="E10" s="243">
        <f>mvalloc!D12</f>
        <v>0</v>
      </c>
    </row>
    <row r="11" spans="2:5" ht="15.75">
      <c r="B11" s="113" t="s">
        <v>426</v>
      </c>
      <c r="C11" s="367"/>
      <c r="D11" s="367"/>
      <c r="E11" s="243">
        <f>mvalloc!E12</f>
        <v>0</v>
      </c>
    </row>
    <row r="12" spans="2:5" ht="15.75">
      <c r="B12" s="244" t="s">
        <v>499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547</v>
      </c>
      <c r="C25" s="367"/>
      <c r="D25" s="367"/>
      <c r="E25" s="242"/>
    </row>
    <row r="26" spans="2:5" ht="15.75">
      <c r="B26" s="247" t="s">
        <v>428</v>
      </c>
      <c r="C26" s="367"/>
      <c r="D26" s="367"/>
      <c r="E26" s="242"/>
    </row>
    <row r="27" spans="2:5" ht="15.75">
      <c r="B27" s="230" t="s">
        <v>608</v>
      </c>
      <c r="C27" s="376"/>
      <c r="D27" s="376"/>
      <c r="E27" s="242"/>
    </row>
    <row r="28" spans="2:5" ht="15.75">
      <c r="B28" s="230" t="s">
        <v>135</v>
      </c>
      <c r="C28" s="368">
        <f>IF(C29*0.1&lt;C27,"Exceed 10% Rule","")</f>
      </c>
      <c r="D28" s="368">
        <f>IF(D29*0.1&lt;D27,"Exceed 10% Rule","")</f>
      </c>
      <c r="E28" s="387">
        <f>IF(E29*0.1+E60&lt;E27,"Exceed 10% Rule","")</f>
      </c>
    </row>
    <row r="29" spans="2:5" ht="15.75">
      <c r="B29" s="233" t="s">
        <v>429</v>
      </c>
      <c r="C29" s="377">
        <f>SUM(C8:C27)</f>
        <v>0</v>
      </c>
      <c r="D29" s="377">
        <f>SUM(D8:D27)</f>
        <v>0</v>
      </c>
      <c r="E29" s="248">
        <f>SUM(E8:E27)</f>
        <v>0</v>
      </c>
    </row>
    <row r="30" spans="2:5" ht="15.75">
      <c r="B30" s="233" t="s">
        <v>430</v>
      </c>
      <c r="C30" s="377">
        <f>C6+C29</f>
        <v>0</v>
      </c>
      <c r="D30" s="377">
        <f>D6+D29</f>
        <v>0</v>
      </c>
      <c r="E30" s="249">
        <f>E6+E29</f>
        <v>0</v>
      </c>
    </row>
    <row r="31" spans="2:5" ht="15.75">
      <c r="B31" s="240" t="s">
        <v>431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237</v>
      </c>
      <c r="H46" s="483"/>
      <c r="I46" s="483"/>
      <c r="J46" s="473">
        <v>0</v>
      </c>
      <c r="K46" s="599"/>
    </row>
    <row r="47" spans="2:11" ht="15.75">
      <c r="B47" s="250"/>
      <c r="C47" s="367"/>
      <c r="D47" s="367"/>
      <c r="E47" s="242"/>
      <c r="F47" s="599"/>
      <c r="G47" s="476" t="s">
        <v>238</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304</v>
      </c>
      <c r="H49" s="584"/>
      <c r="I49" s="584"/>
      <c r="J49" s="585">
        <f>IF(J46&gt;0,J48-E57,0)</f>
        <v>0</v>
      </c>
      <c r="K49" s="599"/>
    </row>
    <row r="50" spans="2:11" ht="15.75">
      <c r="B50" s="121" t="s">
        <v>609</v>
      </c>
      <c r="C50" s="376"/>
      <c r="D50" s="376"/>
      <c r="E50" s="176">
        <f>Nhood!E8</f>
      </c>
      <c r="F50" s="599"/>
      <c r="G50" s="599"/>
      <c r="H50" s="599"/>
      <c r="I50" s="599"/>
      <c r="J50" s="599"/>
      <c r="K50" s="599"/>
    </row>
    <row r="51" spans="2:11" ht="15.75">
      <c r="B51" s="121" t="s">
        <v>608</v>
      </c>
      <c r="C51" s="376"/>
      <c r="D51" s="376"/>
      <c r="E51" s="242"/>
      <c r="F51" s="599"/>
      <c r="G51" s="677" t="str">
        <f>CONCATENATE("Projected Carryover Into ",E1+1,"")</f>
        <v>Projected Carryover Into 2015</v>
      </c>
      <c r="H51" s="691"/>
      <c r="I51" s="691"/>
      <c r="J51" s="692"/>
      <c r="K51" s="599"/>
    </row>
    <row r="52" spans="2:11" ht="15.75">
      <c r="B52" s="121" t="s">
        <v>134</v>
      </c>
      <c r="C52" s="368">
        <f>IF(C53*0.1&lt;C51,"Exceed 10% Rule","")</f>
      </c>
      <c r="D52" s="368">
        <f>IF(D53*0.1&lt;D51,"Exceed 10% Rule","")</f>
      </c>
      <c r="E52" s="387">
        <f>IF(E53*0.1&lt;E51,"Exceed 10% Rule","")</f>
      </c>
      <c r="F52" s="599"/>
      <c r="G52" s="476"/>
      <c r="H52" s="483"/>
      <c r="I52" s="483"/>
      <c r="J52" s="601"/>
      <c r="K52" s="599"/>
    </row>
    <row r="53" spans="2:11" ht="15.75">
      <c r="B53" s="233" t="s">
        <v>432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516</v>
      </c>
      <c r="C54" s="375">
        <f>C30-C53</f>
        <v>0</v>
      </c>
      <c r="D54" s="375">
        <f>D30-D53</f>
        <v>0</v>
      </c>
      <c r="E54" s="241" t="s">
        <v>418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418</v>
      </c>
      <c r="F55" s="251"/>
      <c r="G55" s="482">
        <f>IF(E59&gt;0,E58,E60)</f>
        <v>0</v>
      </c>
      <c r="H55" s="483" t="str">
        <f>CONCATENATE("",E1," Ad Valorem Tax (est.)")</f>
        <v>2014 Ad Valorem Tax (est.)</v>
      </c>
      <c r="I55" s="586"/>
      <c r="J55" s="601"/>
      <c r="K55" s="587">
        <f>IF(G55=E60,"","Note: Does not include Delinquent Taxes")</f>
      </c>
    </row>
    <row r="56" spans="2:11" ht="15.75">
      <c r="B56" s="138"/>
      <c r="C56" s="685" t="s">
        <v>231</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232</v>
      </c>
      <c r="D57" s="688"/>
      <c r="E57" s="45">
        <f>E53+E56</f>
        <v>0</v>
      </c>
      <c r="F57"/>
      <c r="G57" s="481"/>
      <c r="H57" s="483"/>
      <c r="I57" s="483"/>
      <c r="J57" s="601"/>
      <c r="K57" s="599"/>
    </row>
    <row r="58" spans="2:11" ht="15.75">
      <c r="B58" s="386" t="str">
        <f>CONCATENATE(C69,"     ",D69)</f>
        <v>     </v>
      </c>
      <c r="C58" s="494"/>
      <c r="D58" s="493" t="s">
        <v>233</v>
      </c>
      <c r="E58" s="42">
        <f>IF(E57-E30&gt;0,E57-E30,0)</f>
        <v>0</v>
      </c>
      <c r="F58"/>
      <c r="G58" s="482">
        <f>C53</f>
        <v>0</v>
      </c>
      <c r="H58" s="483" t="str">
        <f>CONCATENATE("Less ",E1-2," Expenditures")</f>
        <v>Less 2012 Expenditures</v>
      </c>
      <c r="I58" s="483"/>
      <c r="J58" s="601"/>
      <c r="K58" s="599"/>
    </row>
    <row r="59" spans="2:11" ht="15.75">
      <c r="B59" s="155"/>
      <c r="C59" s="492" t="s">
        <v>234</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305</v>
      </c>
      <c r="H61" s="681"/>
      <c r="I61" s="681"/>
      <c r="J61" s="682"/>
      <c r="K61" s="599"/>
    </row>
    <row r="62" spans="2:11" ht="15.75">
      <c r="B62" s="138" t="s">
        <v>434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1.598</v>
      </c>
      <c r="H65" s="489" t="str">
        <f>CONCATENATE("Total ",E1," Mill Rate")</f>
        <v>Total 2014 Mill Rate</v>
      </c>
      <c r="I65" s="571"/>
      <c r="J65" s="591"/>
      <c r="K65" s="599"/>
    </row>
    <row r="66" spans="6:11" ht="15.75">
      <c r="F66"/>
      <c r="G66" s="594">
        <f>summ!E23</f>
        <v>0.932</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473</v>
      </c>
      <c r="B1" s="640"/>
      <c r="C1" s="640"/>
      <c r="D1" s="640"/>
      <c r="E1" s="640"/>
      <c r="F1" s="640"/>
      <c r="G1" s="640"/>
      <c r="H1" s="701"/>
    </row>
    <row r="2" spans="1:8" ht="15.75">
      <c r="A2" s="18"/>
      <c r="B2" s="18"/>
      <c r="C2" s="18"/>
      <c r="D2" s="18"/>
      <c r="E2" s="18"/>
      <c r="F2" s="18"/>
      <c r="G2" s="18"/>
      <c r="H2" s="18"/>
    </row>
    <row r="3" spans="1:9" ht="15.75">
      <c r="A3" s="669" t="s">
        <v>500</v>
      </c>
      <c r="B3" s="669"/>
      <c r="C3" s="669"/>
      <c r="D3" s="669"/>
      <c r="E3" s="669"/>
      <c r="F3" s="669"/>
      <c r="G3" s="669"/>
      <c r="H3" s="669"/>
      <c r="I3" s="52">
        <f>inputPrYr!D6</f>
        <v>2014</v>
      </c>
    </row>
    <row r="4" spans="1:8" ht="15.75">
      <c r="A4" s="638" t="str">
        <f>inputPrYr!D3</f>
        <v>Greenlawn Cemetery #7</v>
      </c>
      <c r="B4" s="638"/>
      <c r="C4" s="638"/>
      <c r="D4" s="638"/>
      <c r="E4" s="638"/>
      <c r="F4" s="638"/>
      <c r="G4" s="638"/>
      <c r="H4" s="638"/>
    </row>
    <row r="5" spans="1:8" ht="15.75">
      <c r="A5" s="704" t="str">
        <f>inputPrYr!D4</f>
        <v>Dickinson County</v>
      </c>
      <c r="B5" s="704"/>
      <c r="C5" s="704"/>
      <c r="D5" s="704"/>
      <c r="E5" s="704"/>
      <c r="F5" s="704"/>
      <c r="G5" s="704"/>
      <c r="H5" s="704"/>
    </row>
    <row r="6" spans="1:8" ht="15.75">
      <c r="A6" s="656" t="str">
        <f>CONCATENATE("will meet on ",inputBudSum!B7," at ",inputBudSum!B9," at ",inputBudSum!B11," for the purpose of hearing and")</f>
        <v>will meet on August 17, 2013 at 7:00 PM at Alan Anderson- 1325 Deer Rd , Abilene, KS  for the purpose of hearing and</v>
      </c>
      <c r="B6" s="656"/>
      <c r="C6" s="656"/>
      <c r="D6" s="656"/>
      <c r="E6" s="656"/>
      <c r="F6" s="656"/>
      <c r="G6" s="656"/>
      <c r="H6" s="656"/>
    </row>
    <row r="7" spans="1:8" ht="15.75">
      <c r="A7" s="97" t="s">
        <v>719</v>
      </c>
      <c r="B7" s="24"/>
      <c r="C7" s="24"/>
      <c r="D7" s="24"/>
      <c r="E7" s="24"/>
      <c r="F7" s="24"/>
      <c r="G7" s="24"/>
      <c r="H7" s="24"/>
    </row>
    <row r="8" spans="1:8" ht="15.75">
      <c r="A8" s="97" t="str">
        <f>CONCATENATE("Detailed budget information is available at ",inputBudSum!B14," and will be available at this hearing.")</f>
        <v>Detailed budget information is available at Alan Anderson- 1325 Deer Rd , Abilene, KS  and will be available at this hearing.</v>
      </c>
      <c r="B8" s="24"/>
      <c r="C8" s="24"/>
      <c r="D8" s="24"/>
      <c r="E8" s="24"/>
      <c r="F8" s="24"/>
      <c r="G8" s="24"/>
      <c r="H8" s="24"/>
    </row>
    <row r="9" spans="1:8" ht="15.75">
      <c r="A9" s="23" t="s">
        <v>474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2014</v>
      </c>
      <c r="K12" s="705"/>
      <c r="L12" s="705"/>
      <c r="M12" s="70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441</v>
      </c>
      <c r="D14" s="105"/>
      <c r="E14" s="293" t="s">
        <v>441</v>
      </c>
      <c r="F14" s="215" t="s">
        <v>602</v>
      </c>
      <c r="G14" s="702" t="str">
        <f>CONCATENATE("Amount of ",I3-1," Ad Valorem Tax")</f>
        <v>Amount of 2013 Ad Valorem Tax</v>
      </c>
      <c r="H14" s="293" t="s">
        <v>138</v>
      </c>
      <c r="J14" s="501" t="s">
        <v>239</v>
      </c>
      <c r="K14" s="502"/>
      <c r="L14" s="502"/>
      <c r="M14" s="503">
        <f>ROUND(F27/1000,0)</f>
        <v>3476</v>
      </c>
    </row>
    <row r="15" spans="1:13" ht="15.75">
      <c r="A15" s="169" t="s">
        <v>442</v>
      </c>
      <c r="B15" s="114" t="s">
        <v>443</v>
      </c>
      <c r="C15" s="294" t="s">
        <v>587</v>
      </c>
      <c r="D15" s="114" t="s">
        <v>443</v>
      </c>
      <c r="E15" s="294" t="s">
        <v>587</v>
      </c>
      <c r="F15" s="114" t="s">
        <v>133</v>
      </c>
      <c r="G15" s="703"/>
      <c r="H15" s="294" t="s">
        <v>587</v>
      </c>
      <c r="J15" s="16"/>
      <c r="K15" s="16"/>
      <c r="L15" s="16"/>
      <c r="M15" s="16"/>
    </row>
    <row r="16" spans="1:13" ht="15.75">
      <c r="A16" s="36" t="str">
        <f>inputPrYr!B19</f>
        <v>General</v>
      </c>
      <c r="B16" s="123">
        <f>IF(gen!$C$61&lt;&gt;0,gen!$C$61,"  ")</f>
        <v>6777</v>
      </c>
      <c r="C16" s="624">
        <f>IF(inputPrYr!D38&gt;0,inputPrYr!D38,"  ")</f>
        <v>1.766</v>
      </c>
      <c r="D16" s="561">
        <f>IF(gen!$D$61&lt;&gt;0,gen!$D$61,"  ")</f>
        <v>6850</v>
      </c>
      <c r="E16" s="627">
        <f>IF(inputOth!D16&gt;0,inputOth!D16,"  ")</f>
        <v>0.932</v>
      </c>
      <c r="F16" s="561">
        <f>IF(gen!$E$61&lt;&gt;0,gen!$E$61,"  ")</f>
        <v>7550</v>
      </c>
      <c r="G16" s="243">
        <f>IF(gen!$E$68&lt;&gt;0,gen!$E$68,"  ")</f>
        <v>5555</v>
      </c>
      <c r="H16" s="624">
        <f>IF(gen!E68&gt;0,ROUND(G16/$F$27*1000,3)," ")</f>
        <v>1.598</v>
      </c>
      <c r="J16" s="693" t="str">
        <f>CONCATENATE("Want The Mill Rate The Same As For ",I3-1,"?")</f>
        <v>Want The Mill Rate The Same As For 2013?</v>
      </c>
      <c r="K16" s="694"/>
      <c r="L16" s="694"/>
      <c r="M16" s="695"/>
    </row>
    <row r="17" spans="1:13" ht="15.75">
      <c r="A17" s="36" t="s">
        <v>661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0.932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-2315</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524</v>
      </c>
      <c r="B23" s="621">
        <f>SUM(B16:B22)</f>
        <v>6777</v>
      </c>
      <c r="C23" s="626">
        <f aca="true" t="shared" si="0" ref="C23:H23">SUM(C16:C21)</f>
        <v>1.766</v>
      </c>
      <c r="D23" s="621">
        <f t="shared" si="0"/>
        <v>6850</v>
      </c>
      <c r="E23" s="629">
        <f t="shared" si="0"/>
        <v>0.932</v>
      </c>
      <c r="F23" s="621">
        <f t="shared" si="0"/>
        <v>7550</v>
      </c>
      <c r="G23" s="621">
        <f t="shared" si="0"/>
        <v>5555</v>
      </c>
      <c r="H23" s="629">
        <f t="shared" si="0"/>
        <v>1.598</v>
      </c>
      <c r="J23" s="693" t="str">
        <f>CONCATENATE("Impact On Keeping The Same Mill Rate As For ",I3-1,"")</f>
        <v>Impact On Keeping The Same Mill Rate As For 2013</v>
      </c>
      <c r="K23" s="696"/>
      <c r="L23" s="696"/>
      <c r="M23" s="697"/>
    </row>
    <row r="24" spans="1:13" ht="15.75">
      <c r="A24" s="33" t="s">
        <v>557</v>
      </c>
      <c r="B24" s="42">
        <f>transfers!C26</f>
        <v>0</v>
      </c>
      <c r="C24" s="126"/>
      <c r="D24" s="42">
        <f>transfers!D26</f>
        <v>0</v>
      </c>
      <c r="E24" s="126"/>
      <c r="F24" s="622">
        <f>transfers!E26</f>
        <v>0</v>
      </c>
      <c r="G24" s="238"/>
      <c r="H24" s="295"/>
      <c r="J24" s="504"/>
      <c r="K24" s="499"/>
      <c r="L24" s="499"/>
      <c r="M24" s="505"/>
    </row>
    <row r="25" spans="1:13" ht="16.5" thickBot="1">
      <c r="A25" s="33" t="s">
        <v>558</v>
      </c>
      <c r="B25" s="129">
        <f>SUM(B23-B24)</f>
        <v>6777</v>
      </c>
      <c r="C25" s="296"/>
      <c r="D25" s="129">
        <f>SUM(D23-D24)</f>
        <v>6850</v>
      </c>
      <c r="E25" s="296"/>
      <c r="F25" s="485">
        <f>SUM(F23-F24)</f>
        <v>7550</v>
      </c>
      <c r="G25" s="238"/>
      <c r="H25" s="295"/>
      <c r="J25" s="504" t="str">
        <f>CONCATENATE("",I3," Ad Valorem Tax Revenue:")</f>
        <v>2014 Ad Valorem Tax Revenue:</v>
      </c>
      <c r="K25" s="499"/>
      <c r="L25" s="499"/>
      <c r="M25" s="500">
        <f>G23</f>
        <v>5555</v>
      </c>
    </row>
    <row r="26" spans="1:13" ht="16.5" thickTop="1">
      <c r="A26" s="33" t="s">
        <v>444</v>
      </c>
      <c r="B26" s="621">
        <f>inputPrYr!E44</f>
        <v>5502</v>
      </c>
      <c r="C26" s="215"/>
      <c r="D26" s="621">
        <f>inputPrYr!E24</f>
        <v>3239</v>
      </c>
      <c r="E26" s="215"/>
      <c r="F26" s="83" t="s">
        <v>563</v>
      </c>
      <c r="G26" s="18"/>
      <c r="H26" s="18"/>
      <c r="J26" s="504" t="str">
        <f>CONCATENATE("",I3-1," Ad Valorem Tax Revenue:")</f>
        <v>2013 Ad Valorem Tax Revenue:</v>
      </c>
      <c r="K26" s="499"/>
      <c r="L26" s="499"/>
      <c r="M26" s="513">
        <f>ROUND(F27*M18/1000,0)</f>
        <v>3240</v>
      </c>
    </row>
    <row r="27" spans="1:13" ht="15.75">
      <c r="A27" s="33" t="s">
        <v>559</v>
      </c>
      <c r="B27" s="42">
        <f>inputPrYr!E45</f>
        <v>3115785</v>
      </c>
      <c r="C27" s="215"/>
      <c r="D27" s="42">
        <f>inputOth!E24</f>
        <v>3476185</v>
      </c>
      <c r="E27" s="215"/>
      <c r="F27" s="42">
        <f>inputOth!E7</f>
        <v>3476185</v>
      </c>
      <c r="G27" s="18"/>
      <c r="H27" s="18"/>
      <c r="J27" s="514" t="s">
        <v>240</v>
      </c>
      <c r="K27" s="515"/>
      <c r="L27" s="515"/>
      <c r="M27" s="503">
        <f>M25-M26</f>
        <v>2315</v>
      </c>
    </row>
    <row r="28" spans="1:13" ht="15.75">
      <c r="A28" s="20"/>
      <c r="B28" s="238"/>
      <c r="C28" s="69"/>
      <c r="D28" s="238"/>
      <c r="E28" s="69"/>
      <c r="F28" s="238"/>
      <c r="G28" s="18"/>
      <c r="H28" s="18"/>
      <c r="J28" s="516"/>
      <c r="K28" s="516"/>
      <c r="L28" s="516"/>
      <c r="M28" s="512"/>
    </row>
    <row r="29" spans="1:13" ht="15.75">
      <c r="A29" s="17" t="s">
        <v>445</v>
      </c>
      <c r="B29" s="18"/>
      <c r="C29" s="18"/>
      <c r="D29" s="18"/>
      <c r="E29" s="18"/>
      <c r="F29" s="18"/>
      <c r="G29" s="18"/>
      <c r="H29" s="18"/>
      <c r="J29" s="693" t="s">
        <v>241</v>
      </c>
      <c r="K29" s="694"/>
      <c r="L29" s="694"/>
      <c r="M29" s="695"/>
    </row>
    <row r="30" spans="1:13" ht="15.75">
      <c r="A30" s="17" t="s">
        <v>556</v>
      </c>
      <c r="B30" s="98">
        <f>I3-3</f>
        <v>2011</v>
      </c>
      <c r="C30" s="18"/>
      <c r="D30" s="98">
        <f>I3-2</f>
        <v>2012</v>
      </c>
      <c r="E30" s="18"/>
      <c r="F30" s="98">
        <f>I3-1</f>
        <v>2013</v>
      </c>
      <c r="G30" s="18"/>
      <c r="H30" s="18"/>
      <c r="J30" s="504"/>
      <c r="K30" s="499"/>
      <c r="L30" s="499"/>
      <c r="M30" s="505"/>
    </row>
    <row r="31" spans="1:13" ht="15.75">
      <c r="A31" s="17" t="s">
        <v>446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1.598</v>
      </c>
    </row>
    <row r="32" spans="1:13" ht="15.75">
      <c r="A32" s="18" t="s">
        <v>447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235</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525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448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449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Greenlawn Cemetery #7</v>
      </c>
      <c r="B40" s="664"/>
      <c r="C40" s="99"/>
      <c r="D40" s="18"/>
      <c r="E40" s="18"/>
      <c r="F40" s="18"/>
      <c r="G40" s="18"/>
      <c r="H40" s="52"/>
    </row>
    <row r="41" spans="1:8" ht="15.75">
      <c r="A41" s="698" t="str">
        <f>inputBudSum!B5</f>
        <v>Dickinson County</v>
      </c>
      <c r="B41" s="699"/>
      <c r="C41" s="18"/>
      <c r="D41" s="138" t="s">
        <v>434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tabColor indexed="32"/>
    <pageSetUpPr fitToPage="1"/>
  </sheetPr>
  <dimension ref="B1:J53"/>
  <sheetViews>
    <sheetView zoomScalePageLayoutView="0" workbookViewId="0" topLeftCell="A1">
      <selection activeCell="L9" sqref="L9"/>
    </sheetView>
  </sheetViews>
  <sheetFormatPr defaultColWidth="9.796875" defaultRowHeight="15"/>
  <cols>
    <col min="1" max="1" width="8.8984375" style="2" customWidth="1"/>
    <col min="2" max="16384" width="9.796875" style="2" customWidth="1"/>
  </cols>
  <sheetData>
    <row r="1" spans="2:8" ht="15.75">
      <c r="B1" s="707" t="s">
        <v>529</v>
      </c>
      <c r="C1" s="707"/>
      <c r="D1" s="707"/>
      <c r="E1" s="707"/>
      <c r="F1" s="707"/>
      <c r="G1" s="707"/>
      <c r="H1" s="707"/>
    </row>
    <row r="2" spans="2:8" ht="15.75">
      <c r="B2" s="6"/>
      <c r="C2"/>
      <c r="D2"/>
      <c r="E2"/>
      <c r="F2"/>
      <c r="G2"/>
      <c r="H2"/>
    </row>
    <row r="3" spans="2:8" ht="15.75">
      <c r="B3" s="708" t="s">
        <v>797</v>
      </c>
      <c r="C3" s="708"/>
      <c r="D3" s="708"/>
      <c r="E3" s="708"/>
      <c r="F3" s="708"/>
      <c r="G3" s="708"/>
      <c r="H3" s="708"/>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Greenlawn Cemetery #7 District with respect to financing the 2014 annual budget for Greenlawn Cemetery #7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564</v>
      </c>
      <c r="C8"/>
      <c r="D8"/>
      <c r="E8"/>
      <c r="F8"/>
      <c r="G8"/>
      <c r="H8"/>
    </row>
    <row r="9" spans="2:8" ht="15.75">
      <c r="B9" s="12" t="str">
        <f>CONCATENATE("",inputPrYr!D6," ",(inputPrYr!D3)," district budget exceed the amount levied to finance the")</f>
        <v>2014 Greenlawn Cemetery #7 district budget exceed the amount levied to finance the</v>
      </c>
      <c r="C9"/>
      <c r="D9"/>
      <c r="E9"/>
      <c r="F9"/>
      <c r="G9"/>
      <c r="H9"/>
    </row>
    <row r="10" spans="2:8" ht="15.75">
      <c r="B10" s="12" t="str">
        <f>CONCATENATE("",inputPrYr!D6-1," ",inputPrYr!D3," except with regard to revenue produced and attributable to the")</f>
        <v>2013 Greenlawn Cemetery #7 except with regard to revenue produced and attributable to the</v>
      </c>
      <c r="C10"/>
      <c r="D10"/>
      <c r="E10"/>
      <c r="F10"/>
      <c r="G10"/>
      <c r="H10"/>
    </row>
    <row r="11" spans="2:8" ht="15.75">
      <c r="B11" s="709" t="s">
        <v>565</v>
      </c>
      <c r="C11" s="710"/>
      <c r="D11" s="710"/>
      <c r="E11" s="710"/>
      <c r="F11" s="710"/>
      <c r="G11" s="710"/>
      <c r="H11" s="710"/>
    </row>
    <row r="12" spans="2:8" ht="15.75">
      <c r="B12" s="710"/>
      <c r="C12" s="710"/>
      <c r="D12" s="710"/>
      <c r="E12" s="710"/>
      <c r="F12" s="710"/>
      <c r="G12" s="710"/>
      <c r="H12" s="710"/>
    </row>
    <row r="13" spans="2:8" ht="15.75">
      <c r="B13" s="710"/>
      <c r="C13" s="710"/>
      <c r="D13" s="710"/>
      <c r="E13" s="710"/>
      <c r="F13" s="710"/>
      <c r="G13" s="710"/>
      <c r="H13" s="710"/>
    </row>
    <row r="14" spans="2:8" ht="15.75">
      <c r="B14" s="710"/>
      <c r="C14" s="710"/>
      <c r="D14" s="710"/>
      <c r="E14" s="710"/>
      <c r="F14" s="710"/>
      <c r="G14" s="710"/>
      <c r="H14" s="710"/>
    </row>
    <row r="15" spans="2:8" ht="15.75">
      <c r="B15" s="1"/>
      <c r="C15" s="1"/>
      <c r="D15" s="1"/>
      <c r="E15" s="1"/>
      <c r="F15" s="1"/>
      <c r="G15" s="1"/>
      <c r="H15" s="1"/>
    </row>
    <row r="16" spans="2:8" ht="15.75">
      <c r="B16" s="715" t="s">
        <v>538</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Greenlawn Cemetery #7 provides essential services to district residents; and</v>
      </c>
      <c r="C19"/>
      <c r="D19"/>
      <c r="E19"/>
      <c r="F19"/>
      <c r="G19"/>
      <c r="H19"/>
    </row>
    <row r="20" spans="2:8" ht="15.75">
      <c r="B20" s="12"/>
      <c r="C20"/>
      <c r="D20"/>
      <c r="E20"/>
      <c r="F20"/>
      <c r="G20"/>
      <c r="H20"/>
    </row>
    <row r="21" spans="2:8" ht="15.75">
      <c r="B21" s="12" t="s">
        <v>539</v>
      </c>
      <c r="C21"/>
      <c r="D21"/>
      <c r="E21"/>
      <c r="F21"/>
      <c r="G21"/>
      <c r="H21"/>
    </row>
    <row r="22" spans="2:8" ht="15.75">
      <c r="B22" s="12"/>
      <c r="C22"/>
      <c r="D22"/>
      <c r="E22"/>
      <c r="F22"/>
      <c r="G22"/>
      <c r="H22"/>
    </row>
    <row r="23" spans="2:8" ht="15.75">
      <c r="B23" s="70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Greenlawn Cemetery #7 that is our desire to notify the public of the possibility of increased property taxes to finance the 2014 Greenlawn Cemetery #7  budget as defined above.</v>
      </c>
      <c r="C23" s="717"/>
      <c r="D23" s="717"/>
      <c r="E23" s="717"/>
      <c r="F23" s="717"/>
      <c r="G23" s="717"/>
      <c r="H23" s="717"/>
    </row>
    <row r="24" spans="2:8" ht="15.75">
      <c r="B24" s="717"/>
      <c r="C24" s="717"/>
      <c r="D24" s="717"/>
      <c r="E24" s="717"/>
      <c r="F24" s="717"/>
      <c r="G24" s="717"/>
      <c r="H24" s="717"/>
    </row>
    <row r="25" spans="2:8" ht="15.75">
      <c r="B25" s="717"/>
      <c r="C25" s="717"/>
      <c r="D25" s="717"/>
      <c r="E25" s="717"/>
      <c r="F25" s="717"/>
      <c r="G25" s="717"/>
      <c r="H25" s="717"/>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Greenlawn Cemetery #7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Greenlawn Cemetery #7 District Board</v>
      </c>
      <c r="C31"/>
      <c r="D31"/>
      <c r="E31"/>
      <c r="F31"/>
      <c r="G31"/>
      <c r="H31"/>
    </row>
    <row r="32" spans="2:8" ht="15.75">
      <c r="B32" s="8"/>
      <c r="C32"/>
      <c r="D32"/>
      <c r="E32"/>
      <c r="F32"/>
      <c r="G32"/>
      <c r="H32"/>
    </row>
    <row r="33" spans="2:8" ht="15.75">
      <c r="B33"/>
      <c r="C33"/>
      <c r="D33"/>
      <c r="E33" s="711" t="s">
        <v>527</v>
      </c>
      <c r="F33" s="711"/>
      <c r="G33" s="711"/>
      <c r="H33" s="711"/>
    </row>
    <row r="34" spans="2:8" ht="15.75">
      <c r="B34"/>
      <c r="C34"/>
      <c r="D34"/>
      <c r="E34" s="711" t="s">
        <v>530</v>
      </c>
      <c r="F34" s="711"/>
      <c r="G34" s="711"/>
      <c r="H34" s="711"/>
    </row>
    <row r="35" spans="2:8" ht="15.75">
      <c r="B35" s="8"/>
      <c r="C35"/>
      <c r="D35"/>
      <c r="E35" s="711"/>
      <c r="F35" s="711"/>
      <c r="G35" s="711"/>
      <c r="H35" s="711"/>
    </row>
    <row r="36" spans="2:8" ht="15.75">
      <c r="B36"/>
      <c r="C36"/>
      <c r="D36"/>
      <c r="E36" s="711" t="s">
        <v>527</v>
      </c>
      <c r="F36" s="711"/>
      <c r="G36" s="711"/>
      <c r="H36" s="711"/>
    </row>
    <row r="37" spans="2:8" ht="15.75">
      <c r="B37"/>
      <c r="C37"/>
      <c r="D37"/>
      <c r="E37" s="711" t="s">
        <v>531</v>
      </c>
      <c r="F37" s="711"/>
      <c r="G37" s="711"/>
      <c r="H37" s="711"/>
    </row>
    <row r="38" spans="2:8" ht="15.75">
      <c r="B38" s="8"/>
      <c r="C38"/>
      <c r="D38"/>
      <c r="E38" s="711"/>
      <c r="F38" s="711"/>
      <c r="G38" s="711"/>
      <c r="H38" s="711"/>
    </row>
    <row r="39" spans="2:8" ht="15.75">
      <c r="B39"/>
      <c r="C39"/>
      <c r="D39"/>
      <c r="E39" s="711" t="s">
        <v>527</v>
      </c>
      <c r="F39" s="711"/>
      <c r="G39" s="711"/>
      <c r="H39" s="711"/>
    </row>
    <row r="40" spans="2:8" ht="15.75">
      <c r="B40"/>
      <c r="C40"/>
      <c r="D40"/>
      <c r="E40" s="711" t="s">
        <v>532</v>
      </c>
      <c r="F40" s="711"/>
      <c r="G40" s="711"/>
      <c r="H40" s="71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434</v>
      </c>
      <c r="E45" s="15">
        <v>9</v>
      </c>
      <c r="F45" s="13"/>
      <c r="G45" s="13"/>
      <c r="H45" s="13"/>
    </row>
    <row r="46" spans="2:8" ht="15.75">
      <c r="B46" s="10" t="s">
        <v>528</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Greenlawn Cemetery #7</v>
      </c>
      <c r="C1" s="18"/>
      <c r="D1" s="18"/>
      <c r="E1" s="182"/>
    </row>
    <row r="2" spans="2:5" ht="15.75">
      <c r="B2" s="18" t="str">
        <f>inputPrYr!D4</f>
        <v>Dickinson County</v>
      </c>
      <c r="C2" s="18"/>
      <c r="D2" s="18"/>
      <c r="E2" s="138"/>
    </row>
    <row r="3" spans="2:6" ht="15.75">
      <c r="B3" s="25" t="s">
        <v>471</v>
      </c>
      <c r="C3" s="222"/>
      <c r="D3" s="222"/>
      <c r="E3" s="18">
        <f>inputPrYr!D6</f>
        <v>2014</v>
      </c>
      <c r="F3" s="568"/>
    </row>
    <row r="4" spans="2:5" ht="15.75">
      <c r="B4" s="18"/>
      <c r="C4" s="106"/>
      <c r="D4" s="106"/>
      <c r="E4" s="106"/>
    </row>
    <row r="5" spans="2:5" ht="15.75">
      <c r="B5" s="17" t="s">
        <v>422</v>
      </c>
      <c r="C5" s="371" t="s">
        <v>636</v>
      </c>
      <c r="D5" s="372" t="s">
        <v>635</v>
      </c>
      <c r="E5" s="223" t="s">
        <v>634</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515</v>
      </c>
      <c r="C7" s="367"/>
      <c r="D7" s="374">
        <f>C34</f>
        <v>0</v>
      </c>
      <c r="E7" s="45">
        <f>D34</f>
        <v>0</v>
      </c>
    </row>
    <row r="8" spans="2:5" ht="15.75">
      <c r="B8" s="226" t="s">
        <v>517</v>
      </c>
      <c r="C8" s="227"/>
      <c r="D8" s="227"/>
      <c r="E8" s="123"/>
    </row>
    <row r="9" spans="2:5" ht="15.75">
      <c r="B9" s="119" t="s">
        <v>423</v>
      </c>
      <c r="C9" s="367"/>
      <c r="D9" s="374">
        <f>IF(inputPrYr!H18&gt;0,inputPrYr!G22,inputPrYr!E22)</f>
        <v>0</v>
      </c>
      <c r="E9" s="128" t="s">
        <v>418</v>
      </c>
    </row>
    <row r="10" spans="2:5" ht="15.75">
      <c r="B10" s="119" t="s">
        <v>424</v>
      </c>
      <c r="C10" s="367"/>
      <c r="D10" s="367"/>
      <c r="E10" s="198"/>
    </row>
    <row r="11" spans="2:5" ht="15.75">
      <c r="B11" s="119" t="s">
        <v>425</v>
      </c>
      <c r="C11" s="367"/>
      <c r="D11" s="367"/>
      <c r="E11" s="45">
        <f>mvalloc!D13</f>
        <v>0</v>
      </c>
    </row>
    <row r="12" spans="2:5" ht="15.75">
      <c r="B12" s="119" t="s">
        <v>426</v>
      </c>
      <c r="C12" s="367"/>
      <c r="D12" s="367"/>
      <c r="E12" s="45">
        <f>mvalloc!E13</f>
        <v>0</v>
      </c>
    </row>
    <row r="13" spans="2:5" ht="15.75">
      <c r="B13" s="227" t="s">
        <v>499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428</v>
      </c>
      <c r="C18" s="367"/>
      <c r="D18" s="367"/>
      <c r="E18" s="198"/>
    </row>
    <row r="19" spans="2:5" ht="15.75">
      <c r="B19" s="230" t="s">
        <v>608</v>
      </c>
      <c r="C19" s="367"/>
      <c r="D19" s="367"/>
      <c r="E19" s="35"/>
    </row>
    <row r="20" spans="2:5" ht="15.75">
      <c r="B20" s="230" t="s">
        <v>135</v>
      </c>
      <c r="C20" s="368">
        <f>IF(C21*0.1&lt;C19,"Exceed 10% Rule","")</f>
      </c>
      <c r="D20" s="368">
        <f>IF(D21*0.1&lt;D19,"Exceed 10% Rule","")</f>
      </c>
      <c r="E20" s="387">
        <f>IF(E21*0.1+E40&lt;E19,"Exceed 10% Rule","")</f>
      </c>
    </row>
    <row r="21" spans="2:5" ht="15.75">
      <c r="B21" s="233" t="s">
        <v>429</v>
      </c>
      <c r="C21" s="369">
        <f>SUM(C9:C19)</f>
        <v>0</v>
      </c>
      <c r="D21" s="369">
        <f>SUM(D9:D19)</f>
        <v>0</v>
      </c>
      <c r="E21" s="234">
        <f>SUM(E9:E19)</f>
        <v>0</v>
      </c>
    </row>
    <row r="22" spans="2:5" ht="15.75">
      <c r="B22" s="233" t="s">
        <v>430</v>
      </c>
      <c r="C22" s="369">
        <f>C7+C21</f>
        <v>0</v>
      </c>
      <c r="D22" s="369">
        <f>D7+D21</f>
        <v>0</v>
      </c>
      <c r="E22" s="234">
        <f>E7+E21</f>
        <v>0</v>
      </c>
    </row>
    <row r="23" spans="2:5" ht="15.75">
      <c r="B23" s="119" t="s">
        <v>431</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237</v>
      </c>
      <c r="H27" s="483"/>
      <c r="I27" s="483"/>
      <c r="J27" s="473">
        <v>0</v>
      </c>
      <c r="K27" s="16"/>
    </row>
    <row r="28" spans="2:11" ht="15.75">
      <c r="B28" s="228"/>
      <c r="C28" s="367"/>
      <c r="D28" s="367"/>
      <c r="E28" s="198"/>
      <c r="F28" s="16"/>
      <c r="G28" s="476" t="s">
        <v>238</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609</v>
      </c>
      <c r="C30" s="367"/>
      <c r="D30" s="367"/>
      <c r="E30" s="203">
        <f>Nhood!E9</f>
      </c>
      <c r="F30" s="16"/>
      <c r="G30" s="583" t="s">
        <v>304</v>
      </c>
      <c r="H30" s="584"/>
      <c r="I30" s="584"/>
      <c r="J30" s="585">
        <f>IF(J27&gt;0,J29-E37,0)</f>
        <v>0</v>
      </c>
      <c r="K30" s="16"/>
    </row>
    <row r="31" spans="2:11" ht="15.75">
      <c r="B31" s="121" t="s">
        <v>608</v>
      </c>
      <c r="C31" s="228"/>
      <c r="D31" s="228"/>
      <c r="E31" s="198"/>
      <c r="F31" s="16"/>
      <c r="G31" s="16"/>
      <c r="H31" s="16"/>
      <c r="I31" s="16"/>
      <c r="J31" s="599"/>
      <c r="K31" s="16"/>
    </row>
    <row r="32" spans="2:11" ht="15.75">
      <c r="B32" s="121" t="s">
        <v>134</v>
      </c>
      <c r="C32" s="368">
        <f>IF(C33*0.1&lt;C31,"Exceed 10% Rule","")</f>
      </c>
      <c r="D32" s="368">
        <f>IF(D33*0.1&lt;D31,"Exceed 10% Rule","")</f>
      </c>
      <c r="E32" s="387">
        <f>IF(E33*0.1&lt;E31,"Exceed 10% Rule","")</f>
      </c>
      <c r="F32" s="16"/>
      <c r="G32" s="677" t="str">
        <f>CONCATENATE("Projected Carryover Into ",E3+1,"")</f>
        <v>Projected Carryover Into 2015</v>
      </c>
      <c r="H32" s="691"/>
      <c r="I32" s="691"/>
      <c r="J32" s="692"/>
      <c r="K32" s="16"/>
    </row>
    <row r="33" spans="2:11" ht="15.75">
      <c r="B33" s="233" t="s">
        <v>432</v>
      </c>
      <c r="C33" s="369">
        <f>SUM(C24:C31)</f>
        <v>0</v>
      </c>
      <c r="D33" s="369">
        <f>SUM(D24:D31)</f>
        <v>0</v>
      </c>
      <c r="E33" s="234">
        <f>SUM(E24:E31)</f>
        <v>0</v>
      </c>
      <c r="F33" s="16"/>
      <c r="G33" s="476"/>
      <c r="H33" s="483"/>
      <c r="I33" s="483"/>
      <c r="J33" s="604"/>
      <c r="K33" s="16"/>
    </row>
    <row r="34" spans="2:11" ht="15.75">
      <c r="B34" s="119" t="s">
        <v>516</v>
      </c>
      <c r="C34" s="370">
        <f>C22-C33</f>
        <v>0</v>
      </c>
      <c r="D34" s="370">
        <f>D22-D33</f>
        <v>0</v>
      </c>
      <c r="E34" s="128" t="s">
        <v>418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418</v>
      </c>
      <c r="F35" s="16"/>
      <c r="G35" s="490">
        <f>E21</f>
        <v>0</v>
      </c>
      <c r="H35" s="483" t="str">
        <f>CONCATENATE("",E3," Non-AV Receipts (est.)")</f>
        <v>2014 Non-AV Receipts (est.)</v>
      </c>
      <c r="I35" s="586"/>
      <c r="J35" s="604"/>
      <c r="K35" s="16"/>
    </row>
    <row r="36" spans="2:11" ht="15.75">
      <c r="B36" s="138"/>
      <c r="C36" s="685" t="s">
        <v>231</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232</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233</v>
      </c>
      <c r="E38" s="42">
        <f>IF(E37-E22&gt;0,E37-E22,0)</f>
        <v>0</v>
      </c>
      <c r="F38" s="16"/>
      <c r="G38" s="481"/>
      <c r="H38" s="483"/>
      <c r="I38" s="483"/>
      <c r="J38" s="604"/>
      <c r="K38" s="16"/>
    </row>
    <row r="39" spans="2:11" ht="15.75">
      <c r="B39" s="155"/>
      <c r="C39" s="492" t="s">
        <v>234</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422</v>
      </c>
      <c r="C42" s="106"/>
      <c r="D42" s="106"/>
      <c r="E42" s="106"/>
      <c r="F42" s="16"/>
      <c r="G42" s="680" t="s">
        <v>305</v>
      </c>
      <c r="H42" s="681"/>
      <c r="I42" s="681"/>
      <c r="J42" s="682"/>
      <c r="K42" s="16"/>
    </row>
    <row r="43" spans="2:11" ht="15.75" customHeight="1">
      <c r="B43" s="18"/>
      <c r="C43" s="371" t="s">
        <v>636</v>
      </c>
      <c r="D43" s="372" t="s">
        <v>637</v>
      </c>
      <c r="E43" s="223" t="s">
        <v>634</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515</v>
      </c>
      <c r="C45" s="367"/>
      <c r="D45" s="374">
        <f>C72</f>
        <v>0</v>
      </c>
      <c r="E45" s="45">
        <f>D72</f>
        <v>0</v>
      </c>
      <c r="F45" s="16"/>
      <c r="G45" s="594" t="str">
        <f>summ!E18</f>
        <v>  </v>
      </c>
      <c r="H45" s="489" t="str">
        <f>CONCATENATE("",E3-1," Fund Mill Rate")</f>
        <v>2013 Fund Mill Rate</v>
      </c>
      <c r="I45" s="571"/>
      <c r="J45" s="591"/>
      <c r="K45" s="16"/>
    </row>
    <row r="46" spans="2:11" ht="15.75">
      <c r="B46" s="226" t="s">
        <v>517</v>
      </c>
      <c r="C46" s="227"/>
      <c r="D46" s="227"/>
      <c r="E46" s="123"/>
      <c r="F46" s="16"/>
      <c r="G46" s="595">
        <f>summ!H23</f>
        <v>1.598</v>
      </c>
      <c r="H46" s="489" t="str">
        <f>CONCATENATE("Total ",E3," Mill Rate")</f>
        <v>Total 2014 Mill Rate</v>
      </c>
      <c r="I46" s="571"/>
      <c r="J46" s="591"/>
      <c r="K46" s="16"/>
    </row>
    <row r="47" spans="2:11" ht="15.75">
      <c r="B47" s="119" t="s">
        <v>423</v>
      </c>
      <c r="C47" s="367"/>
      <c r="D47" s="374">
        <f>IF(inputPrYr!H18&gt;0,inputPrYr!G23,inputPrYr!E23)</f>
        <v>0</v>
      </c>
      <c r="E47" s="128" t="s">
        <v>418</v>
      </c>
      <c r="F47" s="16"/>
      <c r="G47" s="594">
        <f>summ!E23</f>
        <v>0.932</v>
      </c>
      <c r="H47" s="596" t="str">
        <f>CONCATENATE("Total ",E3-1," Mill Rate")</f>
        <v>Total 2013 Mill Rate</v>
      </c>
      <c r="I47" s="597"/>
      <c r="J47" s="78"/>
      <c r="K47" s="16"/>
    </row>
    <row r="48" spans="2:11" ht="15.75">
      <c r="B48" s="119" t="s">
        <v>424</v>
      </c>
      <c r="C48" s="367"/>
      <c r="D48" s="367"/>
      <c r="E48" s="198"/>
      <c r="F48" s="16"/>
      <c r="G48" s="16"/>
      <c r="H48" s="16"/>
      <c r="I48" s="16"/>
      <c r="J48" s="16"/>
      <c r="K48" s="16"/>
    </row>
    <row r="49" spans="2:11" ht="15.75">
      <c r="B49" s="119" t="s">
        <v>425</v>
      </c>
      <c r="C49" s="367"/>
      <c r="D49" s="367"/>
      <c r="E49" s="45">
        <f>mvalloc!D14</f>
        <v>0</v>
      </c>
      <c r="F49" s="16"/>
      <c r="G49" s="16"/>
      <c r="H49" s="16"/>
      <c r="I49" s="16"/>
      <c r="J49" s="16"/>
      <c r="K49" s="16"/>
    </row>
    <row r="50" spans="2:11" ht="15.75">
      <c r="B50" s="119" t="s">
        <v>426</v>
      </c>
      <c r="C50" s="367"/>
      <c r="D50" s="367"/>
      <c r="E50" s="45">
        <f>mvalloc!E14</f>
        <v>0</v>
      </c>
      <c r="F50" s="16"/>
      <c r="G50" s="16"/>
      <c r="H50" s="16"/>
      <c r="I50" s="16"/>
      <c r="J50" s="16"/>
      <c r="K50" s="16"/>
    </row>
    <row r="51" spans="2:11" ht="15.75">
      <c r="B51" s="227" t="s">
        <v>499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428</v>
      </c>
      <c r="C56" s="367"/>
      <c r="D56" s="367"/>
      <c r="E56" s="198"/>
      <c r="F56" s="16"/>
      <c r="G56" s="16"/>
      <c r="H56" s="16"/>
      <c r="I56" s="16"/>
      <c r="J56" s="16"/>
      <c r="K56" s="16"/>
    </row>
    <row r="57" spans="2:11" ht="15.75">
      <c r="B57" s="230" t="s">
        <v>608</v>
      </c>
      <c r="C57" s="228"/>
      <c r="D57" s="228"/>
      <c r="E57" s="198"/>
      <c r="F57" s="16"/>
      <c r="G57" s="16"/>
      <c r="H57" s="16"/>
      <c r="I57" s="16"/>
      <c r="J57" s="16"/>
      <c r="K57" s="16"/>
    </row>
    <row r="58" spans="2:11" ht="15.75">
      <c r="B58" s="230" t="s">
        <v>135</v>
      </c>
      <c r="C58" s="368">
        <f>IF(C59*0.1&lt;C57,"Exceed 10% Rule","")</f>
      </c>
      <c r="D58" s="368">
        <f>IF(D59*0.1&lt;D57,"Exceed 10% Rule","")</f>
      </c>
      <c r="E58" s="387">
        <f>IF(E59*0.1+E78&lt;E57,"Exceed 10% Rule","")</f>
      </c>
      <c r="F58" s="16"/>
      <c r="G58" s="16"/>
      <c r="H58" s="16"/>
      <c r="I58" s="16"/>
      <c r="J58" s="16"/>
      <c r="K58" s="16"/>
    </row>
    <row r="59" spans="2:11" ht="15.75">
      <c r="B59" s="233" t="s">
        <v>429</v>
      </c>
      <c r="C59" s="369">
        <f>SUM(C47:C57)</f>
        <v>0</v>
      </c>
      <c r="D59" s="369">
        <f>SUM(D47:D57)</f>
        <v>0</v>
      </c>
      <c r="E59" s="234">
        <f>SUM(E47:E57)</f>
        <v>0</v>
      </c>
      <c r="F59" s="16"/>
      <c r="G59" s="16"/>
      <c r="H59" s="16"/>
      <c r="I59" s="16"/>
      <c r="J59" s="16"/>
      <c r="K59" s="16"/>
    </row>
    <row r="60" spans="2:11" ht="15.75">
      <c r="B60" s="233" t="s">
        <v>430</v>
      </c>
      <c r="C60" s="369">
        <f>C45+C59</f>
        <v>0</v>
      </c>
      <c r="D60" s="369">
        <f>D45+D59</f>
        <v>0</v>
      </c>
      <c r="E60" s="234">
        <f>E45+E59</f>
        <v>0</v>
      </c>
      <c r="F60" s="16"/>
      <c r="G60" s="16"/>
      <c r="H60" s="16"/>
      <c r="I60" s="16"/>
      <c r="J60" s="16"/>
      <c r="K60" s="16"/>
    </row>
    <row r="61" spans="2:11" ht="15.75">
      <c r="B61" s="119" t="s">
        <v>431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237</v>
      </c>
      <c r="H67" s="483"/>
      <c r="I67" s="483"/>
      <c r="J67" s="473">
        <v>0</v>
      </c>
      <c r="K67" s="16"/>
    </row>
    <row r="68" spans="2:11" ht="15.75">
      <c r="B68" s="121" t="s">
        <v>609</v>
      </c>
      <c r="C68" s="367"/>
      <c r="D68" s="367"/>
      <c r="E68" s="203">
        <f>Nhood!E10</f>
      </c>
      <c r="F68" s="16"/>
      <c r="G68" s="476" t="s">
        <v>238</v>
      </c>
      <c r="H68" s="69"/>
      <c r="I68" s="69"/>
      <c r="J68" s="600">
        <f>IF(J67=0,"",ROUND((J67+E81-G80)/inputOth!E7*1000,3)-G85)</f>
      </c>
      <c r="K68" s="16"/>
    </row>
    <row r="69" spans="2:11" ht="15.75">
      <c r="B69" s="121" t="s">
        <v>608</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134</v>
      </c>
      <c r="C70" s="368">
        <f>IF(C71*0.1&lt;C69,"Exceed 10% Rule","")</f>
      </c>
      <c r="D70" s="368">
        <f>IF(D71*0.1&lt;D69,"Exceed 10% Rule","")</f>
      </c>
      <c r="E70" s="387">
        <f>IF(E71*0.1&lt;E69,"Exceed 10% Rule","")</f>
      </c>
      <c r="F70" s="16"/>
      <c r="G70" s="583" t="s">
        <v>304</v>
      </c>
      <c r="H70" s="584"/>
      <c r="I70" s="584"/>
      <c r="J70" s="585">
        <f>IF(J67&gt;0,J69-E75,0)</f>
        <v>0</v>
      </c>
      <c r="K70" s="16"/>
    </row>
    <row r="71" spans="2:11" ht="15.75">
      <c r="B71" s="233" t="s">
        <v>432</v>
      </c>
      <c r="C71" s="369">
        <f>SUM(C62:C69)</f>
        <v>0</v>
      </c>
      <c r="D71" s="369">
        <f>SUM(D62:D69)</f>
        <v>0</v>
      </c>
      <c r="E71" s="234">
        <f>SUM(E62:E69)</f>
        <v>0</v>
      </c>
      <c r="F71" s="16"/>
      <c r="G71" s="16"/>
      <c r="H71" s="16"/>
      <c r="I71" s="16"/>
      <c r="J71" s="599"/>
      <c r="K71" s="16"/>
    </row>
    <row r="72" spans="2:11" ht="15.75">
      <c r="B72" s="119" t="s">
        <v>516</v>
      </c>
      <c r="C72" s="370">
        <f>C60-C71</f>
        <v>0</v>
      </c>
      <c r="D72" s="370">
        <f>D60-D71</f>
        <v>0</v>
      </c>
      <c r="E72" s="128" t="s">
        <v>418</v>
      </c>
      <c r="F72" s="16"/>
      <c r="G72" s="677" t="str">
        <f>CONCATENATE("Projected Carryover Into ",E3+1,"")</f>
        <v>Projected Carryover Into 2015</v>
      </c>
      <c r="H72" s="718"/>
      <c r="I72" s="718"/>
      <c r="J72" s="692"/>
      <c r="K72" s="16"/>
    </row>
    <row r="73" spans="2:11" ht="15.75">
      <c r="B73" s="138" t="str">
        <f>CONCATENATE("",E3-2,"/",E3-1," Budget Authority Amount:")</f>
        <v>2012/2013 Budget Authority Amount:</v>
      </c>
      <c r="C73" s="120">
        <f>inputOth!B44</f>
        <v>0</v>
      </c>
      <c r="D73" s="388">
        <f>inputPrYr!D23</f>
        <v>0</v>
      </c>
      <c r="E73" s="128" t="s">
        <v>418</v>
      </c>
      <c r="F73" s="16"/>
      <c r="G73" s="495"/>
      <c r="H73" s="69"/>
      <c r="I73" s="69"/>
      <c r="J73" s="484"/>
      <c r="K73" s="16"/>
    </row>
    <row r="74" spans="2:11" ht="15.75">
      <c r="B74" s="138"/>
      <c r="C74" s="685" t="s">
        <v>231</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232</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233</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234</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434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305</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1.598</v>
      </c>
      <c r="H86" s="489" t="str">
        <f>CONCATENATE("Total ",E3," Mill Rate")</f>
        <v>Total 2014 Mill Rate</v>
      </c>
      <c r="I86" s="571"/>
      <c r="J86" s="591"/>
      <c r="K86" s="16"/>
    </row>
    <row r="87" spans="3:11" ht="19.5" customHeight="1">
      <c r="C87" s="95">
        <f>IF(C33&gt;C35,"See Tab A","")</f>
      </c>
      <c r="D87" s="95">
        <f>IF(D33&gt;D35,"See Tab C","")</f>
      </c>
      <c r="F87" s="16"/>
      <c r="G87" s="594">
        <f>summ!E23</f>
        <v>0.932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H52"/>
  <sheetViews>
    <sheetView zoomScalePageLayoutView="0" workbookViewId="0" topLeftCell="A19">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397</v>
      </c>
      <c r="B1" s="639"/>
      <c r="C1" s="639"/>
      <c r="D1" s="639"/>
      <c r="E1" s="639"/>
    </row>
    <row r="2" spans="1:5" ht="15.75">
      <c r="A2" s="17"/>
      <c r="B2" s="18"/>
      <c r="C2" s="18"/>
      <c r="D2" s="18"/>
      <c r="E2" s="18"/>
    </row>
    <row r="3" spans="1:5" ht="15.75">
      <c r="A3" s="19" t="s">
        <v>521</v>
      </c>
      <c r="B3" s="18"/>
      <c r="C3" s="18"/>
      <c r="D3" s="523" t="s">
        <v>105</v>
      </c>
      <c r="E3" s="20"/>
    </row>
    <row r="4" spans="1:5" ht="15.75">
      <c r="A4" s="19" t="s">
        <v>616</v>
      </c>
      <c r="B4" s="18"/>
      <c r="C4" s="18"/>
      <c r="D4" s="524" t="s">
        <v>101</v>
      </c>
      <c r="E4" s="20"/>
    </row>
    <row r="5" spans="1:5" ht="15.75">
      <c r="A5" s="17"/>
      <c r="B5" s="18"/>
      <c r="C5" s="18"/>
      <c r="D5" s="21"/>
      <c r="E5" s="20"/>
    </row>
    <row r="6" spans="1:5" ht="15.75">
      <c r="A6" s="19" t="s">
        <v>540</v>
      </c>
      <c r="B6" s="18"/>
      <c r="C6" s="18"/>
      <c r="D6" s="22">
        <v>2014</v>
      </c>
      <c r="E6" s="20"/>
    </row>
    <row r="7" spans="1:5" ht="15.75">
      <c r="A7" s="18"/>
      <c r="B7" s="18"/>
      <c r="C7" s="18"/>
      <c r="D7" s="18"/>
      <c r="E7" s="18"/>
    </row>
    <row r="8" spans="1:5" ht="15.75">
      <c r="A8" s="640" t="s">
        <v>597</v>
      </c>
      <c r="B8" s="641"/>
      <c r="C8" s="641"/>
      <c r="D8" s="641"/>
      <c r="E8" s="641"/>
    </row>
    <row r="9" spans="1:5" ht="15.75">
      <c r="A9" s="23" t="s">
        <v>468</v>
      </c>
      <c r="B9" s="24"/>
      <c r="C9" s="24"/>
      <c r="D9" s="24"/>
      <c r="E9" s="24"/>
    </row>
    <row r="10" spans="1:8" ht="15.75">
      <c r="A10" s="642" t="s">
        <v>596</v>
      </c>
      <c r="B10" s="643"/>
      <c r="C10" s="643"/>
      <c r="D10" s="643"/>
      <c r="E10" s="643"/>
      <c r="F10" s="18"/>
      <c r="G10" s="631" t="s">
        <v>278</v>
      </c>
      <c r="H10" s="632"/>
    </row>
    <row r="11" spans="1:8" ht="15.75">
      <c r="A11" s="25"/>
      <c r="B11" s="18"/>
      <c r="C11" s="18"/>
      <c r="D11" s="18"/>
      <c r="E11" s="18"/>
      <c r="F11" s="18"/>
      <c r="G11" s="633"/>
      <c r="H11" s="632"/>
    </row>
    <row r="12" spans="1:8" ht="15.75">
      <c r="A12" s="636" t="s">
        <v>585</v>
      </c>
      <c r="B12" s="637"/>
      <c r="C12" s="637"/>
      <c r="D12" s="637"/>
      <c r="E12" s="637"/>
      <c r="F12" s="18"/>
      <c r="G12" s="633"/>
      <c r="H12" s="632"/>
    </row>
    <row r="13" spans="1:8" ht="15.75">
      <c r="A13" s="25"/>
      <c r="B13" s="18"/>
      <c r="C13" s="18"/>
      <c r="D13" s="18"/>
      <c r="E13" s="18"/>
      <c r="F13" s="18"/>
      <c r="G13" s="633"/>
      <c r="H13" s="632"/>
    </row>
    <row r="14" spans="1:8" ht="15.75">
      <c r="A14" s="26" t="s">
        <v>544</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665</v>
      </c>
      <c r="B16" s="29"/>
      <c r="C16" s="18"/>
      <c r="D16" s="18"/>
      <c r="E16" s="18"/>
      <c r="F16" s="18"/>
      <c r="G16" s="69"/>
      <c r="H16" s="52"/>
    </row>
    <row r="17" spans="1:8" ht="15.75">
      <c r="A17" s="18"/>
      <c r="B17" s="18"/>
      <c r="C17" s="30"/>
      <c r="D17" s="31">
        <f>D6-1</f>
        <v>2013</v>
      </c>
      <c r="E17" s="644" t="str">
        <f>CONCATENATE("Amount of ",D6-2,"     Ad Valorem Tax")</f>
        <v>Amount of 2012     Ad Valorem Tax</v>
      </c>
      <c r="G17" s="102" t="s">
        <v>279</v>
      </c>
      <c r="H17" s="111" t="s">
        <v>433</v>
      </c>
    </row>
    <row r="18" spans="1:8" ht="15.75">
      <c r="A18" s="17" t="s">
        <v>398</v>
      </c>
      <c r="B18" s="18"/>
      <c r="C18" s="30" t="s">
        <v>399</v>
      </c>
      <c r="D18" s="32" t="s">
        <v>666</v>
      </c>
      <c r="E18" s="645"/>
      <c r="G18" s="114" t="str">
        <f>CONCATENATE("",D6-2," Ad Valorem Tax")</f>
        <v>2012 Ad Valorem Tax</v>
      </c>
      <c r="H18" s="535">
        <v>0</v>
      </c>
    </row>
    <row r="19" spans="1:7" ht="15.75">
      <c r="A19" s="18"/>
      <c r="B19" s="33" t="s">
        <v>400</v>
      </c>
      <c r="C19" s="611"/>
      <c r="D19" s="35">
        <v>7550</v>
      </c>
      <c r="E19" s="35">
        <v>3239</v>
      </c>
      <c r="G19" s="45">
        <f>IF(H18&gt;0,ROUND(E19-(E19*H18),0),0)</f>
        <v>0</v>
      </c>
    </row>
    <row r="20" spans="1:7" ht="15.75">
      <c r="A20" s="18"/>
      <c r="B20" s="33" t="s">
        <v>661</v>
      </c>
      <c r="C20" s="111" t="s">
        <v>546</v>
      </c>
      <c r="D20" s="35"/>
      <c r="E20" s="35"/>
      <c r="G20" s="45">
        <f>IF(H18&gt;0,ROUND(E20-(E20*H18),0),0)</f>
        <v>0</v>
      </c>
    </row>
    <row r="21" spans="1:5" ht="15.75">
      <c r="A21" s="17" t="s">
        <v>401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3239</v>
      </c>
    </row>
    <row r="25" spans="1:5" ht="15.75">
      <c r="A25" s="43" t="s">
        <v>402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7550</v>
      </c>
      <c r="E28" s="37"/>
    </row>
    <row r="29" spans="1:5" ht="15.75">
      <c r="A29" s="18" t="s">
        <v>633</v>
      </c>
      <c r="B29" s="18"/>
      <c r="C29" s="18"/>
      <c r="D29" s="18"/>
      <c r="E29" s="37"/>
    </row>
    <row r="30" spans="1:5" ht="15.75">
      <c r="A30" s="18">
        <v>1</v>
      </c>
      <c r="B30" s="46" t="s">
        <v>106</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544</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1.766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403</v>
      </c>
      <c r="B42" s="18"/>
      <c r="C42" s="18"/>
      <c r="D42" s="48">
        <f>SUM(D38:D41)</f>
        <v>1.766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5502</v>
      </c>
    </row>
    <row r="45" spans="1:5" ht="15.75">
      <c r="A45" s="49" t="str">
        <f>CONCATENATE("Assessed Valuation (",D6-2," budget column)")</f>
        <v>Assessed Valuation (2012 budget column)</v>
      </c>
      <c r="B45" s="27"/>
      <c r="C45" s="18"/>
      <c r="D45" s="18"/>
      <c r="E45" s="51">
        <v>3115785</v>
      </c>
    </row>
    <row r="46" spans="1:5" ht="15.75">
      <c r="A46" s="18"/>
      <c r="B46" s="18"/>
      <c r="C46" s="18"/>
      <c r="D46" s="18"/>
      <c r="E46" s="37"/>
    </row>
    <row r="47" spans="1:5" ht="15.75">
      <c r="A47" s="27" t="s">
        <v>598</v>
      </c>
      <c r="B47" s="27"/>
      <c r="C47" s="52"/>
      <c r="D47" s="53">
        <f>D6-3</f>
        <v>2011</v>
      </c>
      <c r="E47" s="53">
        <f>D6-2</f>
        <v>2012</v>
      </c>
    </row>
    <row r="48" spans="1:5" ht="15.75">
      <c r="A48" s="54" t="s">
        <v>541</v>
      </c>
      <c r="B48" s="54"/>
      <c r="C48" s="55"/>
      <c r="D48" s="56"/>
      <c r="E48" s="56"/>
    </row>
    <row r="49" spans="1:5" ht="15.75">
      <c r="A49" s="57" t="s">
        <v>542</v>
      </c>
      <c r="B49" s="57"/>
      <c r="C49" s="58"/>
      <c r="D49" s="56"/>
      <c r="E49" s="56"/>
    </row>
    <row r="50" spans="1:5" ht="15.75">
      <c r="A50" s="57" t="s">
        <v>236</v>
      </c>
      <c r="B50" s="57"/>
      <c r="C50" s="58"/>
      <c r="D50" s="56"/>
      <c r="E50" s="56"/>
    </row>
    <row r="51" spans="1:5" ht="15.75">
      <c r="A51" s="57" t="s">
        <v>543</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Greenlawn Cemetery #7</v>
      </c>
      <c r="C1" s="222"/>
      <c r="D1" s="18"/>
      <c r="E1" s="182"/>
    </row>
    <row r="2" spans="2:5" ht="15.75">
      <c r="B2" s="18" t="str">
        <f>inputPrYr!D4</f>
        <v>Dickinson County</v>
      </c>
      <c r="C2" s="222"/>
      <c r="D2" s="18"/>
      <c r="E2" s="138"/>
    </row>
    <row r="3" spans="2:5" ht="15.75">
      <c r="B3" s="25" t="s">
        <v>472</v>
      </c>
      <c r="C3" s="222"/>
      <c r="D3" s="222"/>
      <c r="E3" s="138">
        <f>inputPrYr!D6</f>
        <v>2014</v>
      </c>
    </row>
    <row r="4" spans="2:5" ht="15.75">
      <c r="B4" s="18"/>
      <c r="C4" s="106"/>
      <c r="D4" s="106"/>
      <c r="E4" s="106"/>
    </row>
    <row r="5" spans="2:5" ht="15.75">
      <c r="B5" s="17" t="s">
        <v>422</v>
      </c>
      <c r="C5" s="254" t="s">
        <v>636</v>
      </c>
      <c r="D5" s="223" t="s">
        <v>637</v>
      </c>
      <c r="E5" s="223" t="s">
        <v>634</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515</v>
      </c>
      <c r="C7" s="35"/>
      <c r="D7" s="45">
        <f>C32</f>
        <v>0</v>
      </c>
      <c r="E7" s="45">
        <f>D32</f>
        <v>0</v>
      </c>
    </row>
    <row r="8" spans="2:5" ht="15.75">
      <c r="B8" s="226" t="s">
        <v>517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428</v>
      </c>
      <c r="C16" s="198"/>
      <c r="D16" s="198"/>
      <c r="E16" s="198"/>
    </row>
    <row r="17" spans="2:5" ht="15.75">
      <c r="B17" s="230" t="s">
        <v>608</v>
      </c>
      <c r="C17" s="198"/>
      <c r="D17" s="231"/>
      <c r="E17" s="231"/>
    </row>
    <row r="18" spans="2:5" ht="15.75">
      <c r="B18" s="230" t="s">
        <v>135</v>
      </c>
      <c r="C18" s="387">
        <f>IF(C19*0.1&lt;C17,"Exceed 10% Rule","")</f>
      </c>
      <c r="D18" s="232">
        <f>IF(D19*0.1&lt;D17,"Exceed 10% Rule","")</f>
      </c>
      <c r="E18" s="232">
        <f>IF(E19*0.1&lt;E17,"Exceed 10% Rule","")</f>
      </c>
    </row>
    <row r="19" spans="2:5" ht="15.75">
      <c r="B19" s="233" t="s">
        <v>429</v>
      </c>
      <c r="C19" s="234">
        <f>SUM(C9:C17)</f>
        <v>0</v>
      </c>
      <c r="D19" s="234">
        <f>SUM(D9:D17)</f>
        <v>0</v>
      </c>
      <c r="E19" s="234">
        <f>SUM(E9:E17)</f>
        <v>0</v>
      </c>
    </row>
    <row r="20" spans="2:5" ht="15.75">
      <c r="B20" s="233" t="s">
        <v>430</v>
      </c>
      <c r="C20" s="234">
        <f>C19+C7</f>
        <v>0</v>
      </c>
      <c r="D20" s="234">
        <f>D19+D7</f>
        <v>0</v>
      </c>
      <c r="E20" s="234">
        <f>E19+E7</f>
        <v>0</v>
      </c>
    </row>
    <row r="21" spans="2:5" ht="15.75">
      <c r="B21" s="119" t="s">
        <v>431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608</v>
      </c>
      <c r="C29" s="35"/>
      <c r="D29" s="225"/>
      <c r="E29" s="225"/>
    </row>
    <row r="30" spans="2:5" ht="15.75">
      <c r="B30" s="121" t="s">
        <v>134</v>
      </c>
      <c r="C30" s="387">
        <f>IF(C31*0.1&lt;C29,"Exceed 10% Rule","")</f>
      </c>
      <c r="D30" s="232">
        <f>IF(D31*0.1&lt;D29,"Exceed 10% Rule","")</f>
      </c>
      <c r="E30" s="232">
        <f>IF(E31*0.1&lt;E29,"Exceed 10% Rule","")</f>
      </c>
    </row>
    <row r="31" spans="2:5" ht="15.75">
      <c r="B31" s="233" t="s">
        <v>432</v>
      </c>
      <c r="C31" s="234">
        <f>SUM(C22:C29)</f>
        <v>0</v>
      </c>
      <c r="D31" s="234">
        <f>SUM(D22:D29)</f>
        <v>0</v>
      </c>
      <c r="E31" s="234">
        <f>SUM(E22:E29)</f>
        <v>0</v>
      </c>
    </row>
    <row r="32" spans="2:5" ht="15.75">
      <c r="B32" s="119" t="s">
        <v>516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422</v>
      </c>
      <c r="C38" s="254" t="s">
        <v>636</v>
      </c>
      <c r="D38" s="223" t="s">
        <v>637</v>
      </c>
      <c r="E38" s="223" t="s">
        <v>634</v>
      </c>
    </row>
    <row r="39" spans="2:5" ht="15.75" customHeight="1">
      <c r="B39" s="389">
        <f>inputPrYr!B27</f>
        <v>0</v>
      </c>
      <c r="C39" s="224" t="str">
        <f>C6</f>
        <v>Actual for 2012</v>
      </c>
      <c r="D39" s="224" t="str">
        <f>D6</f>
        <v>Estimate for 2013</v>
      </c>
      <c r="E39" s="224" t="str">
        <f>E6</f>
        <v>Year for 2014</v>
      </c>
    </row>
    <row r="40" spans="2:5" ht="15.75">
      <c r="B40" s="119" t="s">
        <v>515</v>
      </c>
      <c r="C40" s="35"/>
      <c r="D40" s="45">
        <f>C65</f>
        <v>0</v>
      </c>
      <c r="E40" s="45">
        <f>D65</f>
        <v>0</v>
      </c>
    </row>
    <row r="41" spans="2:5" ht="15.75">
      <c r="B41" s="226" t="s">
        <v>517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428</v>
      </c>
      <c r="C49" s="198"/>
      <c r="D49" s="198"/>
      <c r="E49" s="198"/>
    </row>
    <row r="50" spans="2:5" ht="15.75">
      <c r="B50" s="230" t="s">
        <v>608</v>
      </c>
      <c r="C50" s="198"/>
      <c r="D50" s="231"/>
      <c r="E50" s="231"/>
    </row>
    <row r="51" spans="2:5" ht="15.75">
      <c r="B51" s="230" t="s">
        <v>135</v>
      </c>
      <c r="C51" s="387">
        <f>IF(C52*0.1&lt;C50,"Exceed 10% Rule","")</f>
      </c>
      <c r="D51" s="232">
        <f>IF(D52*0.1&lt;D50,"Exceed 10% Rule","")</f>
      </c>
      <c r="E51" s="232">
        <f>IF(E52*0.1&lt;E50,"Exceed 10% Rule","")</f>
      </c>
    </row>
    <row r="52" spans="2:5" ht="15.75">
      <c r="B52" s="233" t="s">
        <v>429</v>
      </c>
      <c r="C52" s="234">
        <f>SUM(C42:C50)</f>
        <v>0</v>
      </c>
      <c r="D52" s="234">
        <f>SUM(D42:D50)</f>
        <v>0</v>
      </c>
      <c r="E52" s="234">
        <f>SUM(E42:E50)</f>
        <v>0</v>
      </c>
    </row>
    <row r="53" spans="2:5" ht="15.75">
      <c r="B53" s="233" t="s">
        <v>430</v>
      </c>
      <c r="C53" s="234">
        <f>C52+C40</f>
        <v>0</v>
      </c>
      <c r="D53" s="234">
        <f>D52+D40</f>
        <v>0</v>
      </c>
      <c r="E53" s="234">
        <f>E52+E40</f>
        <v>0</v>
      </c>
    </row>
    <row r="54" spans="2:5" ht="15.75">
      <c r="B54" s="119" t="s">
        <v>431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608</v>
      </c>
      <c r="C62" s="35"/>
      <c r="D62" s="225"/>
      <c r="E62" s="225"/>
    </row>
    <row r="63" spans="2:5" ht="15.75">
      <c r="B63" s="121" t="s">
        <v>134</v>
      </c>
      <c r="C63" s="387">
        <f>IF(C64*0.1&lt;C62,"Exceed 10% Rule","")</f>
      </c>
      <c r="D63" s="232">
        <f>IF(D64*0.1&lt;D62,"Exceed 10% Rule","")</f>
      </c>
      <c r="E63" s="232">
        <f>IF(E64*0.1&lt;E62,"Exceed 10% Rule","")</f>
      </c>
    </row>
    <row r="64" spans="2:5" ht="15.75">
      <c r="B64" s="233" t="s">
        <v>432</v>
      </c>
      <c r="C64" s="234">
        <f>SUM(C55:C62)</f>
        <v>0</v>
      </c>
      <c r="D64" s="234">
        <f>SUM(D55:D62)</f>
        <v>0</v>
      </c>
      <c r="E64" s="234">
        <f>SUM(E55:E62)</f>
        <v>0</v>
      </c>
    </row>
    <row r="65" spans="2:5" ht="15.75">
      <c r="B65" s="119" t="s">
        <v>516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434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677</v>
      </c>
    </row>
    <row r="2" ht="15.75">
      <c r="A2" s="95"/>
    </row>
    <row r="3" ht="15.75">
      <c r="A3" s="95"/>
    </row>
    <row r="4" ht="56.25" customHeight="1">
      <c r="A4" s="317" t="s">
        <v>678</v>
      </c>
    </row>
    <row r="5" ht="15.75">
      <c r="A5" s="318"/>
    </row>
    <row r="6" ht="15.75">
      <c r="A6" s="95"/>
    </row>
    <row r="7" ht="50.25" customHeight="1">
      <c r="A7" s="317" t="s">
        <v>679</v>
      </c>
    </row>
    <row r="8" ht="15.75">
      <c r="A8" s="95"/>
    </row>
    <row r="9" ht="15.75">
      <c r="A9" s="95"/>
    </row>
    <row r="10" ht="52.5" customHeight="1">
      <c r="A10" s="317" t="s">
        <v>680</v>
      </c>
    </row>
    <row r="11" ht="15.75">
      <c r="A11" s="95"/>
    </row>
    <row r="12" ht="15.75">
      <c r="A12" s="95"/>
    </row>
    <row r="13" ht="52.5" customHeight="1">
      <c r="A13" s="317" t="s">
        <v>681</v>
      </c>
    </row>
    <row r="14" ht="15.75">
      <c r="A14" s="318"/>
    </row>
    <row r="15" ht="15.75">
      <c r="A15" s="318"/>
    </row>
    <row r="16" ht="51" customHeight="1">
      <c r="A16" s="469" t="s">
        <v>223</v>
      </c>
    </row>
    <row r="17" ht="15.75">
      <c r="A17" s="318"/>
    </row>
    <row r="18" ht="15.75">
      <c r="A18" s="318"/>
    </row>
    <row r="19" ht="37.5" customHeight="1">
      <c r="A19" s="317" t="s">
        <v>682</v>
      </c>
    </row>
    <row r="20" ht="15.75">
      <c r="A20" s="95"/>
    </row>
    <row r="21" ht="15.75">
      <c r="A21" s="95"/>
    </row>
    <row r="22" ht="47.25">
      <c r="A22" s="317" t="s">
        <v>683</v>
      </c>
    </row>
    <row r="23" ht="15.75">
      <c r="A23" s="318"/>
    </row>
    <row r="24" ht="15.75">
      <c r="A24" s="95"/>
    </row>
    <row r="25" ht="67.5" customHeight="1">
      <c r="A25" s="317" t="s">
        <v>684</v>
      </c>
    </row>
    <row r="26" ht="68.25" customHeight="1">
      <c r="A26" s="319" t="s">
        <v>685</v>
      </c>
    </row>
    <row r="27" ht="15.75">
      <c r="A27" s="95"/>
    </row>
    <row r="28" ht="15.75">
      <c r="A28" s="95"/>
    </row>
    <row r="29" ht="51" customHeight="1">
      <c r="A29" s="470" t="s">
        <v>224</v>
      </c>
    </row>
    <row r="30" ht="15.75">
      <c r="A30" s="95"/>
    </row>
    <row r="31" ht="15.75">
      <c r="A31" s="318"/>
    </row>
    <row r="32" ht="69" customHeight="1">
      <c r="A32" s="470" t="s">
        <v>225</v>
      </c>
    </row>
    <row r="33" ht="15.75">
      <c r="A33" s="318"/>
    </row>
    <row r="34" ht="15.75">
      <c r="A34" s="318"/>
    </row>
    <row r="35" ht="52.5" customHeight="1">
      <c r="A35" s="470" t="s">
        <v>226</v>
      </c>
    </row>
    <row r="36" ht="15.75">
      <c r="A36" s="318"/>
    </row>
    <row r="37" ht="15.75">
      <c r="A37" s="318"/>
    </row>
    <row r="38" ht="59.25" customHeight="1">
      <c r="A38" s="317" t="s">
        <v>686</v>
      </c>
    </row>
    <row r="39" ht="15.75">
      <c r="A39" s="95"/>
    </row>
    <row r="40" ht="15.75">
      <c r="A40" s="95"/>
    </row>
    <row r="41" ht="53.25" customHeight="1">
      <c r="A41" s="317" t="s">
        <v>687</v>
      </c>
    </row>
    <row r="42" ht="15.75">
      <c r="A42" s="318"/>
    </row>
    <row r="43" ht="15.75">
      <c r="A43" s="318"/>
    </row>
    <row r="44" ht="38.25" customHeight="1">
      <c r="A44" s="317" t="s">
        <v>688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Greenlawn Cemetery #7</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21"/>
      <c r="D4" s="721"/>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600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3476185</v>
      </c>
      <c r="E16" s="18"/>
      <c r="F16" s="52"/>
    </row>
    <row r="17" spans="1:6" ht="15.75">
      <c r="A17" s="18"/>
      <c r="B17" s="18"/>
      <c r="C17" s="18"/>
      <c r="D17" s="18"/>
      <c r="E17" s="18"/>
      <c r="F17" s="52"/>
    </row>
    <row r="18" spans="1:6" ht="15.75">
      <c r="A18" s="18"/>
      <c r="B18" s="722" t="s">
        <v>708</v>
      </c>
      <c r="C18" s="722"/>
      <c r="D18" s="309">
        <f>IF(D16&gt;0,(D16*0.001),"")</f>
        <v>3476.185</v>
      </c>
      <c r="E18" s="18"/>
      <c r="F18" s="52"/>
    </row>
    <row r="19" spans="1:6" ht="15.75">
      <c r="A19" s="18"/>
      <c r="B19" s="138"/>
      <c r="C19" s="138"/>
      <c r="D19" s="310"/>
      <c r="E19" s="18"/>
      <c r="F19" s="52"/>
    </row>
    <row r="20" spans="1:6" ht="15.75">
      <c r="A20" s="719" t="s">
        <v>706</v>
      </c>
      <c r="B20" s="701"/>
      <c r="C20" s="701"/>
      <c r="D20" s="311">
        <f>inputOth!E12</f>
        <v>0</v>
      </c>
      <c r="E20" s="62"/>
      <c r="F20" s="62"/>
    </row>
    <row r="21" spans="1:6" ht="15">
      <c r="A21" s="62"/>
      <c r="B21" s="62"/>
      <c r="C21" s="62"/>
      <c r="D21" s="312"/>
      <c r="E21" s="62"/>
      <c r="F21" s="62"/>
    </row>
    <row r="22" spans="1:6" ht="15.75">
      <c r="A22" s="62"/>
      <c r="B22" s="719" t="s">
        <v>707</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120</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434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725</v>
      </c>
      <c r="B3" s="355"/>
      <c r="C3" s="355"/>
      <c r="D3" s="355"/>
      <c r="E3" s="355"/>
      <c r="F3" s="355"/>
      <c r="G3" s="355"/>
      <c r="H3" s="355"/>
      <c r="I3" s="355"/>
      <c r="J3" s="355"/>
      <c r="K3" s="355"/>
      <c r="L3" s="355"/>
    </row>
    <row r="5" ht="15">
      <c r="A5" s="356" t="s">
        <v>726</v>
      </c>
    </row>
    <row r="6" ht="15">
      <c r="A6" s="356" t="str">
        <f>CONCATENATE(inputPrYr!D6-2," 'total expenditures' exceed your ",inputPrYr!D6-2," 'budget authority.'")</f>
        <v>2012 'total expenditures' exceed your 2012 'budget authority.'</v>
      </c>
    </row>
    <row r="7" ht="15">
      <c r="A7" s="356"/>
    </row>
    <row r="8" ht="15">
      <c r="A8" s="356" t="s">
        <v>727</v>
      </c>
    </row>
    <row r="9" ht="15">
      <c r="A9" s="356" t="s">
        <v>728</v>
      </c>
    </row>
    <row r="10" ht="15">
      <c r="A10" s="356" t="s">
        <v>729</v>
      </c>
    </row>
    <row r="11" ht="15">
      <c r="A11" s="356"/>
    </row>
    <row r="12" ht="15">
      <c r="A12" s="356"/>
    </row>
    <row r="13" ht="15">
      <c r="A13" s="357" t="s">
        <v>730</v>
      </c>
    </row>
    <row r="15" ht="15">
      <c r="A15" s="356" t="s">
        <v>731</v>
      </c>
    </row>
    <row r="16" ht="15">
      <c r="A16" s="356" t="str">
        <f>CONCATENATE("(i.e. an audit has not been completed, or the ",inputPrYr!D6," adopted")</f>
        <v>(i.e. an audit has not been completed, or the 2014 adopted</v>
      </c>
    </row>
    <row r="17" ht="15">
      <c r="A17" s="356" t="s">
        <v>732</v>
      </c>
    </row>
    <row r="18" ht="15">
      <c r="A18" s="356" t="s">
        <v>733</v>
      </c>
    </row>
    <row r="19" ht="15">
      <c r="A19" s="356" t="s">
        <v>734</v>
      </c>
    </row>
    <row r="21" ht="15">
      <c r="A21" s="357" t="s">
        <v>735</v>
      </c>
    </row>
    <row r="22" ht="15">
      <c r="A22" s="357"/>
    </row>
    <row r="23" ht="15">
      <c r="A23" s="356" t="s">
        <v>736</v>
      </c>
    </row>
    <row r="24" ht="15">
      <c r="A24" s="356" t="s">
        <v>737</v>
      </c>
    </row>
    <row r="25" ht="15">
      <c r="A25" s="356" t="str">
        <f>CONCATENATE("particular fund.  If your ",inputPrYr!D6-2," budget was amended, did you")</f>
        <v>particular fund.  If your 2012 budget was amended, did you</v>
      </c>
    </row>
    <row r="26" ht="15">
      <c r="A26" s="356" t="s">
        <v>738</v>
      </c>
    </row>
    <row r="27" ht="15">
      <c r="A27" s="356"/>
    </row>
    <row r="28" ht="15">
      <c r="A28" s="356" t="str">
        <f>CONCATENATE("Next, look to see if any of your ",inputPrYr!D6-2," expenditures can be")</f>
        <v>Next, look to see if any of your 2012 expenditures can be</v>
      </c>
    </row>
    <row r="29" ht="15">
      <c r="A29" s="356" t="s">
        <v>739</v>
      </c>
    </row>
    <row r="30" ht="15">
      <c r="A30" s="356" t="s">
        <v>740</v>
      </c>
    </row>
    <row r="31" ht="15">
      <c r="A31" s="356" t="s">
        <v>741</v>
      </c>
    </row>
    <row r="32" ht="15">
      <c r="A32" s="356"/>
    </row>
    <row r="33" ht="15">
      <c r="A33" s="356" t="str">
        <f>CONCATENATE("Additionally, do your ",inputPrYr!D6-2," receipts contain a reimbursement")</f>
        <v>Additionally, do your 2012 receipts contain a reimbursement</v>
      </c>
    </row>
    <row r="34" ht="15">
      <c r="A34" s="356" t="s">
        <v>742</v>
      </c>
    </row>
    <row r="35" ht="15">
      <c r="A35" s="356" t="s">
        <v>743</v>
      </c>
    </row>
    <row r="36" ht="15">
      <c r="A36" s="356"/>
    </row>
    <row r="37" ht="15">
      <c r="A37" s="356" t="s">
        <v>747</v>
      </c>
    </row>
    <row r="38" ht="15">
      <c r="A38" s="356" t="s">
        <v>748</v>
      </c>
    </row>
    <row r="39" ht="15">
      <c r="A39" s="356" t="s">
        <v>749</v>
      </c>
    </row>
    <row r="40" ht="15">
      <c r="A40" s="356"/>
    </row>
    <row r="41" ht="15">
      <c r="A41" s="357" t="s">
        <v>750</v>
      </c>
    </row>
    <row r="42" ht="15">
      <c r="A42" s="356"/>
    </row>
    <row r="43" ht="15">
      <c r="A43" s="356" t="s">
        <v>751</v>
      </c>
    </row>
    <row r="44" ht="15">
      <c r="A44" s="356" t="s">
        <v>752</v>
      </c>
    </row>
    <row r="45" ht="15">
      <c r="A45" s="356" t="s">
        <v>753</v>
      </c>
    </row>
    <row r="46" ht="15">
      <c r="A46" s="356" t="s">
        <v>754</v>
      </c>
    </row>
    <row r="47" ht="15">
      <c r="A47" s="356" t="s">
        <v>755</v>
      </c>
    </row>
    <row r="48" ht="15">
      <c r="A48" s="356" t="s">
        <v>756</v>
      </c>
    </row>
    <row r="49" ht="15">
      <c r="A49" s="356" t="s">
        <v>757</v>
      </c>
    </row>
    <row r="50" ht="15">
      <c r="A50" s="356" t="s">
        <v>758</v>
      </c>
    </row>
    <row r="51" ht="15">
      <c r="A51" s="356" t="s">
        <v>759</v>
      </c>
    </row>
    <row r="52" ht="15">
      <c r="A52" s="356" t="s">
        <v>760</v>
      </c>
    </row>
    <row r="53" ht="15">
      <c r="A53" s="356" t="s">
        <v>761</v>
      </c>
    </row>
    <row r="54" ht="15">
      <c r="A54" s="356" t="s">
        <v>762</v>
      </c>
    </row>
    <row r="55" ht="15">
      <c r="A55" s="356" t="s">
        <v>763</v>
      </c>
    </row>
    <row r="56" ht="15">
      <c r="A56" s="356"/>
    </row>
    <row r="57" ht="15">
      <c r="A57" s="356" t="s">
        <v>764</v>
      </c>
    </row>
    <row r="58" ht="15">
      <c r="A58" s="356" t="s">
        <v>765</v>
      </c>
    </row>
    <row r="59" ht="15">
      <c r="A59" s="356" t="s">
        <v>766</v>
      </c>
    </row>
    <row r="60" ht="15">
      <c r="A60" s="356"/>
    </row>
    <row r="61" ht="15">
      <c r="A61" s="357" t="str">
        <f>CONCATENATE("What if the ",inputPrYr!D6-2," financial records have been closed?")</f>
        <v>What if the 2012 financial records have been closed?</v>
      </c>
    </row>
    <row r="63" ht="15">
      <c r="A63" s="356" t="s">
        <v>767</v>
      </c>
    </row>
    <row r="64" ht="15">
      <c r="A64" s="356" t="str">
        <f>CONCATENATE("(i.e. an audit for ",inputPrYr!D6-2," has been completed, or the ",inputPrYr!D6)</f>
        <v>(i.e. an audit for 2012 has been completed, or the 2014</v>
      </c>
    </row>
    <row r="65" ht="15">
      <c r="A65" s="356" t="s">
        <v>768</v>
      </c>
    </row>
    <row r="66" ht="15">
      <c r="A66" s="356" t="s">
        <v>769</v>
      </c>
    </row>
    <row r="67" ht="15">
      <c r="A67" s="356"/>
    </row>
    <row r="68" ht="15">
      <c r="A68" s="356" t="s">
        <v>770</v>
      </c>
    </row>
    <row r="69" ht="15">
      <c r="A69" s="356" t="s">
        <v>771</v>
      </c>
    </row>
    <row r="70" ht="15">
      <c r="A70" s="356" t="s">
        <v>772</v>
      </c>
    </row>
    <row r="71" ht="15">
      <c r="A71" s="356"/>
    </row>
    <row r="72" ht="15">
      <c r="A72" s="356" t="s">
        <v>773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774</v>
      </c>
      <c r="B3" s="355"/>
      <c r="C3" s="355"/>
      <c r="D3" s="355"/>
      <c r="E3" s="355"/>
      <c r="F3" s="355"/>
      <c r="G3" s="355"/>
      <c r="H3" s="358"/>
      <c r="I3" s="358"/>
      <c r="J3" s="358"/>
    </row>
    <row r="5" ht="15">
      <c r="A5" s="356" t="s">
        <v>775</v>
      </c>
    </row>
    <row r="6" ht="15">
      <c r="A6" t="str">
        <f>CONCATENATE(inputPrYr!D6-2," expenditures show that you finished the year with a ")</f>
        <v>2012 expenditures show that you finished the year with a </v>
      </c>
    </row>
    <row r="7" ht="15">
      <c r="A7" t="s">
        <v>776</v>
      </c>
    </row>
    <row r="9" ht="15">
      <c r="A9" t="s">
        <v>777</v>
      </c>
    </row>
    <row r="10" ht="15">
      <c r="A10" t="s">
        <v>778</v>
      </c>
    </row>
    <row r="11" ht="15">
      <c r="A11" t="s">
        <v>779</v>
      </c>
    </row>
    <row r="13" ht="15">
      <c r="A13" s="357" t="s">
        <v>780</v>
      </c>
    </row>
    <row r="14" ht="15">
      <c r="A14" s="357"/>
    </row>
    <row r="15" ht="15">
      <c r="A15" s="356" t="s">
        <v>781</v>
      </c>
    </row>
    <row r="16" ht="15">
      <c r="A16" s="356" t="s">
        <v>782</v>
      </c>
    </row>
    <row r="17" ht="15">
      <c r="A17" s="356" t="s">
        <v>783</v>
      </c>
    </row>
    <row r="18" ht="15">
      <c r="A18" s="356"/>
    </row>
    <row r="19" ht="15">
      <c r="A19" s="357" t="s">
        <v>784</v>
      </c>
    </row>
    <row r="20" ht="15">
      <c r="A20" s="357"/>
    </row>
    <row r="21" ht="15">
      <c r="A21" s="356" t="s">
        <v>785</v>
      </c>
    </row>
    <row r="22" ht="15">
      <c r="A22" s="356" t="s">
        <v>786</v>
      </c>
    </row>
    <row r="23" ht="15">
      <c r="A23" s="356" t="s">
        <v>787</v>
      </c>
    </row>
    <row r="24" ht="15">
      <c r="A24" s="356"/>
    </row>
    <row r="25" ht="15">
      <c r="A25" s="357" t="s">
        <v>788</v>
      </c>
    </row>
    <row r="26" ht="15">
      <c r="A26" s="357"/>
    </row>
    <row r="27" ht="15">
      <c r="A27" s="356" t="s">
        <v>789</v>
      </c>
    </row>
    <row r="28" ht="15">
      <c r="A28" s="356" t="s">
        <v>790</v>
      </c>
    </row>
    <row r="29" ht="15">
      <c r="A29" s="356" t="s">
        <v>791</v>
      </c>
    </row>
    <row r="30" ht="15">
      <c r="A30" s="356"/>
    </row>
    <row r="31" ht="15">
      <c r="A31" s="357" t="s">
        <v>792</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793</v>
      </c>
      <c r="B35" s="356"/>
      <c r="C35" s="356"/>
      <c r="D35" s="356"/>
      <c r="E35" s="356"/>
      <c r="F35" s="356"/>
      <c r="G35" s="356"/>
      <c r="H35" s="356"/>
    </row>
    <row r="36" spans="1:8" ht="15">
      <c r="A36" s="356" t="s">
        <v>794</v>
      </c>
      <c r="B36" s="356"/>
      <c r="C36" s="356"/>
      <c r="D36" s="356"/>
      <c r="E36" s="356"/>
      <c r="F36" s="356"/>
      <c r="G36" s="356"/>
      <c r="H36" s="356"/>
    </row>
    <row r="37" spans="1:8" ht="15">
      <c r="A37" s="356" t="s">
        <v>795</v>
      </c>
      <c r="B37" s="356"/>
      <c r="C37" s="356"/>
      <c r="D37" s="356"/>
      <c r="E37" s="356"/>
      <c r="F37" s="356"/>
      <c r="G37" s="356"/>
      <c r="H37" s="356"/>
    </row>
    <row r="38" spans="1:8" ht="15">
      <c r="A38" s="356" t="s">
        <v>796</v>
      </c>
      <c r="B38" s="356"/>
      <c r="C38" s="356"/>
      <c r="D38" s="356"/>
      <c r="E38" s="356"/>
      <c r="F38" s="356"/>
      <c r="G38" s="356"/>
      <c r="H38" s="356"/>
    </row>
    <row r="39" spans="1:8" ht="15">
      <c r="A39" s="356" t="s">
        <v>5</v>
      </c>
      <c r="B39" s="356"/>
      <c r="C39" s="356"/>
      <c r="D39" s="356"/>
      <c r="E39" s="356"/>
      <c r="F39" s="356"/>
      <c r="G39" s="356"/>
      <c r="H39" s="356"/>
    </row>
    <row r="40" spans="1:8" ht="15">
      <c r="A40" s="356"/>
      <c r="B40" s="356"/>
      <c r="C40" s="356"/>
      <c r="D40" s="356"/>
      <c r="E40" s="356"/>
      <c r="F40" s="356"/>
      <c r="G40" s="356"/>
      <c r="H40" s="356"/>
    </row>
    <row r="41" spans="1:8" ht="15">
      <c r="A41" s="356" t="s">
        <v>6</v>
      </c>
      <c r="B41" s="356"/>
      <c r="C41" s="356"/>
      <c r="D41" s="356"/>
      <c r="E41" s="356"/>
      <c r="F41" s="356"/>
      <c r="G41" s="356"/>
      <c r="H41" s="356"/>
    </row>
    <row r="42" spans="1:8" ht="15">
      <c r="A42" s="356" t="s">
        <v>7</v>
      </c>
      <c r="B42" s="356"/>
      <c r="C42" s="356"/>
      <c r="D42" s="356"/>
      <c r="E42" s="356"/>
      <c r="F42" s="356"/>
      <c r="G42" s="356"/>
      <c r="H42" s="356"/>
    </row>
    <row r="43" spans="1:8" ht="15">
      <c r="A43" s="356" t="s">
        <v>8</v>
      </c>
      <c r="B43" s="356"/>
      <c r="C43" s="356"/>
      <c r="D43" s="356"/>
      <c r="E43" s="356"/>
      <c r="F43" s="356"/>
      <c r="G43" s="356"/>
      <c r="H43" s="356"/>
    </row>
    <row r="44" spans="1:8" ht="15">
      <c r="A44" s="356" t="s">
        <v>9</v>
      </c>
      <c r="B44" s="356"/>
      <c r="C44" s="356"/>
      <c r="D44" s="356"/>
      <c r="E44" s="356"/>
      <c r="F44" s="356"/>
      <c r="G44" s="356"/>
      <c r="H44" s="356"/>
    </row>
    <row r="45" spans="1:8" ht="15">
      <c r="A45" s="356"/>
      <c r="B45" s="356"/>
      <c r="C45" s="356"/>
      <c r="D45" s="356"/>
      <c r="E45" s="356"/>
      <c r="F45" s="356"/>
      <c r="G45" s="356"/>
      <c r="H45" s="356"/>
    </row>
    <row r="46" spans="1:8" ht="15">
      <c r="A46" s="356" t="s">
        <v>10</v>
      </c>
      <c r="B46" s="356"/>
      <c r="C46" s="356"/>
      <c r="D46" s="356"/>
      <c r="E46" s="356"/>
      <c r="F46" s="356"/>
      <c r="G46" s="356"/>
      <c r="H46" s="356"/>
    </row>
    <row r="47" spans="1:8" ht="15">
      <c r="A47" s="356" t="s">
        <v>11</v>
      </c>
      <c r="B47" s="356"/>
      <c r="C47" s="356"/>
      <c r="D47" s="356"/>
      <c r="E47" s="356"/>
      <c r="F47" s="356"/>
      <c r="G47" s="356"/>
      <c r="H47" s="356"/>
    </row>
    <row r="48" spans="1:8" ht="15">
      <c r="A48" s="356" t="s">
        <v>12</v>
      </c>
      <c r="B48" s="356"/>
      <c r="C48" s="356"/>
      <c r="D48" s="356"/>
      <c r="E48" s="356"/>
      <c r="F48" s="356"/>
      <c r="G48" s="356"/>
      <c r="H48" s="356"/>
    </row>
    <row r="49" spans="1:8" ht="15">
      <c r="A49" s="356" t="s">
        <v>13</v>
      </c>
      <c r="B49" s="356"/>
      <c r="C49" s="356"/>
      <c r="D49" s="356"/>
      <c r="E49" s="356"/>
      <c r="F49" s="356"/>
      <c r="G49" s="356"/>
      <c r="H49" s="356"/>
    </row>
    <row r="50" spans="1:8" ht="15">
      <c r="A50" s="356" t="s">
        <v>14</v>
      </c>
      <c r="B50" s="356"/>
      <c r="C50" s="356"/>
      <c r="D50" s="356"/>
      <c r="E50" s="356"/>
      <c r="F50" s="356"/>
      <c r="G50" s="356"/>
      <c r="H50" s="356"/>
    </row>
    <row r="51" spans="1:8" ht="15">
      <c r="A51" s="356"/>
      <c r="B51" s="356"/>
      <c r="C51" s="356"/>
      <c r="D51" s="356"/>
      <c r="E51" s="356"/>
      <c r="F51" s="356"/>
      <c r="G51" s="356"/>
      <c r="H51" s="356"/>
    </row>
    <row r="52" spans="1:8" ht="15">
      <c r="A52" s="357" t="s">
        <v>15</v>
      </c>
      <c r="B52" s="357"/>
      <c r="C52" s="357"/>
      <c r="D52" s="357"/>
      <c r="E52" s="357"/>
      <c r="F52" s="357"/>
      <c r="G52" s="357"/>
      <c r="H52" s="356"/>
    </row>
    <row r="53" spans="1:8" ht="15">
      <c r="A53" s="357" t="s">
        <v>16</v>
      </c>
      <c r="B53" s="357"/>
      <c r="C53" s="357"/>
      <c r="D53" s="357"/>
      <c r="E53" s="357"/>
      <c r="F53" s="357"/>
      <c r="G53" s="357"/>
      <c r="H53" s="356"/>
    </row>
    <row r="54" spans="1:8" ht="15">
      <c r="A54" s="356"/>
      <c r="B54" s="356"/>
      <c r="C54" s="356"/>
      <c r="D54" s="356"/>
      <c r="E54" s="356"/>
      <c r="F54" s="356"/>
      <c r="G54" s="356"/>
      <c r="H54" s="356"/>
    </row>
    <row r="55" spans="1:8" ht="15">
      <c r="A55" s="356" t="s">
        <v>17</v>
      </c>
      <c r="B55" s="356"/>
      <c r="C55" s="356"/>
      <c r="D55" s="356"/>
      <c r="E55" s="356"/>
      <c r="F55" s="356"/>
      <c r="G55" s="356"/>
      <c r="H55" s="356"/>
    </row>
    <row r="56" spans="1:8" ht="15">
      <c r="A56" s="356" t="s">
        <v>18</v>
      </c>
      <c r="B56" s="356"/>
      <c r="C56" s="356"/>
      <c r="D56" s="356"/>
      <c r="E56" s="356"/>
      <c r="F56" s="356"/>
      <c r="G56" s="356"/>
      <c r="H56" s="356"/>
    </row>
    <row r="57" spans="1:8" ht="15">
      <c r="A57" s="356" t="s">
        <v>19</v>
      </c>
      <c r="B57" s="356"/>
      <c r="C57" s="356"/>
      <c r="D57" s="356"/>
      <c r="E57" s="356"/>
      <c r="F57" s="356"/>
      <c r="G57" s="356"/>
      <c r="H57" s="356"/>
    </row>
    <row r="58" spans="1:8" ht="15">
      <c r="A58" s="356" t="s">
        <v>20</v>
      </c>
      <c r="B58" s="356"/>
      <c r="C58" s="356"/>
      <c r="D58" s="356"/>
      <c r="E58" s="356"/>
      <c r="F58" s="356"/>
      <c r="G58" s="356"/>
      <c r="H58" s="356"/>
    </row>
    <row r="59" spans="1:8" ht="15">
      <c r="A59" s="356"/>
      <c r="B59" s="356"/>
      <c r="C59" s="356"/>
      <c r="D59" s="356"/>
      <c r="E59" s="356"/>
      <c r="F59" s="356"/>
      <c r="G59" s="356"/>
      <c r="H59" s="356"/>
    </row>
    <row r="60" spans="1:8" ht="15">
      <c r="A60" s="356" t="s">
        <v>21</v>
      </c>
      <c r="B60" s="356"/>
      <c r="C60" s="356"/>
      <c r="D60" s="356"/>
      <c r="E60" s="356"/>
      <c r="F60" s="356"/>
      <c r="G60" s="356"/>
      <c r="H60" s="356"/>
    </row>
    <row r="61" spans="1:8" ht="15">
      <c r="A61" s="356" t="s">
        <v>22</v>
      </c>
      <c r="B61" s="356"/>
      <c r="C61" s="356"/>
      <c r="D61" s="356"/>
      <c r="E61" s="356"/>
      <c r="F61" s="356"/>
      <c r="G61" s="356"/>
      <c r="H61" s="356"/>
    </row>
    <row r="62" spans="1:8" ht="15">
      <c r="A62" s="356" t="s">
        <v>23</v>
      </c>
      <c r="B62" s="356"/>
      <c r="C62" s="356"/>
      <c r="D62" s="356"/>
      <c r="E62" s="356"/>
      <c r="F62" s="356"/>
      <c r="G62" s="356"/>
      <c r="H62" s="356"/>
    </row>
    <row r="63" spans="1:8" ht="15">
      <c r="A63" s="356" t="s">
        <v>24</v>
      </c>
      <c r="B63" s="356"/>
      <c r="C63" s="356"/>
      <c r="D63" s="356"/>
      <c r="E63" s="356"/>
      <c r="F63" s="356"/>
      <c r="G63" s="356"/>
      <c r="H63" s="356"/>
    </row>
    <row r="64" spans="1:8" ht="15">
      <c r="A64" s="356" t="s">
        <v>25</v>
      </c>
      <c r="B64" s="356"/>
      <c r="C64" s="356"/>
      <c r="D64" s="356"/>
      <c r="E64" s="356"/>
      <c r="F64" s="356"/>
      <c r="G64" s="356"/>
      <c r="H64" s="356"/>
    </row>
    <row r="65" spans="1:8" ht="15">
      <c r="A65" s="356" t="s">
        <v>26</v>
      </c>
      <c r="B65" s="356"/>
      <c r="C65" s="356"/>
      <c r="D65" s="356"/>
      <c r="E65" s="356"/>
      <c r="F65" s="356"/>
      <c r="G65" s="356"/>
      <c r="H65" s="356"/>
    </row>
    <row r="66" spans="1:8" ht="15">
      <c r="A66" s="356"/>
      <c r="B66" s="356"/>
      <c r="C66" s="356"/>
      <c r="D66" s="356"/>
      <c r="E66" s="356"/>
      <c r="F66" s="356"/>
      <c r="G66" s="356"/>
      <c r="H66" s="356"/>
    </row>
    <row r="67" spans="1:8" ht="15">
      <c r="A67" s="356" t="s">
        <v>27</v>
      </c>
      <c r="B67" s="356"/>
      <c r="C67" s="356"/>
      <c r="D67" s="356"/>
      <c r="E67" s="356"/>
      <c r="F67" s="356"/>
      <c r="G67" s="356"/>
      <c r="H67" s="356"/>
    </row>
    <row r="68" spans="1:8" ht="15">
      <c r="A68" s="356" t="s">
        <v>28</v>
      </c>
      <c r="B68" s="356"/>
      <c r="C68" s="356"/>
      <c r="D68" s="356"/>
      <c r="E68" s="356"/>
      <c r="F68" s="356"/>
      <c r="G68" s="356"/>
      <c r="H68" s="356"/>
    </row>
    <row r="69" spans="1:8" ht="15">
      <c r="A69" s="356" t="s">
        <v>29</v>
      </c>
      <c r="B69" s="356"/>
      <c r="C69" s="356"/>
      <c r="D69" s="356"/>
      <c r="E69" s="356"/>
      <c r="F69" s="356"/>
      <c r="G69" s="356"/>
      <c r="H69" s="356"/>
    </row>
    <row r="70" spans="1:8" ht="15">
      <c r="A70" s="356" t="s">
        <v>30</v>
      </c>
      <c r="B70" s="356"/>
      <c r="C70" s="356"/>
      <c r="D70" s="356"/>
      <c r="E70" s="356"/>
      <c r="F70" s="356"/>
      <c r="G70" s="356"/>
      <c r="H70" s="356"/>
    </row>
    <row r="71" spans="1:8" ht="15">
      <c r="A71" s="356" t="s">
        <v>31</v>
      </c>
      <c r="B71" s="356"/>
      <c r="C71" s="356"/>
      <c r="D71" s="356"/>
      <c r="E71" s="356"/>
      <c r="F71" s="356"/>
      <c r="G71" s="356"/>
      <c r="H71" s="356"/>
    </row>
    <row r="72" spans="1:8" ht="15">
      <c r="A72" s="356" t="s">
        <v>32</v>
      </c>
      <c r="B72" s="356"/>
      <c r="C72" s="356"/>
      <c r="D72" s="356"/>
      <c r="E72" s="356"/>
      <c r="F72" s="356"/>
      <c r="G72" s="356"/>
      <c r="H72" s="356"/>
    </row>
    <row r="73" spans="1:8" ht="15">
      <c r="A73" s="356" t="s">
        <v>33</v>
      </c>
      <c r="B73" s="356"/>
      <c r="C73" s="356"/>
      <c r="D73" s="356"/>
      <c r="E73" s="356"/>
      <c r="F73" s="356"/>
      <c r="G73" s="356"/>
      <c r="H73" s="356"/>
    </row>
    <row r="74" spans="1:8" ht="15">
      <c r="A74" s="356"/>
      <c r="B74" s="356"/>
      <c r="C74" s="356"/>
      <c r="D74" s="356"/>
      <c r="E74" s="356"/>
      <c r="F74" s="356"/>
      <c r="G74" s="356"/>
      <c r="H74" s="356"/>
    </row>
    <row r="75" spans="1:8" ht="15">
      <c r="A75" s="356" t="s">
        <v>34</v>
      </c>
      <c r="B75" s="356"/>
      <c r="C75" s="356"/>
      <c r="D75" s="356"/>
      <c r="E75" s="356"/>
      <c r="F75" s="356"/>
      <c r="G75" s="356"/>
      <c r="H75" s="356"/>
    </row>
    <row r="76" spans="1:8" ht="15">
      <c r="A76" s="356" t="s">
        <v>35</v>
      </c>
      <c r="B76" s="356"/>
      <c r="C76" s="356"/>
      <c r="D76" s="356"/>
      <c r="E76" s="356"/>
      <c r="F76" s="356"/>
      <c r="G76" s="356"/>
      <c r="H76" s="356"/>
    </row>
    <row r="77" spans="1:8" ht="15">
      <c r="A77" s="356" t="s">
        <v>36</v>
      </c>
      <c r="B77" s="356"/>
      <c r="C77" s="356"/>
      <c r="D77" s="356"/>
      <c r="E77" s="356"/>
      <c r="F77" s="356"/>
      <c r="G77" s="356"/>
      <c r="H77" s="356"/>
    </row>
    <row r="78" spans="1:8" ht="15">
      <c r="A78" s="356"/>
      <c r="B78" s="356"/>
      <c r="C78" s="356"/>
      <c r="D78" s="356"/>
      <c r="E78" s="356"/>
      <c r="F78" s="356"/>
      <c r="G78" s="356"/>
      <c r="H78" s="356"/>
    </row>
    <row r="79" ht="15">
      <c r="A79" s="356" t="s">
        <v>773</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37</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726</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38</v>
      </c>
      <c r="I7" s="355"/>
      <c r="J7" s="355"/>
      <c r="K7" s="355"/>
      <c r="L7" s="355"/>
    </row>
    <row r="8" spans="1:12" ht="15">
      <c r="A8" s="356"/>
      <c r="I8" s="355"/>
      <c r="J8" s="355"/>
      <c r="K8" s="355"/>
      <c r="L8" s="355"/>
    </row>
    <row r="9" spans="1:12" ht="15">
      <c r="A9" s="356" t="s">
        <v>39</v>
      </c>
      <c r="I9" s="355"/>
      <c r="J9" s="355"/>
      <c r="K9" s="355"/>
      <c r="L9" s="355"/>
    </row>
    <row r="10" spans="1:12" ht="15">
      <c r="A10" s="356" t="s">
        <v>40</v>
      </c>
      <c r="I10" s="355"/>
      <c r="J10" s="355"/>
      <c r="K10" s="355"/>
      <c r="L10" s="355"/>
    </row>
    <row r="11" spans="1:12" ht="15">
      <c r="A11" s="356" t="s">
        <v>323</v>
      </c>
      <c r="I11" s="355"/>
      <c r="J11" s="355"/>
      <c r="K11" s="355"/>
      <c r="L11" s="355"/>
    </row>
    <row r="12" spans="1:12" ht="15">
      <c r="A12" s="356" t="s">
        <v>324</v>
      </c>
      <c r="I12" s="355"/>
      <c r="J12" s="355"/>
      <c r="K12" s="355"/>
      <c r="L12" s="355"/>
    </row>
    <row r="13" spans="1:12" ht="15">
      <c r="A13" s="356" t="s">
        <v>325</v>
      </c>
      <c r="I13" s="355"/>
      <c r="J13" s="355"/>
      <c r="K13" s="355"/>
      <c r="L13" s="355"/>
    </row>
    <row r="14" spans="1:12" ht="15">
      <c r="A14" s="355"/>
      <c r="B14" s="355"/>
      <c r="C14" s="355"/>
      <c r="D14" s="355"/>
      <c r="E14" s="355"/>
      <c r="F14" s="355"/>
      <c r="G14" s="355"/>
      <c r="H14" s="355"/>
      <c r="I14" s="355"/>
      <c r="J14" s="355"/>
      <c r="K14" s="355"/>
      <c r="L14" s="355"/>
    </row>
    <row r="15" ht="15">
      <c r="A15" s="357" t="s">
        <v>326</v>
      </c>
    </row>
    <row r="16" ht="15">
      <c r="A16" s="357" t="s">
        <v>327</v>
      </c>
    </row>
    <row r="17" ht="15">
      <c r="A17" s="357"/>
    </row>
    <row r="18" spans="1:7" ht="15">
      <c r="A18" s="356" t="s">
        <v>328</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329</v>
      </c>
      <c r="B20" s="356"/>
      <c r="C20" s="356"/>
      <c r="D20" s="356"/>
      <c r="E20" s="356"/>
      <c r="F20" s="356"/>
      <c r="G20" s="356"/>
    </row>
    <row r="21" spans="1:7" ht="15">
      <c r="A21" s="356" t="s">
        <v>330</v>
      </c>
      <c r="B21" s="356"/>
      <c r="C21" s="356"/>
      <c r="D21" s="356"/>
      <c r="E21" s="356"/>
      <c r="F21" s="356"/>
      <c r="G21" s="356"/>
    </row>
    <row r="22" ht="15">
      <c r="A22" s="356"/>
    </row>
    <row r="23" ht="15">
      <c r="A23" s="357" t="s">
        <v>331</v>
      </c>
    </row>
    <row r="24" ht="15">
      <c r="A24" s="357"/>
    </row>
    <row r="25" ht="15">
      <c r="A25" s="356" t="s">
        <v>332</v>
      </c>
    </row>
    <row r="26" spans="1:6" ht="15">
      <c r="A26" s="356" t="s">
        <v>333</v>
      </c>
      <c r="B26" s="356"/>
      <c r="C26" s="356"/>
      <c r="D26" s="356"/>
      <c r="E26" s="356"/>
      <c r="F26" s="356"/>
    </row>
    <row r="27" spans="1:6" ht="15">
      <c r="A27" s="356" t="s">
        <v>334</v>
      </c>
      <c r="B27" s="356"/>
      <c r="C27" s="356"/>
      <c r="D27" s="356"/>
      <c r="E27" s="356"/>
      <c r="F27" s="356"/>
    </row>
    <row r="28" spans="1:6" ht="15">
      <c r="A28" s="356" t="s">
        <v>335</v>
      </c>
      <c r="B28" s="356"/>
      <c r="C28" s="356"/>
      <c r="D28" s="356"/>
      <c r="E28" s="356"/>
      <c r="F28" s="356"/>
    </row>
    <row r="29" spans="1:6" ht="15">
      <c r="A29" s="356"/>
      <c r="B29" s="356"/>
      <c r="C29" s="356"/>
      <c r="D29" s="356"/>
      <c r="E29" s="356"/>
      <c r="F29" s="356"/>
    </row>
    <row r="30" spans="1:7" ht="15">
      <c r="A30" s="357" t="s">
        <v>336</v>
      </c>
      <c r="B30" s="357"/>
      <c r="C30" s="357"/>
      <c r="D30" s="357"/>
      <c r="E30" s="357"/>
      <c r="F30" s="357"/>
      <c r="G30" s="357"/>
    </row>
    <row r="31" spans="1:7" ht="15">
      <c r="A31" s="357" t="s">
        <v>337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338</v>
      </c>
      <c r="B34" s="356"/>
      <c r="C34" s="356"/>
      <c r="D34" s="356"/>
      <c r="E34" s="356"/>
      <c r="F34" s="356"/>
    </row>
    <row r="35" spans="1:6" ht="15">
      <c r="A35" s="350" t="s">
        <v>740</v>
      </c>
      <c r="B35" s="356"/>
      <c r="C35" s="356"/>
      <c r="D35" s="356"/>
      <c r="E35" s="356"/>
      <c r="F35" s="356"/>
    </row>
    <row r="36" spans="1:6" ht="15">
      <c r="A36" s="350" t="s">
        <v>741</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742</v>
      </c>
      <c r="B39" s="356"/>
      <c r="C39" s="356"/>
      <c r="D39" s="356"/>
      <c r="E39" s="356"/>
      <c r="F39" s="356"/>
    </row>
    <row r="40" spans="1:6" ht="15">
      <c r="A40" s="350" t="s">
        <v>743</v>
      </c>
      <c r="B40" s="356"/>
      <c r="C40" s="356"/>
      <c r="D40" s="356"/>
      <c r="E40" s="356"/>
      <c r="F40" s="356"/>
    </row>
    <row r="41" spans="1:6" ht="15">
      <c r="A41" s="350"/>
      <c r="B41" s="356"/>
      <c r="C41" s="356"/>
      <c r="D41" s="356"/>
      <c r="E41" s="356"/>
      <c r="F41" s="356"/>
    </row>
    <row r="42" spans="1:6" ht="15">
      <c r="A42" s="350" t="s">
        <v>339</v>
      </c>
      <c r="B42" s="356"/>
      <c r="C42" s="356"/>
      <c r="D42" s="356"/>
      <c r="E42" s="356"/>
      <c r="F42" s="356"/>
    </row>
    <row r="43" spans="1:6" ht="15">
      <c r="A43" s="350" t="s">
        <v>340</v>
      </c>
      <c r="B43" s="356"/>
      <c r="C43" s="356"/>
      <c r="D43" s="356"/>
      <c r="E43" s="356"/>
      <c r="F43" s="356"/>
    </row>
    <row r="44" spans="1:6" ht="15">
      <c r="A44" s="350" t="s">
        <v>341</v>
      </c>
      <c r="B44" s="356"/>
      <c r="C44" s="356"/>
      <c r="D44" s="356"/>
      <c r="E44" s="356"/>
      <c r="F44" s="356"/>
    </row>
    <row r="45" spans="1:6" ht="15">
      <c r="A45" s="350" t="s">
        <v>342</v>
      </c>
      <c r="B45" s="356"/>
      <c r="C45" s="356"/>
      <c r="D45" s="356"/>
      <c r="E45" s="356"/>
      <c r="F45" s="356"/>
    </row>
    <row r="46" spans="1:6" ht="15">
      <c r="A46" s="350" t="s">
        <v>343</v>
      </c>
      <c r="B46" s="356"/>
      <c r="C46" s="356"/>
      <c r="D46" s="356"/>
      <c r="E46" s="356"/>
      <c r="F46" s="356"/>
    </row>
    <row r="47" spans="1:6" ht="15">
      <c r="A47" s="350"/>
      <c r="B47" s="356"/>
      <c r="C47" s="356"/>
      <c r="D47" s="356"/>
      <c r="E47" s="356"/>
      <c r="F47" s="356"/>
    </row>
    <row r="48" spans="1:6" ht="15">
      <c r="A48" s="351" t="s">
        <v>344</v>
      </c>
      <c r="B48" s="356"/>
      <c r="C48" s="356"/>
      <c r="D48" s="356"/>
      <c r="E48" s="356"/>
      <c r="F48" s="356"/>
    </row>
    <row r="49" spans="1:6" ht="15">
      <c r="A49" s="351" t="s">
        <v>345</v>
      </c>
      <c r="B49" s="356"/>
      <c r="C49" s="356"/>
      <c r="D49" s="356"/>
      <c r="E49" s="356"/>
      <c r="F49" s="356"/>
    </row>
    <row r="50" spans="1:6" ht="15">
      <c r="A50" s="351" t="s">
        <v>346</v>
      </c>
      <c r="B50" s="356"/>
      <c r="C50" s="356"/>
      <c r="D50" s="356"/>
      <c r="E50" s="356"/>
      <c r="F50" s="356"/>
    </row>
    <row r="51" ht="15">
      <c r="A51" s="351" t="s">
        <v>347</v>
      </c>
    </row>
    <row r="52" ht="15">
      <c r="A52" s="351" t="s">
        <v>348</v>
      </c>
    </row>
    <row r="53" ht="15">
      <c r="A53" s="351" t="s">
        <v>349</v>
      </c>
    </row>
    <row r="55" ht="15">
      <c r="A55" s="356" t="s">
        <v>350</v>
      </c>
    </row>
    <row r="56" ht="15">
      <c r="A56" s="356" t="s">
        <v>351</v>
      </c>
    </row>
    <row r="57" ht="15">
      <c r="A57" s="356" t="s">
        <v>352</v>
      </c>
    </row>
    <row r="58" ht="15">
      <c r="A58" s="356" t="s">
        <v>353</v>
      </c>
    </row>
    <row r="59" ht="15">
      <c r="A59" s="356" t="s">
        <v>354</v>
      </c>
    </row>
    <row r="60" ht="15">
      <c r="A60" s="356" t="s">
        <v>355</v>
      </c>
    </row>
    <row r="62" ht="15">
      <c r="A62" s="356" t="s">
        <v>773</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356</v>
      </c>
      <c r="B3" s="355"/>
      <c r="C3" s="355"/>
      <c r="D3" s="355"/>
      <c r="E3" s="355"/>
      <c r="F3" s="355"/>
      <c r="G3" s="355"/>
    </row>
    <row r="4" spans="1:7" ht="15">
      <c r="A4" s="355"/>
      <c r="B4" s="355"/>
      <c r="C4" s="355"/>
      <c r="D4" s="355"/>
      <c r="E4" s="355"/>
      <c r="F4" s="355"/>
      <c r="G4" s="355"/>
    </row>
    <row r="5" ht="15">
      <c r="A5" s="356" t="s">
        <v>775</v>
      </c>
    </row>
    <row r="6" ht="15">
      <c r="A6" s="356" t="str">
        <f>CONCATENATE(inputPrYr!D6-1," estimated expenditures show that at the end of this year")</f>
        <v>2013 estimated expenditures show that at the end of this year</v>
      </c>
    </row>
    <row r="7" ht="15">
      <c r="A7" s="356" t="s">
        <v>357</v>
      </c>
    </row>
    <row r="8" ht="15">
      <c r="A8" s="356" t="s">
        <v>358</v>
      </c>
    </row>
    <row r="10" ht="15">
      <c r="A10" t="s">
        <v>777</v>
      </c>
    </row>
    <row r="11" ht="15">
      <c r="A11" t="s">
        <v>778</v>
      </c>
    </row>
    <row r="12" ht="15">
      <c r="A12" t="s">
        <v>779</v>
      </c>
    </row>
    <row r="13" spans="1:7" ht="15">
      <c r="A13" s="355"/>
      <c r="B13" s="355"/>
      <c r="C13" s="355"/>
      <c r="D13" s="355"/>
      <c r="E13" s="355"/>
      <c r="F13" s="355"/>
      <c r="G13" s="355"/>
    </row>
    <row r="14" ht="15">
      <c r="A14" s="357" t="s">
        <v>359</v>
      </c>
    </row>
    <row r="15" ht="15">
      <c r="A15" s="356"/>
    </row>
    <row r="16" ht="15">
      <c r="A16" s="356" t="s">
        <v>360</v>
      </c>
    </row>
    <row r="17" ht="15">
      <c r="A17" s="356" t="s">
        <v>361</v>
      </c>
    </row>
    <row r="18" ht="15">
      <c r="A18" s="356" t="s">
        <v>362</v>
      </c>
    </row>
    <row r="19" ht="15">
      <c r="A19" s="356"/>
    </row>
    <row r="20" ht="15">
      <c r="A20" s="356" t="s">
        <v>46</v>
      </c>
    </row>
    <row r="21" ht="15">
      <c r="A21" s="356" t="s">
        <v>47</v>
      </c>
    </row>
    <row r="22" ht="15">
      <c r="A22" s="356" t="s">
        <v>48</v>
      </c>
    </row>
    <row r="23" ht="15">
      <c r="A23" s="356" t="s">
        <v>49</v>
      </c>
    </row>
    <row r="24" ht="15">
      <c r="A24" s="356"/>
    </row>
    <row r="25" ht="15">
      <c r="A25" s="357" t="s">
        <v>331</v>
      </c>
    </row>
    <row r="26" ht="15">
      <c r="A26" s="357"/>
    </row>
    <row r="27" ht="15">
      <c r="A27" s="356" t="s">
        <v>332</v>
      </c>
    </row>
    <row r="28" spans="1:6" ht="15">
      <c r="A28" s="356" t="s">
        <v>333</v>
      </c>
      <c r="B28" s="356"/>
      <c r="C28" s="356"/>
      <c r="D28" s="356"/>
      <c r="E28" s="356"/>
      <c r="F28" s="356"/>
    </row>
    <row r="29" spans="1:6" ht="15">
      <c r="A29" s="356" t="s">
        <v>334</v>
      </c>
      <c r="B29" s="356"/>
      <c r="C29" s="356"/>
      <c r="D29" s="356"/>
      <c r="E29" s="356"/>
      <c r="F29" s="356"/>
    </row>
    <row r="30" spans="1:6" ht="15">
      <c r="A30" s="356" t="s">
        <v>335</v>
      </c>
      <c r="B30" s="356"/>
      <c r="C30" s="356"/>
      <c r="D30" s="356"/>
      <c r="E30" s="356"/>
      <c r="F30" s="356"/>
    </row>
    <row r="31" ht="15">
      <c r="A31" s="356"/>
    </row>
    <row r="32" spans="1:7" ht="15">
      <c r="A32" s="357" t="s">
        <v>336</v>
      </c>
      <c r="B32" s="357"/>
      <c r="C32" s="357"/>
      <c r="D32" s="357"/>
      <c r="E32" s="357"/>
      <c r="F32" s="357"/>
      <c r="G32" s="357"/>
    </row>
    <row r="33" spans="1:7" ht="15">
      <c r="A33" s="357" t="s">
        <v>337</v>
      </c>
      <c r="B33" s="357"/>
      <c r="C33" s="357"/>
      <c r="D33" s="357"/>
      <c r="E33" s="357"/>
      <c r="F33" s="357"/>
      <c r="G33" s="357"/>
    </row>
    <row r="34" spans="1:7" ht="15">
      <c r="A34" s="357"/>
      <c r="B34" s="357"/>
      <c r="C34" s="357"/>
      <c r="D34" s="357"/>
      <c r="E34" s="357"/>
      <c r="F34" s="357"/>
      <c r="G34" s="357"/>
    </row>
    <row r="35" spans="1:7" ht="15">
      <c r="A35" s="356" t="s">
        <v>50</v>
      </c>
      <c r="B35" s="356"/>
      <c r="C35" s="356"/>
      <c r="D35" s="356"/>
      <c r="E35" s="356"/>
      <c r="F35" s="356"/>
      <c r="G35" s="356"/>
    </row>
    <row r="36" spans="1:7" ht="15">
      <c r="A36" s="356" t="s">
        <v>51</v>
      </c>
      <c r="B36" s="356"/>
      <c r="C36" s="356"/>
      <c r="D36" s="356"/>
      <c r="E36" s="356"/>
      <c r="F36" s="356"/>
      <c r="G36" s="356"/>
    </row>
    <row r="37" spans="1:7" ht="15">
      <c r="A37" s="356" t="s">
        <v>52</v>
      </c>
      <c r="B37" s="356"/>
      <c r="C37" s="356"/>
      <c r="D37" s="356"/>
      <c r="E37" s="356"/>
      <c r="F37" s="356"/>
      <c r="G37" s="356"/>
    </row>
    <row r="38" spans="1:7" ht="15">
      <c r="A38" s="356" t="s">
        <v>53</v>
      </c>
      <c r="B38" s="356"/>
      <c r="C38" s="356"/>
      <c r="D38" s="356"/>
      <c r="E38" s="356"/>
      <c r="F38" s="356"/>
      <c r="G38" s="356"/>
    </row>
    <row r="39" spans="1:7" ht="15">
      <c r="A39" s="356" t="s">
        <v>54</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338</v>
      </c>
      <c r="B42" s="356"/>
      <c r="C42" s="356"/>
      <c r="D42" s="356"/>
      <c r="E42" s="356"/>
      <c r="F42" s="356"/>
    </row>
    <row r="43" spans="1:6" ht="15">
      <c r="A43" s="350" t="s">
        <v>740</v>
      </c>
      <c r="B43" s="356"/>
      <c r="C43" s="356"/>
      <c r="D43" s="356"/>
      <c r="E43" s="356"/>
      <c r="F43" s="356"/>
    </row>
    <row r="44" spans="1:6" ht="15">
      <c r="A44" s="350" t="s">
        <v>741</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742</v>
      </c>
      <c r="B47" s="356"/>
      <c r="C47" s="356"/>
      <c r="D47" s="356"/>
      <c r="E47" s="356"/>
      <c r="F47" s="356"/>
    </row>
    <row r="48" spans="1:6" ht="15">
      <c r="A48" s="350" t="s">
        <v>743</v>
      </c>
      <c r="B48" s="356"/>
      <c r="C48" s="356"/>
      <c r="D48" s="356"/>
      <c r="E48" s="356"/>
      <c r="F48" s="356"/>
    </row>
    <row r="49" spans="1:7" ht="15">
      <c r="A49" s="356"/>
      <c r="B49" s="356"/>
      <c r="C49" s="356"/>
      <c r="D49" s="356"/>
      <c r="E49" s="356"/>
      <c r="F49" s="356"/>
      <c r="G49" s="356"/>
    </row>
    <row r="50" spans="1:7" ht="15">
      <c r="A50" s="356" t="s">
        <v>10</v>
      </c>
      <c r="B50" s="356"/>
      <c r="C50" s="356"/>
      <c r="D50" s="356"/>
      <c r="E50" s="356"/>
      <c r="F50" s="356"/>
      <c r="G50" s="356"/>
    </row>
    <row r="51" spans="1:7" ht="15">
      <c r="A51" s="356" t="s">
        <v>11</v>
      </c>
      <c r="B51" s="356"/>
      <c r="C51" s="356"/>
      <c r="D51" s="356"/>
      <c r="E51" s="356"/>
      <c r="F51" s="356"/>
      <c r="G51" s="356"/>
    </row>
    <row r="52" spans="1:7" ht="15">
      <c r="A52" s="356" t="s">
        <v>12</v>
      </c>
      <c r="B52" s="356"/>
      <c r="C52" s="356"/>
      <c r="D52" s="356"/>
      <c r="E52" s="356"/>
      <c r="F52" s="356"/>
      <c r="G52" s="356"/>
    </row>
    <row r="53" spans="1:7" ht="15">
      <c r="A53" s="356" t="s">
        <v>13</v>
      </c>
      <c r="B53" s="356"/>
      <c r="C53" s="356"/>
      <c r="D53" s="356"/>
      <c r="E53" s="356"/>
      <c r="F53" s="356"/>
      <c r="G53" s="356"/>
    </row>
    <row r="54" spans="1:7" ht="15">
      <c r="A54" s="356" t="s">
        <v>14</v>
      </c>
      <c r="B54" s="356"/>
      <c r="C54" s="356"/>
      <c r="D54" s="356"/>
      <c r="E54" s="356"/>
      <c r="F54" s="356"/>
      <c r="G54" s="356"/>
    </row>
    <row r="55" spans="1:7" ht="15">
      <c r="A55" s="356"/>
      <c r="B55" s="356"/>
      <c r="C55" s="356"/>
      <c r="D55" s="356"/>
      <c r="E55" s="356"/>
      <c r="F55" s="356"/>
      <c r="G55" s="356"/>
    </row>
    <row r="56" spans="1:6" ht="15">
      <c r="A56" s="350" t="s">
        <v>744</v>
      </c>
      <c r="B56" s="356"/>
      <c r="C56" s="356"/>
      <c r="D56" s="356"/>
      <c r="E56" s="356"/>
      <c r="F56" s="356"/>
    </row>
    <row r="57" spans="1:6" ht="15">
      <c r="A57" s="350" t="s">
        <v>745</v>
      </c>
      <c r="B57" s="356"/>
      <c r="C57" s="356"/>
      <c r="D57" s="356"/>
      <c r="E57" s="356"/>
      <c r="F57" s="356"/>
    </row>
    <row r="58" spans="1:6" ht="15">
      <c r="A58" s="350" t="s">
        <v>746</v>
      </c>
      <c r="B58" s="356"/>
      <c r="C58" s="356"/>
      <c r="D58" s="356"/>
      <c r="E58" s="356"/>
      <c r="F58" s="356"/>
    </row>
    <row r="59" spans="1:6" ht="15">
      <c r="A59" s="350"/>
      <c r="B59" s="356"/>
      <c r="C59" s="356"/>
      <c r="D59" s="356"/>
      <c r="E59" s="356"/>
      <c r="F59" s="356"/>
    </row>
    <row r="60" spans="1:7" ht="15">
      <c r="A60" s="356" t="s">
        <v>55</v>
      </c>
      <c r="B60" s="356"/>
      <c r="C60" s="356"/>
      <c r="D60" s="356"/>
      <c r="E60" s="356"/>
      <c r="F60" s="356"/>
      <c r="G60" s="356"/>
    </row>
    <row r="61" spans="1:7" ht="15">
      <c r="A61" s="356" t="s">
        <v>56</v>
      </c>
      <c r="B61" s="356"/>
      <c r="C61" s="356"/>
      <c r="D61" s="356"/>
      <c r="E61" s="356"/>
      <c r="F61" s="356"/>
      <c r="G61" s="356"/>
    </row>
    <row r="62" spans="1:7" ht="15">
      <c r="A62" s="356" t="s">
        <v>57</v>
      </c>
      <c r="B62" s="356"/>
      <c r="C62" s="356"/>
      <c r="D62" s="356"/>
      <c r="E62" s="356"/>
      <c r="F62" s="356"/>
      <c r="G62" s="356"/>
    </row>
    <row r="63" spans="1:7" ht="15">
      <c r="A63" s="356" t="s">
        <v>58</v>
      </c>
      <c r="B63" s="356"/>
      <c r="C63" s="356"/>
      <c r="D63" s="356"/>
      <c r="E63" s="356"/>
      <c r="F63" s="356"/>
      <c r="G63" s="356"/>
    </row>
    <row r="64" spans="1:7" ht="15">
      <c r="A64" s="356" t="s">
        <v>59</v>
      </c>
      <c r="B64" s="356"/>
      <c r="C64" s="356"/>
      <c r="D64" s="356"/>
      <c r="E64" s="356"/>
      <c r="F64" s="356"/>
      <c r="G64" s="356"/>
    </row>
    <row r="66" spans="1:6" ht="15">
      <c r="A66" s="350" t="s">
        <v>339</v>
      </c>
      <c r="B66" s="356"/>
      <c r="C66" s="356"/>
      <c r="D66" s="356"/>
      <c r="E66" s="356"/>
      <c r="F66" s="356"/>
    </row>
    <row r="67" spans="1:6" ht="15">
      <c r="A67" s="350" t="s">
        <v>340</v>
      </c>
      <c r="B67" s="356"/>
      <c r="C67" s="356"/>
      <c r="D67" s="356"/>
      <c r="E67" s="356"/>
      <c r="F67" s="356"/>
    </row>
    <row r="68" spans="1:6" ht="15">
      <c r="A68" s="350" t="s">
        <v>341</v>
      </c>
      <c r="B68" s="356"/>
      <c r="C68" s="356"/>
      <c r="D68" s="356"/>
      <c r="E68" s="356"/>
      <c r="F68" s="356"/>
    </row>
    <row r="69" spans="1:6" ht="15">
      <c r="A69" s="350" t="s">
        <v>342</v>
      </c>
      <c r="B69" s="356"/>
      <c r="C69" s="356"/>
      <c r="D69" s="356"/>
      <c r="E69" s="356"/>
      <c r="F69" s="356"/>
    </row>
    <row r="70" spans="1:6" ht="15">
      <c r="A70" s="350" t="s">
        <v>343</v>
      </c>
      <c r="B70" s="356"/>
      <c r="C70" s="356"/>
      <c r="D70" s="356"/>
      <c r="E70" s="356"/>
      <c r="F70" s="356"/>
    </row>
    <row r="71" ht="15">
      <c r="A71" s="356"/>
    </row>
    <row r="72" ht="15">
      <c r="A72" s="356" t="s">
        <v>773</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60</v>
      </c>
      <c r="B3" s="355"/>
      <c r="C3" s="355"/>
      <c r="D3" s="355"/>
      <c r="E3" s="355"/>
      <c r="F3" s="355"/>
      <c r="G3" s="355"/>
    </row>
    <row r="4" spans="1:7" ht="15">
      <c r="A4" s="355" t="s">
        <v>61</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726</v>
      </c>
    </row>
    <row r="8" ht="15">
      <c r="A8" s="356" t="str">
        <f>CONCATENATE("estimated ",inputPrYr!D6," 'total expenditures' exceed your ",inputPrYr!D6,"")</f>
        <v>estimated 2014 'total expenditures' exceed your 2014</v>
      </c>
    </row>
    <row r="9" ht="15">
      <c r="A9" s="359" t="s">
        <v>62</v>
      </c>
    </row>
    <row r="10" ht="15">
      <c r="A10" s="356"/>
    </row>
    <row r="11" ht="15">
      <c r="A11" s="356" t="s">
        <v>63</v>
      </c>
    </row>
    <row r="12" ht="15">
      <c r="A12" s="356" t="s">
        <v>64</v>
      </c>
    </row>
    <row r="13" ht="15">
      <c r="A13" s="356" t="s">
        <v>65</v>
      </c>
    </row>
    <row r="14" ht="15">
      <c r="A14" s="356"/>
    </row>
    <row r="15" ht="15">
      <c r="A15" s="357" t="s">
        <v>66</v>
      </c>
    </row>
    <row r="16" spans="1:7" ht="15">
      <c r="A16" s="355"/>
      <c r="B16" s="355"/>
      <c r="C16" s="355"/>
      <c r="D16" s="355"/>
      <c r="E16" s="355"/>
      <c r="F16" s="355"/>
      <c r="G16" s="355"/>
    </row>
    <row r="17" spans="1:8" ht="15">
      <c r="A17" s="360" t="s">
        <v>67</v>
      </c>
      <c r="B17" s="352"/>
      <c r="C17" s="352"/>
      <c r="D17" s="352"/>
      <c r="E17" s="352"/>
      <c r="F17" s="352"/>
      <c r="G17" s="352"/>
      <c r="H17" s="352"/>
    </row>
    <row r="18" spans="1:7" ht="15">
      <c r="A18" s="356" t="s">
        <v>68</v>
      </c>
      <c r="B18" s="361"/>
      <c r="C18" s="361"/>
      <c r="D18" s="361"/>
      <c r="E18" s="361"/>
      <c r="F18" s="361"/>
      <c r="G18" s="361"/>
    </row>
    <row r="19" ht="15">
      <c r="A19" s="356" t="s">
        <v>69</v>
      </c>
    </row>
    <row r="20" ht="15">
      <c r="A20" s="356" t="s">
        <v>70</v>
      </c>
    </row>
    <row r="22" ht="15">
      <c r="A22" s="357" t="s">
        <v>71</v>
      </c>
    </row>
    <row r="24" ht="15">
      <c r="A24" s="356" t="s">
        <v>72</v>
      </c>
    </row>
    <row r="25" ht="15">
      <c r="A25" s="356" t="s">
        <v>73</v>
      </c>
    </row>
    <row r="26" ht="15">
      <c r="A26" s="356" t="s">
        <v>74</v>
      </c>
    </row>
    <row r="28" ht="15">
      <c r="A28" s="357" t="s">
        <v>75</v>
      </c>
    </row>
    <row r="30" ht="15">
      <c r="A30" t="s">
        <v>76</v>
      </c>
    </row>
    <row r="31" ht="15">
      <c r="A31" t="s">
        <v>77</v>
      </c>
    </row>
    <row r="32" ht="15">
      <c r="A32" t="s">
        <v>78</v>
      </c>
    </row>
    <row r="33" ht="15">
      <c r="A33" s="356" t="s">
        <v>79</v>
      </c>
    </row>
    <row r="35" ht="15">
      <c r="A35" t="s">
        <v>80</v>
      </c>
    </row>
    <row r="36" ht="15">
      <c r="A36" t="s">
        <v>81</v>
      </c>
    </row>
    <row r="37" ht="15">
      <c r="A37" t="s">
        <v>82</v>
      </c>
    </row>
    <row r="38" ht="15">
      <c r="A38" t="s">
        <v>83</v>
      </c>
    </row>
    <row r="40" ht="15">
      <c r="A40" t="s">
        <v>84</v>
      </c>
    </row>
    <row r="41" ht="15">
      <c r="A41" t="s">
        <v>85</v>
      </c>
    </row>
    <row r="42" ht="15">
      <c r="A42" t="s">
        <v>86</v>
      </c>
    </row>
    <row r="43" ht="15">
      <c r="A43" t="s">
        <v>87</v>
      </c>
    </row>
    <row r="44" ht="15">
      <c r="A44" t="s">
        <v>366</v>
      </c>
    </row>
    <row r="45" ht="15">
      <c r="A45" t="s">
        <v>367</v>
      </c>
    </row>
    <row r="47" ht="15">
      <c r="A47" t="s">
        <v>368</v>
      </c>
    </row>
    <row r="48" ht="15">
      <c r="A48" t="s">
        <v>369</v>
      </c>
    </row>
    <row r="49" ht="15">
      <c r="A49" s="356" t="s">
        <v>370</v>
      </c>
    </row>
    <row r="50" ht="15">
      <c r="A50" s="356" t="s">
        <v>371</v>
      </c>
    </row>
    <row r="52" ht="15">
      <c r="A52" t="s">
        <v>773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1" t="s">
        <v>139</v>
      </c>
      <c r="C6" s="743"/>
      <c r="D6" s="743"/>
      <c r="E6" s="743"/>
      <c r="F6" s="743"/>
      <c r="G6" s="743"/>
      <c r="H6" s="743"/>
      <c r="I6" s="743"/>
      <c r="J6" s="743"/>
      <c r="K6" s="743"/>
      <c r="L6" s="397"/>
    </row>
    <row r="7" spans="1:12" ht="40.5" customHeight="1">
      <c r="A7" s="394"/>
      <c r="B7" s="752" t="s">
        <v>140</v>
      </c>
      <c r="C7" s="753"/>
      <c r="D7" s="753"/>
      <c r="E7" s="753"/>
      <c r="F7" s="753"/>
      <c r="G7" s="753"/>
      <c r="H7" s="753"/>
      <c r="I7" s="753"/>
      <c r="J7" s="753"/>
      <c r="K7" s="753"/>
      <c r="L7" s="394"/>
    </row>
    <row r="8" spans="1:12" ht="14.25">
      <c r="A8" s="394"/>
      <c r="B8" s="746" t="s">
        <v>141</v>
      </c>
      <c r="C8" s="746"/>
      <c r="D8" s="746"/>
      <c r="E8" s="746"/>
      <c r="F8" s="746"/>
      <c r="G8" s="746"/>
      <c r="H8" s="746"/>
      <c r="I8" s="746"/>
      <c r="J8" s="746"/>
      <c r="K8" s="746"/>
      <c r="L8" s="394"/>
    </row>
    <row r="9" spans="1:12" ht="14.25">
      <c r="A9" s="394"/>
      <c r="L9" s="394"/>
    </row>
    <row r="10" spans="1:12" ht="14.25">
      <c r="A10" s="394"/>
      <c r="B10" s="746" t="s">
        <v>142</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32" t="s">
        <v>143</v>
      </c>
      <c r="C12" s="732"/>
      <c r="D12" s="732"/>
      <c r="E12" s="732"/>
      <c r="F12" s="732"/>
      <c r="G12" s="732"/>
      <c r="H12" s="732"/>
      <c r="I12" s="732"/>
      <c r="J12" s="732"/>
      <c r="K12" s="732"/>
      <c r="L12" s="394"/>
    </row>
    <row r="13" spans="1:12" ht="14.25">
      <c r="A13" s="394"/>
      <c r="L13" s="394"/>
    </row>
    <row r="14" spans="1:12" ht="14.25">
      <c r="A14" s="394"/>
      <c r="B14" s="398" t="s">
        <v>144</v>
      </c>
      <c r="L14" s="394"/>
    </row>
    <row r="15" spans="1:12" ht="14.25">
      <c r="A15" s="394"/>
      <c r="L15" s="394"/>
    </row>
    <row r="16" spans="1:12" ht="14.25">
      <c r="A16" s="394"/>
      <c r="B16" s="396" t="s">
        <v>145</v>
      </c>
      <c r="L16" s="394"/>
    </row>
    <row r="17" spans="1:12" ht="14.25">
      <c r="A17" s="394"/>
      <c r="B17" s="396" t="s">
        <v>146</v>
      </c>
      <c r="L17" s="394"/>
    </row>
    <row r="18" spans="1:12" ht="14.25">
      <c r="A18" s="394"/>
      <c r="L18" s="394"/>
    </row>
    <row r="19" spans="1:12" ht="14.25">
      <c r="A19" s="394"/>
      <c r="B19" s="398" t="s">
        <v>272</v>
      </c>
      <c r="L19" s="394"/>
    </row>
    <row r="20" spans="1:12" ht="14.25">
      <c r="A20" s="394"/>
      <c r="B20" s="398"/>
      <c r="L20" s="394"/>
    </row>
    <row r="21" spans="1:12" ht="14.25">
      <c r="A21" s="394"/>
      <c r="B21" s="396" t="s">
        <v>273</v>
      </c>
      <c r="L21" s="394"/>
    </row>
    <row r="22" spans="1:12" ht="14.25">
      <c r="A22" s="394"/>
      <c r="L22" s="394"/>
    </row>
    <row r="23" spans="1:12" ht="14.25">
      <c r="A23" s="394"/>
      <c r="B23" s="396" t="s">
        <v>147</v>
      </c>
      <c r="E23" s="396" t="s">
        <v>148</v>
      </c>
      <c r="F23" s="734">
        <v>312000000</v>
      </c>
      <c r="G23" s="734"/>
      <c r="L23" s="394"/>
    </row>
    <row r="24" spans="1:12" ht="14.25">
      <c r="A24" s="394"/>
      <c r="L24" s="394"/>
    </row>
    <row r="25" spans="1:12" ht="14.25">
      <c r="A25" s="394"/>
      <c r="C25" s="747">
        <f>F23</f>
        <v>312000000</v>
      </c>
      <c r="D25" s="747"/>
      <c r="E25" s="396" t="s">
        <v>149</v>
      </c>
      <c r="F25" s="399">
        <v>1000</v>
      </c>
      <c r="G25" s="399" t="s">
        <v>148</v>
      </c>
      <c r="H25" s="534">
        <f>F23/F25</f>
        <v>312000</v>
      </c>
      <c r="L25" s="394"/>
    </row>
    <row r="26" spans="1:12" ht="15" thickBot="1">
      <c r="A26" s="394"/>
      <c r="L26" s="394"/>
    </row>
    <row r="27" spans="1:12" ht="14.25">
      <c r="A27" s="394"/>
      <c r="B27" s="400" t="s">
        <v>144</v>
      </c>
      <c r="C27" s="401"/>
      <c r="D27" s="401"/>
      <c r="E27" s="401"/>
      <c r="F27" s="401"/>
      <c r="G27" s="401"/>
      <c r="H27" s="401"/>
      <c r="I27" s="401"/>
      <c r="J27" s="401"/>
      <c r="K27" s="402"/>
      <c r="L27" s="394"/>
    </row>
    <row r="28" spans="1:12" ht="14.25">
      <c r="A28" s="394"/>
      <c r="B28" s="403">
        <f>F23</f>
        <v>312000000</v>
      </c>
      <c r="C28" s="404" t="s">
        <v>150</v>
      </c>
      <c r="D28" s="404"/>
      <c r="E28" s="404" t="s">
        <v>149</v>
      </c>
      <c r="F28" s="529">
        <v>1000</v>
      </c>
      <c r="G28" s="529" t="s">
        <v>148</v>
      </c>
      <c r="H28" s="405">
        <f>B28/F28</f>
        <v>312000</v>
      </c>
      <c r="I28" s="404" t="s">
        <v>151</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41" t="s">
        <v>140</v>
      </c>
      <c r="C30" s="741"/>
      <c r="D30" s="741"/>
      <c r="E30" s="741"/>
      <c r="F30" s="741"/>
      <c r="G30" s="741"/>
      <c r="H30" s="741"/>
      <c r="I30" s="741"/>
      <c r="J30" s="741"/>
      <c r="K30" s="741"/>
      <c r="L30" s="394"/>
    </row>
    <row r="31" spans="1:12" ht="14.25">
      <c r="A31" s="394"/>
      <c r="B31" s="746" t="s">
        <v>152</v>
      </c>
      <c r="C31" s="746"/>
      <c r="D31" s="746"/>
      <c r="E31" s="746"/>
      <c r="F31" s="746"/>
      <c r="G31" s="746"/>
      <c r="H31" s="746"/>
      <c r="I31" s="746"/>
      <c r="J31" s="746"/>
      <c r="K31" s="746"/>
      <c r="L31" s="394"/>
    </row>
    <row r="32" spans="1:12" ht="14.25">
      <c r="A32" s="394"/>
      <c r="L32" s="394"/>
    </row>
    <row r="33" spans="1:12" ht="14.25">
      <c r="A33" s="394"/>
      <c r="B33" s="746" t="s">
        <v>153</v>
      </c>
      <c r="C33" s="746"/>
      <c r="D33" s="746"/>
      <c r="E33" s="746"/>
      <c r="F33" s="746"/>
      <c r="G33" s="746"/>
      <c r="H33" s="746"/>
      <c r="I33" s="746"/>
      <c r="J33" s="746"/>
      <c r="K33" s="746"/>
      <c r="L33" s="394"/>
    </row>
    <row r="34" spans="1:12" ht="14.25">
      <c r="A34" s="394"/>
      <c r="L34" s="394"/>
    </row>
    <row r="35" spans="1:12" ht="89.25" customHeight="1">
      <c r="A35" s="394"/>
      <c r="B35" s="732" t="s">
        <v>154</v>
      </c>
      <c r="C35" s="739"/>
      <c r="D35" s="739"/>
      <c r="E35" s="739"/>
      <c r="F35" s="739"/>
      <c r="G35" s="739"/>
      <c r="H35" s="739"/>
      <c r="I35" s="739"/>
      <c r="J35" s="739"/>
      <c r="K35" s="739"/>
      <c r="L35" s="394"/>
    </row>
    <row r="36" spans="1:12" ht="14.25">
      <c r="A36" s="394"/>
      <c r="L36" s="394"/>
    </row>
    <row r="37" spans="1:12" ht="14.25">
      <c r="A37" s="394"/>
      <c r="B37" s="398" t="s">
        <v>155</v>
      </c>
      <c r="L37" s="394"/>
    </row>
    <row r="38" spans="1:12" ht="14.25">
      <c r="A38" s="394"/>
      <c r="L38" s="394"/>
    </row>
    <row r="39" spans="1:12" ht="14.25">
      <c r="A39" s="394"/>
      <c r="B39" s="396" t="s">
        <v>156</v>
      </c>
      <c r="L39" s="394"/>
    </row>
    <row r="40" spans="1:12" ht="14.25">
      <c r="A40" s="394"/>
      <c r="L40" s="394"/>
    </row>
    <row r="41" spans="1:12" ht="14.25">
      <c r="A41" s="394"/>
      <c r="C41" s="748">
        <v>312000000</v>
      </c>
      <c r="D41" s="748"/>
      <c r="E41" s="396" t="s">
        <v>149</v>
      </c>
      <c r="F41" s="399">
        <v>1000</v>
      </c>
      <c r="G41" s="399" t="s">
        <v>148</v>
      </c>
      <c r="H41" s="410">
        <f>C41/F41</f>
        <v>312000</v>
      </c>
      <c r="L41" s="394"/>
    </row>
    <row r="42" spans="1:12" ht="14.25">
      <c r="A42" s="394"/>
      <c r="L42" s="394"/>
    </row>
    <row r="43" spans="1:12" ht="14.25">
      <c r="A43" s="394"/>
      <c r="B43" s="396" t="s">
        <v>157</v>
      </c>
      <c r="L43" s="394"/>
    </row>
    <row r="44" spans="1:12" ht="14.25">
      <c r="A44" s="394"/>
      <c r="L44" s="394"/>
    </row>
    <row r="45" spans="1:12" ht="14.25">
      <c r="A45" s="394"/>
      <c r="B45" s="396" t="s">
        <v>158</v>
      </c>
      <c r="L45" s="394"/>
    </row>
    <row r="46" spans="1:12" ht="15" thickBot="1">
      <c r="A46" s="394"/>
      <c r="L46" s="394"/>
    </row>
    <row r="47" spans="1:12" ht="14.25">
      <c r="A47" s="394"/>
      <c r="B47" s="411" t="s">
        <v>144</v>
      </c>
      <c r="C47" s="401"/>
      <c r="D47" s="401"/>
      <c r="E47" s="401"/>
      <c r="F47" s="401"/>
      <c r="G47" s="401"/>
      <c r="H47" s="401"/>
      <c r="I47" s="401"/>
      <c r="J47" s="401"/>
      <c r="K47" s="402"/>
      <c r="L47" s="394"/>
    </row>
    <row r="48" spans="1:12" ht="14.25">
      <c r="A48" s="394"/>
      <c r="B48" s="749">
        <v>312000000</v>
      </c>
      <c r="C48" s="734"/>
      <c r="D48" s="404" t="s">
        <v>159</v>
      </c>
      <c r="E48" s="404" t="s">
        <v>149</v>
      </c>
      <c r="F48" s="529">
        <v>1000</v>
      </c>
      <c r="G48" s="529" t="s">
        <v>148</v>
      </c>
      <c r="H48" s="405">
        <f>B48/F48</f>
        <v>312000</v>
      </c>
      <c r="I48" s="404" t="s">
        <v>160</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161</v>
      </c>
      <c r="D50" s="404"/>
      <c r="E50" s="404" t="s">
        <v>149</v>
      </c>
      <c r="F50" s="405">
        <f>H48</f>
        <v>312000</v>
      </c>
      <c r="G50" s="750" t="s">
        <v>162</v>
      </c>
      <c r="H50" s="751"/>
      <c r="I50" s="529" t="s">
        <v>148</v>
      </c>
      <c r="J50" s="414">
        <f>B50/F50</f>
        <v>0.16025641025641027</v>
      </c>
      <c r="K50" s="406"/>
      <c r="L50" s="394"/>
    </row>
    <row r="51" spans="1:15" ht="15" thickBot="1">
      <c r="A51" s="394"/>
      <c r="B51" s="407"/>
      <c r="C51" s="408"/>
      <c r="D51" s="408"/>
      <c r="E51" s="408"/>
      <c r="F51" s="408"/>
      <c r="G51" s="408"/>
      <c r="H51" s="408"/>
      <c r="I51" s="744" t="s">
        <v>163</v>
      </c>
      <c r="J51" s="744"/>
      <c r="K51" s="745"/>
      <c r="L51" s="394"/>
      <c r="O51" s="415"/>
    </row>
    <row r="52" spans="1:12" ht="40.5" customHeight="1">
      <c r="A52" s="394"/>
      <c r="B52" s="741" t="s">
        <v>140</v>
      </c>
      <c r="C52" s="741"/>
      <c r="D52" s="741"/>
      <c r="E52" s="741"/>
      <c r="F52" s="741"/>
      <c r="G52" s="741"/>
      <c r="H52" s="741"/>
      <c r="I52" s="741"/>
      <c r="J52" s="741"/>
      <c r="K52" s="741"/>
      <c r="L52" s="394"/>
    </row>
    <row r="53" spans="1:12" ht="14.25">
      <c r="A53" s="394"/>
      <c r="B53" s="746" t="s">
        <v>164</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1" t="s">
        <v>165</v>
      </c>
      <c r="C55" s="731"/>
      <c r="D55" s="731"/>
      <c r="E55" s="731"/>
      <c r="F55" s="731"/>
      <c r="G55" s="731"/>
      <c r="H55" s="731"/>
      <c r="I55" s="731"/>
      <c r="J55" s="731"/>
      <c r="K55" s="731"/>
      <c r="L55" s="394"/>
    </row>
    <row r="56" spans="1:12" ht="15" customHeight="1">
      <c r="A56" s="394"/>
      <c r="L56" s="394"/>
    </row>
    <row r="57" spans="1:24" ht="74.25" customHeight="1">
      <c r="A57" s="394"/>
      <c r="B57" s="732" t="s">
        <v>166</v>
      </c>
      <c r="C57" s="739"/>
      <c r="D57" s="739"/>
      <c r="E57" s="739"/>
      <c r="F57" s="739"/>
      <c r="G57" s="739"/>
      <c r="H57" s="739"/>
      <c r="I57" s="739"/>
      <c r="J57" s="739"/>
      <c r="K57" s="739"/>
      <c r="L57" s="394"/>
      <c r="M57" s="416"/>
      <c r="N57" s="417"/>
      <c r="O57" s="417"/>
      <c r="P57" s="417"/>
      <c r="Q57" s="417"/>
      <c r="R57" s="417"/>
      <c r="S57" s="417"/>
      <c r="T57" s="417"/>
      <c r="U57" s="417"/>
      <c r="V57" s="417"/>
      <c r="W57" s="417"/>
      <c r="X57" s="417"/>
    </row>
    <row r="58" spans="1:24" ht="15" customHeight="1">
      <c r="A58" s="394"/>
      <c r="B58" s="732"/>
      <c r="C58" s="739"/>
      <c r="D58" s="739"/>
      <c r="E58" s="739"/>
      <c r="F58" s="739"/>
      <c r="G58" s="739"/>
      <c r="H58" s="739"/>
      <c r="I58" s="739"/>
      <c r="J58" s="739"/>
      <c r="K58" s="739"/>
      <c r="L58" s="394"/>
      <c r="M58" s="416"/>
      <c r="N58" s="417"/>
      <c r="O58" s="417"/>
      <c r="P58" s="417"/>
      <c r="Q58" s="417"/>
      <c r="R58" s="417"/>
      <c r="S58" s="417"/>
      <c r="T58" s="417"/>
      <c r="U58" s="417"/>
      <c r="V58" s="417"/>
      <c r="W58" s="417"/>
      <c r="X58" s="417"/>
    </row>
    <row r="59" spans="1:24" ht="14.25">
      <c r="A59" s="394"/>
      <c r="B59" s="398" t="s">
        <v>155</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167</v>
      </c>
      <c r="L61" s="394"/>
      <c r="M61" s="417"/>
      <c r="N61" s="417"/>
      <c r="O61" s="417"/>
      <c r="P61" s="417"/>
      <c r="Q61" s="417"/>
      <c r="R61" s="417"/>
      <c r="S61" s="417"/>
      <c r="T61" s="417"/>
      <c r="U61" s="417"/>
      <c r="V61" s="417"/>
      <c r="W61" s="417"/>
      <c r="X61" s="417"/>
    </row>
    <row r="62" spans="1:24" ht="14.25">
      <c r="A62" s="394"/>
      <c r="B62" s="396" t="s">
        <v>274</v>
      </c>
      <c r="L62" s="394"/>
      <c r="M62" s="417"/>
      <c r="N62" s="417"/>
      <c r="O62" s="417"/>
      <c r="P62" s="417"/>
      <c r="Q62" s="417"/>
      <c r="R62" s="417"/>
      <c r="S62" s="417"/>
      <c r="T62" s="417"/>
      <c r="U62" s="417"/>
      <c r="V62" s="417"/>
      <c r="W62" s="417"/>
      <c r="X62" s="417"/>
    </row>
    <row r="63" spans="1:24" ht="14.25">
      <c r="A63" s="394"/>
      <c r="B63" s="396" t="s">
        <v>275</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168</v>
      </c>
      <c r="L65" s="394"/>
      <c r="M65" s="417"/>
      <c r="N65" s="417"/>
      <c r="O65" s="417"/>
      <c r="P65" s="417"/>
      <c r="Q65" s="417"/>
      <c r="R65" s="417"/>
      <c r="S65" s="417"/>
      <c r="T65" s="417"/>
      <c r="U65" s="417"/>
      <c r="V65" s="417"/>
      <c r="W65" s="417"/>
      <c r="X65" s="417"/>
    </row>
    <row r="66" spans="1:24" ht="14.25">
      <c r="A66" s="394"/>
      <c r="B66" s="396" t="s">
        <v>169</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170</v>
      </c>
      <c r="L68" s="394"/>
      <c r="M68" s="418"/>
      <c r="N68" s="419"/>
      <c r="O68" s="419"/>
      <c r="P68" s="419"/>
      <c r="Q68" s="419"/>
      <c r="R68" s="419"/>
      <c r="S68" s="419"/>
      <c r="T68" s="419"/>
      <c r="U68" s="419"/>
      <c r="V68" s="419"/>
      <c r="W68" s="419"/>
      <c r="X68" s="417"/>
    </row>
    <row r="69" spans="1:24" ht="14.25">
      <c r="A69" s="394"/>
      <c r="B69" s="396" t="s">
        <v>276</v>
      </c>
      <c r="L69" s="394"/>
      <c r="M69" s="417"/>
      <c r="N69" s="417"/>
      <c r="O69" s="417"/>
      <c r="P69" s="417"/>
      <c r="Q69" s="417"/>
      <c r="R69" s="417"/>
      <c r="S69" s="417"/>
      <c r="T69" s="417"/>
      <c r="U69" s="417"/>
      <c r="V69" s="417"/>
      <c r="W69" s="417"/>
      <c r="X69" s="417"/>
    </row>
    <row r="70" spans="1:24" ht="14.25">
      <c r="A70" s="394"/>
      <c r="B70" s="396" t="s">
        <v>277</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144</v>
      </c>
      <c r="C72" s="401"/>
      <c r="D72" s="401"/>
      <c r="E72" s="401"/>
      <c r="F72" s="401"/>
      <c r="G72" s="401"/>
      <c r="H72" s="401"/>
      <c r="I72" s="401"/>
      <c r="J72" s="401"/>
      <c r="K72" s="402"/>
      <c r="L72" s="420"/>
    </row>
    <row r="73" spans="1:12" ht="14.25">
      <c r="A73" s="394"/>
      <c r="B73" s="412"/>
      <c r="C73" s="404" t="s">
        <v>150</v>
      </c>
      <c r="D73" s="404"/>
      <c r="E73" s="404"/>
      <c r="F73" s="404"/>
      <c r="G73" s="404"/>
      <c r="H73" s="404"/>
      <c r="I73" s="404"/>
      <c r="J73" s="404"/>
      <c r="K73" s="406"/>
      <c r="L73" s="420"/>
    </row>
    <row r="74" spans="1:12" ht="14.25">
      <c r="A74" s="394"/>
      <c r="B74" s="412" t="s">
        <v>171</v>
      </c>
      <c r="C74" s="734">
        <v>312000000</v>
      </c>
      <c r="D74" s="734"/>
      <c r="E74" s="529" t="s">
        <v>149</v>
      </c>
      <c r="F74" s="529">
        <v>1000</v>
      </c>
      <c r="G74" s="529" t="s">
        <v>148</v>
      </c>
      <c r="H74" s="526">
        <f>C74/F74</f>
        <v>312000</v>
      </c>
      <c r="I74" s="404" t="s">
        <v>172</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173</v>
      </c>
      <c r="D76" s="404"/>
      <c r="E76" s="529"/>
      <c r="F76" s="404" t="s">
        <v>172</v>
      </c>
      <c r="G76" s="404"/>
      <c r="H76" s="404"/>
      <c r="I76" s="404"/>
      <c r="J76" s="404"/>
      <c r="K76" s="406"/>
      <c r="L76" s="420"/>
    </row>
    <row r="77" spans="1:12" ht="14.25">
      <c r="A77" s="394"/>
      <c r="B77" s="412" t="s">
        <v>174</v>
      </c>
      <c r="C77" s="734">
        <v>50000</v>
      </c>
      <c r="D77" s="734"/>
      <c r="E77" s="529" t="s">
        <v>149</v>
      </c>
      <c r="F77" s="526">
        <f>H74</f>
        <v>312000</v>
      </c>
      <c r="G77" s="529" t="s">
        <v>148</v>
      </c>
      <c r="H77" s="414">
        <f>C77/F77</f>
        <v>0.16025641025641027</v>
      </c>
      <c r="I77" s="404" t="s">
        <v>175</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176</v>
      </c>
      <c r="D79" s="422"/>
      <c r="E79" s="525"/>
      <c r="F79" s="422"/>
      <c r="G79" s="422"/>
      <c r="H79" s="422"/>
      <c r="I79" s="422"/>
      <c r="J79" s="422"/>
      <c r="K79" s="423"/>
      <c r="L79" s="420"/>
    </row>
    <row r="80" spans="1:12" ht="14.25">
      <c r="A80" s="394"/>
      <c r="B80" s="412" t="s">
        <v>177</v>
      </c>
      <c r="C80" s="734">
        <v>100000</v>
      </c>
      <c r="D80" s="734"/>
      <c r="E80" s="529" t="s">
        <v>418</v>
      </c>
      <c r="F80" s="529">
        <v>0.115</v>
      </c>
      <c r="G80" s="529" t="s">
        <v>148</v>
      </c>
      <c r="H80" s="526">
        <f>C80*F80</f>
        <v>11500</v>
      </c>
      <c r="I80" s="404" t="s">
        <v>178</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179</v>
      </c>
      <c r="D82" s="422"/>
      <c r="E82" s="525"/>
      <c r="F82" s="422" t="s">
        <v>175</v>
      </c>
      <c r="G82" s="422"/>
      <c r="H82" s="422"/>
      <c r="I82" s="422"/>
      <c r="J82" s="422" t="s">
        <v>180</v>
      </c>
      <c r="K82" s="423"/>
      <c r="L82" s="420"/>
    </row>
    <row r="83" spans="1:12" ht="14.25">
      <c r="A83" s="394"/>
      <c r="B83" s="412" t="s">
        <v>181</v>
      </c>
      <c r="C83" s="740">
        <f>H80</f>
        <v>11500</v>
      </c>
      <c r="D83" s="740"/>
      <c r="E83" s="529" t="s">
        <v>418</v>
      </c>
      <c r="F83" s="414">
        <f>H77</f>
        <v>0.16025641025641027</v>
      </c>
      <c r="G83" s="529" t="s">
        <v>149</v>
      </c>
      <c r="H83" s="529">
        <v>1000</v>
      </c>
      <c r="I83" s="529" t="s">
        <v>148</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41" t="s">
        <v>140</v>
      </c>
      <c r="C85" s="741"/>
      <c r="D85" s="741"/>
      <c r="E85" s="741"/>
      <c r="F85" s="741"/>
      <c r="G85" s="741"/>
      <c r="H85" s="741"/>
      <c r="I85" s="741"/>
      <c r="J85" s="741"/>
      <c r="K85" s="741"/>
      <c r="L85" s="394"/>
    </row>
    <row r="86" spans="1:12" ht="14.25">
      <c r="A86" s="394"/>
      <c r="B86" s="731" t="s">
        <v>182</v>
      </c>
      <c r="C86" s="731"/>
      <c r="D86" s="731"/>
      <c r="E86" s="731"/>
      <c r="F86" s="731"/>
      <c r="G86" s="731"/>
      <c r="H86" s="731"/>
      <c r="I86" s="731"/>
      <c r="J86" s="731"/>
      <c r="K86" s="731"/>
      <c r="L86" s="394"/>
    </row>
    <row r="87" spans="1:12" ht="14.25">
      <c r="A87" s="394"/>
      <c r="B87" s="428"/>
      <c r="C87" s="428"/>
      <c r="D87" s="428"/>
      <c r="E87" s="428"/>
      <c r="F87" s="428"/>
      <c r="G87" s="428"/>
      <c r="H87" s="428"/>
      <c r="I87" s="428"/>
      <c r="J87" s="428"/>
      <c r="K87" s="428"/>
      <c r="L87" s="394"/>
    </row>
    <row r="88" spans="1:12" ht="14.25">
      <c r="A88" s="394"/>
      <c r="B88" s="731" t="s">
        <v>183</v>
      </c>
      <c r="C88" s="731"/>
      <c r="D88" s="731"/>
      <c r="E88" s="731"/>
      <c r="F88" s="731"/>
      <c r="G88" s="731"/>
      <c r="H88" s="731"/>
      <c r="I88" s="731"/>
      <c r="J88" s="731"/>
      <c r="K88" s="731"/>
      <c r="L88" s="394"/>
    </row>
    <row r="89" spans="1:12" ht="14.25">
      <c r="A89" s="394"/>
      <c r="B89" s="528"/>
      <c r="C89" s="528"/>
      <c r="D89" s="528"/>
      <c r="E89" s="528"/>
      <c r="F89" s="528"/>
      <c r="G89" s="528"/>
      <c r="H89" s="528"/>
      <c r="I89" s="528"/>
      <c r="J89" s="528"/>
      <c r="K89" s="528"/>
      <c r="L89" s="394"/>
    </row>
    <row r="90" spans="1:12" ht="45" customHeight="1">
      <c r="A90" s="394"/>
      <c r="B90" s="732" t="s">
        <v>184</v>
      </c>
      <c r="C90" s="732"/>
      <c r="D90" s="732"/>
      <c r="E90" s="732"/>
      <c r="F90" s="732"/>
      <c r="G90" s="732"/>
      <c r="H90" s="732"/>
      <c r="I90" s="732"/>
      <c r="J90" s="732"/>
      <c r="K90" s="732"/>
      <c r="L90" s="394"/>
    </row>
    <row r="91" spans="1:12" ht="15" customHeight="1" thickBot="1">
      <c r="A91" s="394"/>
      <c r="L91" s="394"/>
    </row>
    <row r="92" spans="1:12" ht="15" customHeight="1">
      <c r="A92" s="394"/>
      <c r="B92" s="429" t="s">
        <v>144</v>
      </c>
      <c r="C92" s="430"/>
      <c r="D92" s="430"/>
      <c r="E92" s="430"/>
      <c r="F92" s="430"/>
      <c r="G92" s="430"/>
      <c r="H92" s="430"/>
      <c r="I92" s="430"/>
      <c r="J92" s="430"/>
      <c r="K92" s="431"/>
      <c r="L92" s="394"/>
    </row>
    <row r="93" spans="1:12" ht="15" customHeight="1">
      <c r="A93" s="394"/>
      <c r="B93" s="432"/>
      <c r="C93" s="531" t="s">
        <v>150</v>
      </c>
      <c r="D93" s="531"/>
      <c r="E93" s="531"/>
      <c r="F93" s="531"/>
      <c r="G93" s="531"/>
      <c r="H93" s="531"/>
      <c r="I93" s="531"/>
      <c r="J93" s="531"/>
      <c r="K93" s="433"/>
      <c r="L93" s="394"/>
    </row>
    <row r="94" spans="1:12" ht="15" customHeight="1">
      <c r="A94" s="394"/>
      <c r="B94" s="432" t="s">
        <v>171</v>
      </c>
      <c r="C94" s="734">
        <v>312000000</v>
      </c>
      <c r="D94" s="734"/>
      <c r="E94" s="529" t="s">
        <v>149</v>
      </c>
      <c r="F94" s="529">
        <v>1000</v>
      </c>
      <c r="G94" s="529" t="s">
        <v>148</v>
      </c>
      <c r="H94" s="526">
        <f>C94/F94</f>
        <v>312000</v>
      </c>
      <c r="I94" s="531" t="s">
        <v>172</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173</v>
      </c>
      <c r="D96" s="531"/>
      <c r="E96" s="529"/>
      <c r="F96" s="531" t="s">
        <v>172</v>
      </c>
      <c r="G96" s="531"/>
      <c r="H96" s="531"/>
      <c r="I96" s="531"/>
      <c r="J96" s="531"/>
      <c r="K96" s="433"/>
      <c r="L96" s="394"/>
    </row>
    <row r="97" spans="1:12" ht="15" customHeight="1">
      <c r="A97" s="394"/>
      <c r="B97" s="432" t="s">
        <v>174</v>
      </c>
      <c r="C97" s="734">
        <v>50000</v>
      </c>
      <c r="D97" s="734"/>
      <c r="E97" s="529" t="s">
        <v>149</v>
      </c>
      <c r="F97" s="526">
        <f>H94</f>
        <v>312000</v>
      </c>
      <c r="G97" s="529" t="s">
        <v>148</v>
      </c>
      <c r="H97" s="414">
        <f>C97/F97</f>
        <v>0.16025641025641027</v>
      </c>
      <c r="I97" s="531" t="s">
        <v>175</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185</v>
      </c>
      <c r="D99" s="435"/>
      <c r="E99" s="525"/>
      <c r="F99" s="435"/>
      <c r="G99" s="435"/>
      <c r="H99" s="435"/>
      <c r="I99" s="435"/>
      <c r="J99" s="435"/>
      <c r="K99" s="436"/>
      <c r="L99" s="394"/>
    </row>
    <row r="100" spans="1:12" ht="15" customHeight="1">
      <c r="A100" s="394"/>
      <c r="B100" s="432" t="s">
        <v>177</v>
      </c>
      <c r="C100" s="734">
        <v>2500000</v>
      </c>
      <c r="D100" s="734"/>
      <c r="E100" s="529" t="s">
        <v>418</v>
      </c>
      <c r="F100" s="437">
        <v>0.3</v>
      </c>
      <c r="G100" s="529" t="s">
        <v>148</v>
      </c>
      <c r="H100" s="526">
        <f>C100*F100</f>
        <v>750000</v>
      </c>
      <c r="I100" s="531" t="s">
        <v>178</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179</v>
      </c>
      <c r="D102" s="435"/>
      <c r="E102" s="525"/>
      <c r="F102" s="435" t="s">
        <v>175</v>
      </c>
      <c r="G102" s="435"/>
      <c r="H102" s="435"/>
      <c r="I102" s="435"/>
      <c r="J102" s="435" t="s">
        <v>180</v>
      </c>
      <c r="K102" s="436"/>
      <c r="L102" s="394"/>
    </row>
    <row r="103" spans="1:12" ht="15" customHeight="1">
      <c r="A103" s="394"/>
      <c r="B103" s="432" t="s">
        <v>181</v>
      </c>
      <c r="C103" s="740">
        <f>H100</f>
        <v>750000</v>
      </c>
      <c r="D103" s="740"/>
      <c r="E103" s="529" t="s">
        <v>418</v>
      </c>
      <c r="F103" s="414">
        <f>H97</f>
        <v>0.16025641025641027</v>
      </c>
      <c r="G103" s="529" t="s">
        <v>149</v>
      </c>
      <c r="H103" s="529">
        <v>1000</v>
      </c>
      <c r="I103" s="529" t="s">
        <v>148</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41" t="s">
        <v>140</v>
      </c>
      <c r="C105" s="742"/>
      <c r="D105" s="742"/>
      <c r="E105" s="742"/>
      <c r="F105" s="742"/>
      <c r="G105" s="742"/>
      <c r="H105" s="742"/>
      <c r="I105" s="742"/>
      <c r="J105" s="742"/>
      <c r="K105" s="742"/>
      <c r="L105" s="394"/>
    </row>
    <row r="106" spans="1:12" ht="15" customHeight="1">
      <c r="A106" s="394"/>
      <c r="B106" s="736" t="s">
        <v>186</v>
      </c>
      <c r="C106" s="743"/>
      <c r="D106" s="743"/>
      <c r="E106" s="743"/>
      <c r="F106" s="743"/>
      <c r="G106" s="743"/>
      <c r="H106" s="743"/>
      <c r="I106" s="743"/>
      <c r="J106" s="743"/>
      <c r="K106" s="743"/>
      <c r="L106" s="394"/>
    </row>
    <row r="107" spans="1:12" ht="15" customHeight="1">
      <c r="A107" s="394"/>
      <c r="B107" s="531"/>
      <c r="C107" s="439"/>
      <c r="D107" s="439"/>
      <c r="E107" s="529"/>
      <c r="F107" s="414"/>
      <c r="G107" s="529"/>
      <c r="H107" s="529"/>
      <c r="I107" s="529"/>
      <c r="J107" s="527"/>
      <c r="K107" s="531"/>
      <c r="L107" s="394"/>
    </row>
    <row r="108" spans="1:12" ht="15" customHeight="1">
      <c r="A108" s="394"/>
      <c r="B108" s="736" t="s">
        <v>187</v>
      </c>
      <c r="C108" s="737"/>
      <c r="D108" s="737"/>
      <c r="E108" s="737"/>
      <c r="F108" s="737"/>
      <c r="G108" s="737"/>
      <c r="H108" s="737"/>
      <c r="I108" s="737"/>
      <c r="J108" s="737"/>
      <c r="K108" s="737"/>
      <c r="L108" s="394"/>
    </row>
    <row r="109" spans="1:12" ht="15" customHeight="1">
      <c r="A109" s="394"/>
      <c r="B109" s="531"/>
      <c r="C109" s="439"/>
      <c r="D109" s="439"/>
      <c r="E109" s="529"/>
      <c r="F109" s="414"/>
      <c r="G109" s="529"/>
      <c r="H109" s="529"/>
      <c r="I109" s="529"/>
      <c r="J109" s="527"/>
      <c r="K109" s="531"/>
      <c r="L109" s="394"/>
    </row>
    <row r="110" spans="1:12" ht="59.25" customHeight="1">
      <c r="A110" s="394"/>
      <c r="B110" s="738" t="s">
        <v>188</v>
      </c>
      <c r="C110" s="739"/>
      <c r="D110" s="739"/>
      <c r="E110" s="739"/>
      <c r="F110" s="739"/>
      <c r="G110" s="739"/>
      <c r="H110" s="739"/>
      <c r="I110" s="739"/>
      <c r="J110" s="739"/>
      <c r="K110" s="739"/>
      <c r="L110" s="394"/>
    </row>
    <row r="111" spans="1:12" ht="15" thickBot="1">
      <c r="A111" s="394"/>
      <c r="B111" s="533"/>
      <c r="C111" s="533"/>
      <c r="D111" s="533"/>
      <c r="E111" s="533"/>
      <c r="F111" s="533"/>
      <c r="G111" s="533"/>
      <c r="H111" s="533"/>
      <c r="I111" s="533"/>
      <c r="J111" s="533"/>
      <c r="K111" s="533"/>
      <c r="L111" s="440"/>
    </row>
    <row r="112" spans="1:12" ht="14.25">
      <c r="A112" s="394"/>
      <c r="B112" s="400" t="s">
        <v>144</v>
      </c>
      <c r="C112" s="401"/>
      <c r="D112" s="401"/>
      <c r="E112" s="401"/>
      <c r="F112" s="401"/>
      <c r="G112" s="401"/>
      <c r="H112" s="401"/>
      <c r="I112" s="401"/>
      <c r="J112" s="401"/>
      <c r="K112" s="402"/>
      <c r="L112" s="394"/>
    </row>
    <row r="113" spans="1:12" ht="14.25">
      <c r="A113" s="394"/>
      <c r="B113" s="412"/>
      <c r="C113" s="404" t="s">
        <v>150</v>
      </c>
      <c r="D113" s="404"/>
      <c r="E113" s="404"/>
      <c r="F113" s="404"/>
      <c r="G113" s="404"/>
      <c r="H113" s="404"/>
      <c r="I113" s="404"/>
      <c r="J113" s="404"/>
      <c r="K113" s="406"/>
      <c r="L113" s="394"/>
    </row>
    <row r="114" spans="1:12" ht="14.25">
      <c r="A114" s="394"/>
      <c r="B114" s="412" t="s">
        <v>171</v>
      </c>
      <c r="C114" s="734">
        <v>312000000</v>
      </c>
      <c r="D114" s="734"/>
      <c r="E114" s="529" t="s">
        <v>149</v>
      </c>
      <c r="F114" s="529">
        <v>1000</v>
      </c>
      <c r="G114" s="529" t="s">
        <v>148</v>
      </c>
      <c r="H114" s="526">
        <f>C114/F114</f>
        <v>312000</v>
      </c>
      <c r="I114" s="404" t="s">
        <v>172</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173</v>
      </c>
      <c r="D116" s="404"/>
      <c r="E116" s="529"/>
      <c r="F116" s="404" t="s">
        <v>172</v>
      </c>
      <c r="G116" s="404"/>
      <c r="H116" s="404"/>
      <c r="I116" s="404"/>
      <c r="J116" s="404"/>
      <c r="K116" s="406"/>
      <c r="L116" s="394"/>
    </row>
    <row r="117" spans="1:12" ht="14.25">
      <c r="A117" s="394"/>
      <c r="B117" s="412" t="s">
        <v>174</v>
      </c>
      <c r="C117" s="734">
        <v>50000</v>
      </c>
      <c r="D117" s="734"/>
      <c r="E117" s="529" t="s">
        <v>149</v>
      </c>
      <c r="F117" s="526">
        <f>H114</f>
        <v>312000</v>
      </c>
      <c r="G117" s="529" t="s">
        <v>148</v>
      </c>
      <c r="H117" s="414">
        <f>C117/F117</f>
        <v>0.16025641025641027</v>
      </c>
      <c r="I117" s="404" t="s">
        <v>175</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185</v>
      </c>
      <c r="D119" s="422"/>
      <c r="E119" s="525"/>
      <c r="F119" s="422"/>
      <c r="G119" s="422"/>
      <c r="H119" s="422"/>
      <c r="I119" s="422"/>
      <c r="J119" s="422"/>
      <c r="K119" s="423"/>
      <c r="L119" s="394"/>
    </row>
    <row r="120" spans="1:12" ht="14.25">
      <c r="A120" s="394"/>
      <c r="B120" s="412" t="s">
        <v>177</v>
      </c>
      <c r="C120" s="734">
        <v>2500000</v>
      </c>
      <c r="D120" s="734"/>
      <c r="E120" s="529" t="s">
        <v>418</v>
      </c>
      <c r="F120" s="437">
        <v>0.25</v>
      </c>
      <c r="G120" s="529" t="s">
        <v>148</v>
      </c>
      <c r="H120" s="526">
        <f>C120*F120</f>
        <v>625000</v>
      </c>
      <c r="I120" s="404" t="s">
        <v>178</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179</v>
      </c>
      <c r="D122" s="422"/>
      <c r="E122" s="525"/>
      <c r="F122" s="422" t="s">
        <v>175</v>
      </c>
      <c r="G122" s="422"/>
      <c r="H122" s="422"/>
      <c r="I122" s="422"/>
      <c r="J122" s="422" t="s">
        <v>180</v>
      </c>
      <c r="K122" s="423"/>
      <c r="L122" s="394"/>
    </row>
    <row r="123" spans="1:12" ht="14.25">
      <c r="A123" s="394"/>
      <c r="B123" s="412" t="s">
        <v>181</v>
      </c>
      <c r="C123" s="740">
        <f>H120</f>
        <v>625000</v>
      </c>
      <c r="D123" s="740"/>
      <c r="E123" s="529" t="s">
        <v>418</v>
      </c>
      <c r="F123" s="414">
        <f>H117</f>
        <v>0.16025641025641027</v>
      </c>
      <c r="G123" s="529" t="s">
        <v>149</v>
      </c>
      <c r="H123" s="529">
        <v>1000</v>
      </c>
      <c r="I123" s="529" t="s">
        <v>148</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41" t="s">
        <v>140</v>
      </c>
      <c r="C125" s="741"/>
      <c r="D125" s="741"/>
      <c r="E125" s="741"/>
      <c r="F125" s="741"/>
      <c r="G125" s="741"/>
      <c r="H125" s="741"/>
      <c r="I125" s="741"/>
      <c r="J125" s="741"/>
      <c r="K125" s="741"/>
      <c r="L125" s="440"/>
    </row>
    <row r="126" spans="1:12" ht="14.25">
      <c r="A126" s="394"/>
      <c r="B126" s="731" t="s">
        <v>189</v>
      </c>
      <c r="C126" s="731"/>
      <c r="D126" s="731"/>
      <c r="E126" s="731"/>
      <c r="F126" s="731"/>
      <c r="G126" s="731"/>
      <c r="H126" s="731"/>
      <c r="I126" s="731"/>
      <c r="J126" s="731"/>
      <c r="K126" s="731"/>
      <c r="L126" s="440"/>
    </row>
    <row r="127" spans="1:12" ht="14.25">
      <c r="A127" s="394"/>
      <c r="B127" s="533"/>
      <c r="C127" s="533"/>
      <c r="D127" s="533"/>
      <c r="E127" s="533"/>
      <c r="F127" s="533"/>
      <c r="G127" s="533"/>
      <c r="H127" s="533"/>
      <c r="I127" s="533"/>
      <c r="J127" s="533"/>
      <c r="K127" s="533"/>
      <c r="L127" s="440"/>
    </row>
    <row r="128" spans="1:12" ht="14.25">
      <c r="A128" s="394"/>
      <c r="B128" s="731" t="s">
        <v>190</v>
      </c>
      <c r="C128" s="731"/>
      <c r="D128" s="731"/>
      <c r="E128" s="731"/>
      <c r="F128" s="731"/>
      <c r="G128" s="731"/>
      <c r="H128" s="731"/>
      <c r="I128" s="731"/>
      <c r="J128" s="731"/>
      <c r="K128" s="731"/>
      <c r="L128" s="440"/>
    </row>
    <row r="129" spans="1:12" ht="14.25">
      <c r="A129" s="394"/>
      <c r="B129" s="528"/>
      <c r="C129" s="528"/>
      <c r="D129" s="528"/>
      <c r="E129" s="528"/>
      <c r="F129" s="528"/>
      <c r="G129" s="528"/>
      <c r="H129" s="528"/>
      <c r="I129" s="528"/>
      <c r="J129" s="528"/>
      <c r="K129" s="528"/>
      <c r="L129" s="440"/>
    </row>
    <row r="130" spans="1:12" ht="74.25" customHeight="1">
      <c r="A130" s="394"/>
      <c r="B130" s="732" t="s">
        <v>191</v>
      </c>
      <c r="C130" s="732"/>
      <c r="D130" s="732"/>
      <c r="E130" s="732"/>
      <c r="F130" s="732"/>
      <c r="G130" s="732"/>
      <c r="H130" s="732"/>
      <c r="I130" s="732"/>
      <c r="J130" s="732"/>
      <c r="K130" s="732"/>
      <c r="L130" s="440"/>
    </row>
    <row r="131" spans="1:12" ht="15" thickBot="1">
      <c r="A131" s="394"/>
      <c r="L131" s="394"/>
    </row>
    <row r="132" spans="1:12" ht="14.25">
      <c r="A132" s="394"/>
      <c r="B132" s="400" t="s">
        <v>144</v>
      </c>
      <c r="C132" s="401"/>
      <c r="D132" s="401"/>
      <c r="E132" s="401"/>
      <c r="F132" s="401"/>
      <c r="G132" s="401"/>
      <c r="H132" s="401"/>
      <c r="I132" s="401"/>
      <c r="J132" s="401"/>
      <c r="K132" s="402"/>
      <c r="L132" s="394"/>
    </row>
    <row r="133" spans="1:12" ht="14.25">
      <c r="A133" s="394"/>
      <c r="B133" s="412"/>
      <c r="C133" s="733" t="s">
        <v>192</v>
      </c>
      <c r="D133" s="733"/>
      <c r="E133" s="404"/>
      <c r="F133" s="529" t="s">
        <v>193</v>
      </c>
      <c r="G133" s="404"/>
      <c r="H133" s="733" t="s">
        <v>178</v>
      </c>
      <c r="I133" s="733"/>
      <c r="J133" s="404"/>
      <c r="K133" s="406"/>
      <c r="L133" s="394"/>
    </row>
    <row r="134" spans="1:12" ht="14.25">
      <c r="A134" s="394"/>
      <c r="B134" s="412" t="s">
        <v>171</v>
      </c>
      <c r="C134" s="734">
        <v>100000</v>
      </c>
      <c r="D134" s="734"/>
      <c r="E134" s="529" t="s">
        <v>418</v>
      </c>
      <c r="F134" s="529">
        <v>0.115</v>
      </c>
      <c r="G134" s="529" t="s">
        <v>148</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35" t="s">
        <v>178</v>
      </c>
      <c r="D136" s="735"/>
      <c r="E136" s="422"/>
      <c r="F136" s="525" t="s">
        <v>194</v>
      </c>
      <c r="G136" s="525"/>
      <c r="H136" s="422"/>
      <c r="I136" s="422"/>
      <c r="J136" s="422" t="s">
        <v>195</v>
      </c>
      <c r="K136" s="423"/>
      <c r="L136" s="394"/>
    </row>
    <row r="137" spans="1:12" ht="14.25">
      <c r="A137" s="394"/>
      <c r="B137" s="412" t="s">
        <v>174</v>
      </c>
      <c r="C137" s="726">
        <f>H134</f>
        <v>11500</v>
      </c>
      <c r="D137" s="726"/>
      <c r="E137" s="529" t="s">
        <v>418</v>
      </c>
      <c r="F137" s="441">
        <v>52.869</v>
      </c>
      <c r="G137" s="529" t="s">
        <v>149</v>
      </c>
      <c r="H137" s="529">
        <v>1000</v>
      </c>
      <c r="I137" s="529" t="s">
        <v>148</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140</v>
      </c>
      <c r="C139" s="447"/>
      <c r="D139" s="447"/>
      <c r="E139" s="448"/>
      <c r="F139" s="449"/>
      <c r="G139" s="448"/>
      <c r="H139" s="448"/>
      <c r="I139" s="448"/>
      <c r="J139" s="450"/>
      <c r="K139" s="451"/>
      <c r="L139" s="394"/>
    </row>
    <row r="140" spans="1:12" ht="14.25">
      <c r="A140" s="394"/>
      <c r="B140" s="452" t="s">
        <v>196</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197</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3" t="s">
        <v>198</v>
      </c>
      <c r="C144" s="724"/>
      <c r="D144" s="724"/>
      <c r="E144" s="724"/>
      <c r="F144" s="724"/>
      <c r="G144" s="724"/>
      <c r="H144" s="724"/>
      <c r="I144" s="724"/>
      <c r="J144" s="724"/>
      <c r="K144" s="725"/>
      <c r="L144" s="394"/>
    </row>
    <row r="145" spans="1:12" ht="15" thickBot="1">
      <c r="A145" s="394"/>
      <c r="B145" s="412"/>
      <c r="C145" s="526"/>
      <c r="D145" s="526"/>
      <c r="E145" s="529"/>
      <c r="F145" s="458"/>
      <c r="G145" s="529"/>
      <c r="H145" s="529"/>
      <c r="I145" s="529"/>
      <c r="J145" s="442"/>
      <c r="K145" s="406"/>
      <c r="L145" s="394"/>
    </row>
    <row r="146" spans="1:12" ht="14.25">
      <c r="A146" s="394"/>
      <c r="B146" s="400" t="s">
        <v>144</v>
      </c>
      <c r="C146" s="459"/>
      <c r="D146" s="459"/>
      <c r="E146" s="460"/>
      <c r="F146" s="461"/>
      <c r="G146" s="460"/>
      <c r="H146" s="460"/>
      <c r="I146" s="460"/>
      <c r="J146" s="462"/>
      <c r="K146" s="402"/>
      <c r="L146" s="394"/>
    </row>
    <row r="147" spans="1:12" ht="14.25">
      <c r="A147" s="394"/>
      <c r="B147" s="412"/>
      <c r="C147" s="726" t="s">
        <v>199</v>
      </c>
      <c r="D147" s="726"/>
      <c r="E147" s="529"/>
      <c r="F147" s="458" t="s">
        <v>200</v>
      </c>
      <c r="G147" s="529"/>
      <c r="H147" s="529"/>
      <c r="I147" s="529"/>
      <c r="J147" s="727" t="s">
        <v>201</v>
      </c>
      <c r="K147" s="728"/>
      <c r="L147" s="394"/>
    </row>
    <row r="148" spans="1:12" ht="14.25">
      <c r="A148" s="394"/>
      <c r="B148" s="412"/>
      <c r="C148" s="729">
        <v>52.869</v>
      </c>
      <c r="D148" s="729"/>
      <c r="E148" s="529" t="s">
        <v>418</v>
      </c>
      <c r="F148" s="530">
        <v>312000000</v>
      </c>
      <c r="G148" s="463" t="s">
        <v>149</v>
      </c>
      <c r="H148" s="529">
        <v>1000</v>
      </c>
      <c r="I148" s="529" t="s">
        <v>148</v>
      </c>
      <c r="J148" s="727">
        <f>C148*(F148/1000)</f>
        <v>16495128</v>
      </c>
      <c r="K148" s="730"/>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202</v>
      </c>
    </row>
    <row r="3" ht="31.5">
      <c r="A3" s="466" t="s">
        <v>203</v>
      </c>
    </row>
    <row r="4" ht="15.75">
      <c r="A4" s="467" t="s">
        <v>204</v>
      </c>
    </row>
    <row r="7" ht="31.5">
      <c r="A7" s="466" t="s">
        <v>205</v>
      </c>
    </row>
    <row r="8" ht="15.75">
      <c r="A8" s="467" t="s">
        <v>206</v>
      </c>
    </row>
    <row r="11" ht="15.75">
      <c r="A11" s="468" t="s">
        <v>207</v>
      </c>
    </row>
    <row r="12" ht="15.75">
      <c r="A12" s="467" t="s">
        <v>208</v>
      </c>
    </row>
    <row r="15" ht="15.75">
      <c r="A15" s="468" t="s">
        <v>209</v>
      </c>
    </row>
    <row r="16" ht="15.75">
      <c r="A16" s="467" t="s">
        <v>210</v>
      </c>
    </row>
    <row r="19" ht="15.75">
      <c r="A19" s="468" t="s">
        <v>211</v>
      </c>
    </row>
    <row r="20" ht="15.75">
      <c r="A20" s="467" t="s">
        <v>212</v>
      </c>
    </row>
    <row r="23" ht="15.75">
      <c r="A23" s="468" t="s">
        <v>213</v>
      </c>
    </row>
    <row r="24" ht="15.75">
      <c r="A24" s="467" t="s">
        <v>214</v>
      </c>
    </row>
    <row r="27" ht="15.75">
      <c r="A27" s="468" t="s">
        <v>215</v>
      </c>
    </row>
    <row r="28" ht="15.75">
      <c r="A28" s="467" t="s">
        <v>216</v>
      </c>
    </row>
    <row r="31" ht="15.75">
      <c r="A31" s="468" t="s">
        <v>217</v>
      </c>
    </row>
    <row r="32" ht="15.75">
      <c r="A32" s="467" t="s">
        <v>218</v>
      </c>
    </row>
    <row r="35" ht="15.75">
      <c r="A35" s="468" t="s">
        <v>219</v>
      </c>
    </row>
    <row r="36" ht="15.75">
      <c r="A36" s="467" t="s">
        <v>220</v>
      </c>
    </row>
    <row r="39" ht="15.75">
      <c r="A39" s="468" t="s">
        <v>221</v>
      </c>
    </row>
    <row r="40" ht="15.75">
      <c r="A40" s="467" t="s">
        <v>222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1:E46"/>
  <sheetViews>
    <sheetView zoomScalePageLayoutView="0" workbookViewId="0" topLeftCell="A13">
      <selection activeCell="E55" sqref="E5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Greenlawn Cemetery #7</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585</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3476185</v>
      </c>
    </row>
    <row r="8" spans="1:5" ht="15.75">
      <c r="A8" s="66" t="str">
        <f>CONCATENATE("New Improvements for ",inputPrYr!D6-1,"")</f>
        <v>New Improvements for 2013</v>
      </c>
      <c r="B8" s="67"/>
      <c r="C8" s="67"/>
      <c r="D8" s="67"/>
      <c r="E8" s="68">
        <v>2547</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416</v>
      </c>
      <c r="B15" s="641"/>
      <c r="C15" s="62"/>
      <c r="D15" s="73" t="s">
        <v>453</v>
      </c>
      <c r="E15" s="72"/>
    </row>
    <row r="16" spans="1:5" ht="15.75">
      <c r="A16" s="65" t="s">
        <v>400</v>
      </c>
      <c r="B16" s="40"/>
      <c r="C16" s="69"/>
      <c r="D16" s="74">
        <v>0.932</v>
      </c>
      <c r="E16" s="72"/>
    </row>
    <row r="17" spans="1:5" ht="15.75">
      <c r="A17" s="66" t="s">
        <v>661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595</v>
      </c>
      <c r="C22" s="78"/>
      <c r="D22" s="79">
        <f>SUM(D16:D21)</f>
        <v>0.932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3476185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404</v>
      </c>
      <c r="B27" s="40"/>
      <c r="C27" s="40"/>
      <c r="D27" s="83"/>
      <c r="E27" s="35">
        <v>227</v>
      </c>
    </row>
    <row r="28" spans="1:5" ht="15.75">
      <c r="A28" s="66" t="s">
        <v>405</v>
      </c>
      <c r="B28" s="67"/>
      <c r="C28" s="67"/>
      <c r="D28" s="84"/>
      <c r="E28" s="35">
        <v>3</v>
      </c>
    </row>
    <row r="29" spans="1:5" ht="15.75">
      <c r="A29" s="66" t="s">
        <v>560</v>
      </c>
      <c r="B29" s="67"/>
      <c r="C29" s="67"/>
      <c r="D29" s="84"/>
      <c r="E29" s="35">
        <v>29</v>
      </c>
    </row>
    <row r="30" spans="1:5" ht="15.75">
      <c r="A30" s="66" t="s">
        <v>548</v>
      </c>
      <c r="B30" s="67"/>
      <c r="C30" s="67"/>
      <c r="D30" s="84"/>
      <c r="E30" s="35"/>
    </row>
    <row r="31" spans="1:5" ht="15.75">
      <c r="A31" s="65"/>
      <c r="B31" s="40"/>
      <c r="C31" s="40"/>
      <c r="D31" s="83"/>
      <c r="E31" s="35"/>
    </row>
    <row r="32" spans="1:5" ht="15.75">
      <c r="A32" s="18" t="s">
        <v>561</v>
      </c>
      <c r="B32" s="18"/>
      <c r="C32" s="18"/>
      <c r="D32" s="18"/>
      <c r="E32" s="18"/>
    </row>
    <row r="33" spans="1:5" ht="15.75">
      <c r="A33" s="85" t="s">
        <v>501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280</v>
      </c>
      <c r="B35" s="86"/>
      <c r="C35" s="69"/>
      <c r="D35" s="69"/>
      <c r="E35" s="537">
        <v>0</v>
      </c>
    </row>
    <row r="36" spans="1:5" ht="15.75">
      <c r="A36" s="87" t="s">
        <v>562</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601</v>
      </c>
      <c r="B40" s="91" t="s">
        <v>602</v>
      </c>
      <c r="C40" s="92" t="s">
        <v>603</v>
      </c>
      <c r="D40" s="93"/>
      <c r="E40" s="93"/>
    </row>
    <row r="41" spans="1:5" ht="15.75">
      <c r="A41" s="94" t="str">
        <f>inputPrYr!B19</f>
        <v>General</v>
      </c>
      <c r="B41" s="56">
        <v>7500</v>
      </c>
      <c r="C41" s="92" t="s">
        <v>604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306</v>
      </c>
    </row>
    <row r="2" ht="15.75">
      <c r="A2" s="616" t="s">
        <v>308</v>
      </c>
    </row>
    <row r="3" ht="15.75">
      <c r="A3" s="616" t="s">
        <v>312</v>
      </c>
    </row>
    <row r="4" ht="15.75">
      <c r="A4" s="95" t="s">
        <v>315</v>
      </c>
    </row>
    <row r="5" ht="15.75">
      <c r="A5" s="95" t="s">
        <v>316</v>
      </c>
    </row>
    <row r="6" ht="15.75">
      <c r="A6" s="95" t="s">
        <v>319</v>
      </c>
    </row>
    <row r="7" ht="15.75">
      <c r="A7" s="95" t="s">
        <v>321</v>
      </c>
    </row>
    <row r="8" ht="15.75">
      <c r="A8" s="95" t="s">
        <v>384</v>
      </c>
    </row>
    <row r="9" ht="15.75">
      <c r="A9" s="95" t="s">
        <v>385</v>
      </c>
    </row>
    <row r="10" ht="15.75">
      <c r="A10" s="95" t="s">
        <v>386</v>
      </c>
    </row>
    <row r="11" ht="15.75">
      <c r="A11" s="95" t="s">
        <v>387</v>
      </c>
    </row>
    <row r="12" ht="47.25">
      <c r="A12" s="315" t="s">
        <v>388</v>
      </c>
    </row>
    <row r="13" ht="31.5">
      <c r="A13" s="315" t="s">
        <v>389</v>
      </c>
    </row>
    <row r="14" ht="15.75">
      <c r="A14" s="95" t="s">
        <v>88</v>
      </c>
    </row>
    <row r="15" ht="15.75">
      <c r="A15" s="95" t="s">
        <v>89</v>
      </c>
    </row>
    <row r="16" ht="15.75">
      <c r="A16" s="95" t="s">
        <v>90</v>
      </c>
    </row>
    <row r="17" ht="15.75">
      <c r="A17" s="95" t="s">
        <v>91</v>
      </c>
    </row>
    <row r="18" ht="15.75">
      <c r="A18" s="95" t="s">
        <v>92</v>
      </c>
    </row>
    <row r="19" ht="15.75">
      <c r="A19" s="95" t="s">
        <v>93</v>
      </c>
    </row>
    <row r="20" ht="15.75">
      <c r="A20" s="95" t="s">
        <v>94</v>
      </c>
    </row>
    <row r="21" ht="15.75">
      <c r="A21" s="95" t="s">
        <v>95</v>
      </c>
    </row>
    <row r="22" ht="15.75">
      <c r="A22" s="95" t="s">
        <v>96</v>
      </c>
    </row>
    <row r="23" ht="15.75">
      <c r="A23" s="95" t="s">
        <v>97</v>
      </c>
    </row>
    <row r="27" ht="15.75">
      <c r="A27" s="353" t="s">
        <v>269</v>
      </c>
    </row>
    <row r="28" ht="15.75">
      <c r="A28" s="519" t="s">
        <v>270</v>
      </c>
    </row>
    <row r="29" ht="15.75">
      <c r="A29" s="519" t="s">
        <v>271</v>
      </c>
    </row>
    <row r="31" ht="15.75">
      <c r="A31" s="353" t="s">
        <v>242</v>
      </c>
    </row>
    <row r="32" ht="15.75">
      <c r="A32" s="519" t="s">
        <v>243</v>
      </c>
    </row>
    <row r="33" ht="15.75">
      <c r="A33" s="519" t="s">
        <v>244</v>
      </c>
    </row>
    <row r="34" ht="31.5">
      <c r="A34" s="520" t="s">
        <v>267</v>
      </c>
    </row>
    <row r="35" ht="15.75">
      <c r="A35" s="519" t="s">
        <v>245</v>
      </c>
    </row>
    <row r="36" ht="15.75">
      <c r="A36" s="519" t="s">
        <v>246</v>
      </c>
    </row>
    <row r="37" ht="15.75">
      <c r="A37" s="519" t="s">
        <v>247</v>
      </c>
    </row>
    <row r="38" ht="15.75">
      <c r="A38" s="519" t="s">
        <v>248</v>
      </c>
    </row>
    <row r="39" ht="15.75">
      <c r="A39" s="519" t="s">
        <v>249</v>
      </c>
    </row>
    <row r="40" ht="15.75">
      <c r="A40" s="519" t="s">
        <v>250</v>
      </c>
    </row>
    <row r="41" ht="15.75">
      <c r="A41" s="519" t="s">
        <v>251</v>
      </c>
    </row>
    <row r="42" ht="15.75">
      <c r="A42" s="519" t="s">
        <v>252</v>
      </c>
    </row>
    <row r="43" ht="15.75">
      <c r="A43" s="519" t="s">
        <v>253</v>
      </c>
    </row>
    <row r="44" ht="15.75">
      <c r="A44" s="519" t="s">
        <v>254</v>
      </c>
    </row>
    <row r="45" ht="15.75">
      <c r="A45" s="519" t="s">
        <v>255</v>
      </c>
    </row>
    <row r="46" ht="15.75">
      <c r="A46" s="519" t="s">
        <v>256</v>
      </c>
    </row>
    <row r="47" ht="15.75">
      <c r="A47" s="519" t="s">
        <v>257</v>
      </c>
    </row>
    <row r="48" ht="15.75">
      <c r="A48" s="519" t="s">
        <v>258</v>
      </c>
    </row>
    <row r="49" ht="15.75">
      <c r="A49" s="519" t="s">
        <v>259</v>
      </c>
    </row>
    <row r="50" ht="15.75">
      <c r="A50" s="519" t="s">
        <v>260</v>
      </c>
    </row>
    <row r="51" ht="15.75">
      <c r="A51" s="519" t="s">
        <v>261</v>
      </c>
    </row>
    <row r="52" ht="15.75">
      <c r="A52" s="519" t="s">
        <v>262</v>
      </c>
    </row>
    <row r="53" ht="15.75">
      <c r="A53" s="519" t="s">
        <v>263</v>
      </c>
    </row>
    <row r="54" ht="15.75">
      <c r="A54" s="519" t="s">
        <v>268</v>
      </c>
    </row>
    <row r="56" ht="15.75">
      <c r="A56" s="353" t="s">
        <v>129</v>
      </c>
    </row>
    <row r="57" ht="15.75">
      <c r="A57" s="95" t="s">
        <v>132</v>
      </c>
    </row>
    <row r="58" ht="15.75">
      <c r="A58" s="95" t="s">
        <v>130</v>
      </c>
    </row>
    <row r="59" ht="15.75">
      <c r="A59" s="95" t="s">
        <v>131</v>
      </c>
    </row>
    <row r="61" ht="15.75">
      <c r="A61" s="364" t="s">
        <v>121</v>
      </c>
    </row>
    <row r="62" ht="15.75">
      <c r="A62" s="95" t="s">
        <v>128</v>
      </c>
    </row>
    <row r="64" ht="15.75">
      <c r="A64" s="353" t="s">
        <v>720</v>
      </c>
    </row>
    <row r="65" ht="15.75">
      <c r="A65" s="354" t="s">
        <v>721</v>
      </c>
    </row>
    <row r="66" ht="15.75">
      <c r="A66" s="354" t="s">
        <v>722</v>
      </c>
    </row>
    <row r="67" ht="15.75">
      <c r="A67" s="354" t="s">
        <v>723</v>
      </c>
    </row>
    <row r="68" ht="15.75">
      <c r="A68" s="95" t="s">
        <v>724</v>
      </c>
    </row>
    <row r="70" ht="15.75">
      <c r="A70" s="314" t="s">
        <v>676</v>
      </c>
    </row>
    <row r="71" ht="15.75">
      <c r="A71" s="95" t="s">
        <v>667</v>
      </c>
    </row>
    <row r="72" ht="15.75">
      <c r="A72" s="95" t="s">
        <v>668</v>
      </c>
    </row>
    <row r="73" ht="15.75">
      <c r="A73" s="95" t="s">
        <v>669</v>
      </c>
    </row>
    <row r="74" ht="15.75">
      <c r="A74" s="95" t="s">
        <v>670</v>
      </c>
    </row>
    <row r="75" ht="15.75">
      <c r="A75" s="95" t="s">
        <v>671</v>
      </c>
    </row>
    <row r="76" ht="15.75">
      <c r="A76" s="95" t="s">
        <v>672</v>
      </c>
    </row>
    <row r="77" ht="15.75">
      <c r="A77" s="95" t="s">
        <v>689</v>
      </c>
    </row>
    <row r="78" ht="15.75">
      <c r="A78" s="95" t="s">
        <v>690</v>
      </c>
    </row>
    <row r="79" ht="15.75">
      <c r="A79" s="95" t="s">
        <v>691</v>
      </c>
    </row>
    <row r="80" ht="15.75">
      <c r="A80" s="95" t="s">
        <v>692</v>
      </c>
    </row>
    <row r="81" ht="15.75">
      <c r="A81" s="95" t="s">
        <v>693</v>
      </c>
    </row>
    <row r="82" ht="15.75">
      <c r="A82" s="95" t="s">
        <v>694</v>
      </c>
    </row>
    <row r="84" ht="15.75">
      <c r="A84" s="314" t="s">
        <v>662</v>
      </c>
    </row>
    <row r="85" ht="15.75">
      <c r="A85" s="95" t="s">
        <v>673</v>
      </c>
    </row>
    <row r="86" ht="15.75">
      <c r="A86" s="95" t="s">
        <v>663</v>
      </c>
    </row>
    <row r="87" ht="15.75">
      <c r="A87" s="95" t="s">
        <v>664</v>
      </c>
    </row>
    <row r="89" ht="15.75">
      <c r="A89" s="314" t="s">
        <v>658</v>
      </c>
    </row>
    <row r="90" ht="15.75">
      <c r="A90" s="95" t="s">
        <v>659</v>
      </c>
    </row>
    <row r="91" ht="15.75">
      <c r="A91" s="95" t="s">
        <v>660</v>
      </c>
    </row>
    <row r="93" ht="15.75">
      <c r="A93" s="314" t="s">
        <v>639</v>
      </c>
    </row>
    <row r="94" ht="15.75">
      <c r="A94" s="95" t="s">
        <v>640</v>
      </c>
    </row>
    <row r="95" ht="36" customHeight="1">
      <c r="A95" s="315" t="s">
        <v>641</v>
      </c>
    </row>
    <row r="96" ht="15.75">
      <c r="A96" s="95" t="s">
        <v>642</v>
      </c>
    </row>
    <row r="97" ht="18.75" customHeight="1">
      <c r="A97" s="95" t="s">
        <v>643</v>
      </c>
    </row>
    <row r="98" ht="15.75">
      <c r="A98" s="95" t="s">
        <v>644</v>
      </c>
    </row>
    <row r="99" ht="24.75" customHeight="1">
      <c r="A99" s="95" t="s">
        <v>645</v>
      </c>
    </row>
    <row r="100" ht="39" customHeight="1">
      <c r="A100" s="315" t="s">
        <v>646</v>
      </c>
    </row>
    <row r="101" ht="38.25" customHeight="1">
      <c r="A101" s="315" t="s">
        <v>647</v>
      </c>
    </row>
    <row r="102" ht="37.5" customHeight="1">
      <c r="A102" s="315" t="s">
        <v>648</v>
      </c>
    </row>
    <row r="103" ht="21" customHeight="1">
      <c r="A103" s="315" t="s">
        <v>649</v>
      </c>
    </row>
    <row r="104" ht="35.25" customHeight="1">
      <c r="A104" s="315" t="s">
        <v>650</v>
      </c>
    </row>
    <row r="105" ht="15.75">
      <c r="A105" s="95" t="s">
        <v>651</v>
      </c>
    </row>
    <row r="106" ht="15.75">
      <c r="A106" s="95" t="s">
        <v>652</v>
      </c>
    </row>
    <row r="107" ht="15.75">
      <c r="A107" s="95" t="s">
        <v>653</v>
      </c>
    </row>
    <row r="108" ht="15.75">
      <c r="A108" s="95" t="s">
        <v>654</v>
      </c>
    </row>
    <row r="109" ht="15.75">
      <c r="A109" s="95" t="s">
        <v>655</v>
      </c>
    </row>
    <row r="112" ht="15.75">
      <c r="A112" s="314" t="s">
        <v>566</v>
      </c>
    </row>
    <row r="113" ht="15.75">
      <c r="A113" s="95" t="s">
        <v>575</v>
      </c>
    </row>
    <row r="114" ht="15.75">
      <c r="A114" s="95" t="s">
        <v>576</v>
      </c>
    </row>
    <row r="115" ht="15.75">
      <c r="A115" s="95" t="s">
        <v>577</v>
      </c>
    </row>
    <row r="116" ht="15.75">
      <c r="A116" s="95" t="s">
        <v>590</v>
      </c>
    </row>
    <row r="117" ht="15.75">
      <c r="A117" s="95" t="s">
        <v>578</v>
      </c>
    </row>
    <row r="118" ht="15.75">
      <c r="A118" s="95" t="s">
        <v>579</v>
      </c>
    </row>
    <row r="119" ht="15.75">
      <c r="A119" s="95" t="s">
        <v>580</v>
      </c>
    </row>
    <row r="120" ht="15.75">
      <c r="A120" s="95" t="s">
        <v>581</v>
      </c>
    </row>
    <row r="121" ht="15.75">
      <c r="A121" s="95" t="s">
        <v>591</v>
      </c>
    </row>
    <row r="122" ht="15.75">
      <c r="A122" s="95" t="s">
        <v>582</v>
      </c>
    </row>
    <row r="123" ht="15.75">
      <c r="A123" s="95" t="s">
        <v>583</v>
      </c>
    </row>
    <row r="124" ht="15.75">
      <c r="A124" s="95" t="s">
        <v>584</v>
      </c>
    </row>
    <row r="125" ht="15.75">
      <c r="A125" s="95" t="s">
        <v>592</v>
      </c>
    </row>
    <row r="126" ht="15.75">
      <c r="A126" s="95" t="s">
        <v>593</v>
      </c>
    </row>
    <row r="127" ht="15.75">
      <c r="A127" s="95" t="s">
        <v>599</v>
      </c>
    </row>
    <row r="128" ht="15.75">
      <c r="A128" s="95" t="s">
        <v>674</v>
      </c>
    </row>
    <row r="129" ht="15.75">
      <c r="A129" s="95" t="s">
        <v>390</v>
      </c>
    </row>
    <row r="130" ht="15.75">
      <c r="A130" s="95" t="s">
        <v>391</v>
      </c>
    </row>
    <row r="131" ht="15.75">
      <c r="A131" s="95" t="s">
        <v>392</v>
      </c>
    </row>
    <row r="132" ht="15.75">
      <c r="A132" s="95" t="s">
        <v>675</v>
      </c>
    </row>
    <row r="133" ht="15.75">
      <c r="A133" s="95" t="s">
        <v>605</v>
      </c>
    </row>
    <row r="134" ht="15.75">
      <c r="A134" s="95" t="s">
        <v>606</v>
      </c>
    </row>
    <row r="135" ht="15.75">
      <c r="A135" s="95" t="s">
        <v>393</v>
      </c>
    </row>
    <row r="136" ht="15.75">
      <c r="A136" s="95" t="s">
        <v>394</v>
      </c>
    </row>
    <row r="137" ht="15.75">
      <c r="A137" s="95" t="s">
        <v>614</v>
      </c>
    </row>
    <row r="138" ht="15.75">
      <c r="A138" s="95" t="s">
        <v>615</v>
      </c>
    </row>
    <row r="139" ht="15.75">
      <c r="A139" s="95" t="s">
        <v>619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17" sqref="C17"/>
    </sheetView>
  </sheetViews>
  <sheetFormatPr defaultColWidth="8.796875" defaultRowHeight="15"/>
  <cols>
    <col min="1" max="1" width="13.796875" style="0" customWidth="1"/>
    <col min="2" max="2" width="16.09765625" style="0" customWidth="1"/>
  </cols>
  <sheetData>
    <row r="1" ht="15">
      <c r="J1" s="540" t="s">
        <v>284</v>
      </c>
    </row>
    <row r="2" spans="1:10" ht="54" customHeight="1">
      <c r="A2" s="651" t="s">
        <v>709</v>
      </c>
      <c r="B2" s="652"/>
      <c r="C2" s="652"/>
      <c r="D2" s="652"/>
      <c r="E2" s="652"/>
      <c r="F2" s="652"/>
      <c r="J2" s="540" t="s">
        <v>285</v>
      </c>
    </row>
    <row r="3" spans="1:10" ht="15.75">
      <c r="A3" s="538" t="s">
        <v>282</v>
      </c>
      <c r="B3" s="539" t="s">
        <v>105</v>
      </c>
      <c r="C3" s="539"/>
      <c r="J3" s="540" t="s">
        <v>286</v>
      </c>
    </row>
    <row r="4" spans="1:10" ht="15.75">
      <c r="A4" s="340"/>
      <c r="B4" s="340"/>
      <c r="C4" s="340"/>
      <c r="D4" s="341"/>
      <c r="E4" s="340"/>
      <c r="F4" s="340"/>
      <c r="J4" s="540" t="s">
        <v>287</v>
      </c>
    </row>
    <row r="5" spans="1:10" ht="15.75">
      <c r="A5" s="538" t="s">
        <v>283</v>
      </c>
      <c r="B5" s="539" t="s">
        <v>101</v>
      </c>
      <c r="C5" s="340"/>
      <c r="D5" s="341"/>
      <c r="E5" s="340"/>
      <c r="F5" s="340"/>
      <c r="J5" s="540" t="s">
        <v>288</v>
      </c>
    </row>
    <row r="6" spans="1:10" ht="15.75">
      <c r="A6" s="340"/>
      <c r="B6" s="340"/>
      <c r="C6" s="340"/>
      <c r="D6" s="341"/>
      <c r="E6" s="340"/>
      <c r="F6" s="340"/>
      <c r="J6" s="540" t="s">
        <v>289</v>
      </c>
    </row>
    <row r="7" spans="1:10" ht="15.75">
      <c r="A7" s="342" t="s">
        <v>710</v>
      </c>
      <c r="B7" s="343" t="s">
        <v>379</v>
      </c>
      <c r="C7" s="344"/>
      <c r="D7" s="342" t="s">
        <v>281</v>
      </c>
      <c r="E7" s="340"/>
      <c r="F7" s="340"/>
      <c r="J7" s="540" t="s">
        <v>290</v>
      </c>
    </row>
    <row r="8" spans="1:10" ht="15.75">
      <c r="A8" s="342"/>
      <c r="B8" s="345"/>
      <c r="C8" s="346"/>
      <c r="D8" s="541" t="str">
        <f>IF(B7="","",CONCATENATE("Latest date for notice to be published in your newspaper: ",G18," ",G22,", ",G23))</f>
        <v>Latest date for notice to be published in your newspaper: August 7, 2013</v>
      </c>
      <c r="E8" s="340"/>
      <c r="F8" s="340"/>
      <c r="J8" s="540" t="s">
        <v>291</v>
      </c>
    </row>
    <row r="9" spans="1:10" ht="15.75">
      <c r="A9" s="342" t="s">
        <v>711</v>
      </c>
      <c r="B9" s="343" t="s">
        <v>380</v>
      </c>
      <c r="C9" s="347"/>
      <c r="D9" s="342"/>
      <c r="E9" s="340"/>
      <c r="F9" s="340"/>
      <c r="J9" s="540" t="s">
        <v>292</v>
      </c>
    </row>
    <row r="10" spans="1:10" ht="15.75">
      <c r="A10" s="342"/>
      <c r="B10" s="342"/>
      <c r="C10" s="342"/>
      <c r="D10" s="342"/>
      <c r="E10" s="340"/>
      <c r="F10" s="340"/>
      <c r="J10" s="540" t="s">
        <v>293</v>
      </c>
    </row>
    <row r="11" spans="1:10" ht="15.75">
      <c r="A11" s="342" t="s">
        <v>712</v>
      </c>
      <c r="B11" s="348" t="s">
        <v>381</v>
      </c>
      <c r="C11" s="348"/>
      <c r="D11" s="348"/>
      <c r="E11" s="349"/>
      <c r="F11" s="340"/>
      <c r="J11" s="540" t="s">
        <v>294</v>
      </c>
    </row>
    <row r="12" spans="1:10" ht="15.75">
      <c r="A12" s="342"/>
      <c r="B12" s="342"/>
      <c r="C12" s="342"/>
      <c r="D12" s="342"/>
      <c r="E12" s="340"/>
      <c r="F12" s="340"/>
      <c r="J12" s="540" t="s">
        <v>295</v>
      </c>
    </row>
    <row r="13" spans="1:6" ht="15.75">
      <c r="A13" s="342"/>
      <c r="B13" s="342"/>
      <c r="C13" s="342"/>
      <c r="D13" s="342"/>
      <c r="E13" s="340"/>
      <c r="F13" s="340"/>
    </row>
    <row r="14" spans="1:6" ht="15.75">
      <c r="A14" s="342" t="s">
        <v>713</v>
      </c>
      <c r="B14" s="348" t="s">
        <v>381</v>
      </c>
      <c r="C14" s="348"/>
      <c r="D14" s="348"/>
      <c r="E14" s="349"/>
      <c r="F14" s="340"/>
    </row>
    <row r="17" spans="1:6" ht="15.75">
      <c r="A17" s="653" t="s">
        <v>714</v>
      </c>
      <c r="B17" s="653"/>
      <c r="C17" s="342"/>
      <c r="D17" s="342"/>
      <c r="E17" s="342"/>
      <c r="F17" s="340"/>
    </row>
    <row r="18" spans="1:7" ht="15.75">
      <c r="A18" s="342"/>
      <c r="B18" s="342"/>
      <c r="C18" s="342"/>
      <c r="D18" s="342"/>
      <c r="E18" s="342"/>
      <c r="F18" s="340"/>
      <c r="G18" s="540" t="str">
        <f ca="1">IF(B7="","",INDIRECT(G19))</f>
        <v>August</v>
      </c>
    </row>
    <row r="19" spans="1:7" ht="15.75">
      <c r="A19" s="342" t="s">
        <v>710</v>
      </c>
      <c r="B19" s="345" t="s">
        <v>715</v>
      </c>
      <c r="C19" s="342"/>
      <c r="D19" s="342"/>
      <c r="E19" s="342"/>
      <c r="G19" s="542" t="str">
        <f>IF(B7="","",CONCATENATE("J",G21))</f>
        <v>J8</v>
      </c>
    </row>
    <row r="20" spans="1:7" ht="15.75">
      <c r="A20" s="342"/>
      <c r="B20" s="342"/>
      <c r="C20" s="342"/>
      <c r="D20" s="342"/>
      <c r="E20" s="342"/>
      <c r="G20" s="543">
        <f>B7-10</f>
        <v>41493</v>
      </c>
    </row>
    <row r="21" spans="1:7" ht="15.75">
      <c r="A21" s="342" t="s">
        <v>711</v>
      </c>
      <c r="B21" s="342" t="s">
        <v>716</v>
      </c>
      <c r="C21" s="342"/>
      <c r="D21" s="342"/>
      <c r="E21" s="342"/>
      <c r="G21" s="544">
        <f>IF(B7="","",MONTH(G20))</f>
        <v>8</v>
      </c>
    </row>
    <row r="22" spans="1:7" ht="15.75">
      <c r="A22" s="342"/>
      <c r="B22" s="342"/>
      <c r="C22" s="342"/>
      <c r="D22" s="342"/>
      <c r="E22" s="342"/>
      <c r="G22" s="545">
        <f>IF(B7="","",DAY(G20))</f>
        <v>7</v>
      </c>
    </row>
    <row r="23" spans="1:7" ht="15.75">
      <c r="A23" s="342" t="s">
        <v>712</v>
      </c>
      <c r="B23" s="342" t="s">
        <v>718</v>
      </c>
      <c r="C23" s="342"/>
      <c r="D23" s="342"/>
      <c r="E23" s="342"/>
      <c r="G23" s="546">
        <f>IF(B7="","",YEAR(G20))</f>
        <v>2013</v>
      </c>
    </row>
    <row r="24" spans="1:5" ht="15.75">
      <c r="A24" s="342"/>
      <c r="B24" s="342"/>
      <c r="C24" s="342"/>
      <c r="D24" s="342"/>
      <c r="E24" s="342"/>
    </row>
    <row r="25" spans="1:5" ht="15.75">
      <c r="A25" s="342" t="s">
        <v>713</v>
      </c>
      <c r="B25" s="342" t="s">
        <v>717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H65"/>
  <sheetViews>
    <sheetView zoomScalePageLayoutView="0" workbookViewId="0" topLeftCell="A10">
      <selection activeCell="M31" sqref="M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469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545</v>
      </c>
      <c r="B5" s="24"/>
      <c r="C5" s="24"/>
      <c r="D5" s="24"/>
      <c r="E5" s="24"/>
      <c r="F5" s="24"/>
      <c r="G5" s="24"/>
    </row>
    <row r="6" spans="1:7" ht="15.75">
      <c r="A6" s="638" t="str">
        <f>inputPrYr!D3</f>
        <v>Greenlawn Cemetery #7</v>
      </c>
      <c r="B6" s="638"/>
      <c r="C6" s="638"/>
      <c r="D6" s="638"/>
      <c r="E6" s="638"/>
      <c r="F6" s="638"/>
      <c r="G6" s="638"/>
    </row>
    <row r="7" spans="1:7" ht="15.75">
      <c r="A7" s="18"/>
      <c r="B7" s="18"/>
      <c r="C7" s="18"/>
      <c r="D7" s="18"/>
      <c r="E7" s="18"/>
      <c r="F7" s="18"/>
      <c r="G7" s="18"/>
    </row>
    <row r="8" spans="1:7" ht="15.75">
      <c r="A8" s="97" t="s">
        <v>406</v>
      </c>
      <c r="B8" s="24"/>
      <c r="C8" s="24"/>
      <c r="D8" s="24"/>
      <c r="E8" s="24"/>
      <c r="F8" s="24"/>
      <c r="G8" s="24"/>
    </row>
    <row r="9" spans="1:7" ht="15.75">
      <c r="A9" s="97" t="s">
        <v>407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408</v>
      </c>
      <c r="F14" s="102"/>
      <c r="G14" s="103" t="s">
        <v>409</v>
      </c>
      <c r="H14" s="104"/>
    </row>
    <row r="15" spans="1:7" ht="15.75">
      <c r="A15" s="18"/>
      <c r="B15" s="18"/>
      <c r="C15" s="18"/>
      <c r="D15" s="102" t="s">
        <v>410</v>
      </c>
      <c r="E15" s="105" t="s">
        <v>602</v>
      </c>
      <c r="F15" s="660" t="str">
        <f>CONCATENATE("Amount of ",G3-1," Ad Valorem Tax")</f>
        <v>Amount of 2013 Ad Valorem Tax</v>
      </c>
      <c r="G15" s="103" t="s">
        <v>411</v>
      </c>
    </row>
    <row r="16" spans="1:7" ht="15.75">
      <c r="A16" s="17" t="s">
        <v>412</v>
      </c>
      <c r="B16" s="18"/>
      <c r="C16" s="18"/>
      <c r="D16" s="105" t="s">
        <v>413</v>
      </c>
      <c r="E16" s="105" t="s">
        <v>133</v>
      </c>
      <c r="F16" s="660"/>
      <c r="G16" s="103" t="s">
        <v>415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303</v>
      </c>
      <c r="B19" s="106"/>
      <c r="C19" s="106"/>
      <c r="D19" s="111">
        <v>3</v>
      </c>
      <c r="E19" s="100"/>
      <c r="F19" s="100"/>
      <c r="G19" s="112"/>
    </row>
    <row r="20" spans="1:7" ht="15.75">
      <c r="A20" s="113" t="s">
        <v>534</v>
      </c>
      <c r="B20" s="106"/>
      <c r="C20" s="106"/>
      <c r="D20" s="114">
        <v>4</v>
      </c>
      <c r="E20" s="100"/>
      <c r="F20" s="100"/>
      <c r="G20" s="112"/>
    </row>
    <row r="21" spans="1:7" ht="15.75">
      <c r="A21" s="110" t="s">
        <v>533</v>
      </c>
      <c r="B21" s="106"/>
      <c r="C21" s="106"/>
      <c r="D21" s="114">
        <v>5</v>
      </c>
      <c r="E21" s="100"/>
      <c r="F21" s="100"/>
      <c r="G21" s="112"/>
    </row>
    <row r="22" spans="1:7" ht="15.75">
      <c r="A22" s="115" t="s">
        <v>416</v>
      </c>
      <c r="B22" s="116"/>
      <c r="C22" s="117" t="s">
        <v>417</v>
      </c>
      <c r="D22" s="111"/>
      <c r="E22" s="118"/>
      <c r="F22" s="40"/>
      <c r="G22" s="44"/>
    </row>
    <row r="23" spans="1:7" ht="15.75">
      <c r="A23" s="119" t="s">
        <v>400</v>
      </c>
      <c r="B23" s="116"/>
      <c r="C23" s="111">
        <f>inputPrYr!C19</f>
        <v>0</v>
      </c>
      <c r="D23" s="120">
        <v>6</v>
      </c>
      <c r="E23" s="559">
        <f>IF(gen!$E$61&lt;&gt;0,gen!$E$61,"  ")</f>
        <v>7550</v>
      </c>
      <c r="F23" s="559">
        <f>IF(gen!$E$68&lt;&gt;0,gen!$E$68,"  ")</f>
        <v>5555</v>
      </c>
      <c r="G23" s="560" t="str">
        <f>IF(AND(gen!E68=0,$G$32&gt;=0)," ",IF(AND(F23&gt;0,$G$32=0)," ",IF(AND(F23&gt;0,$G$32&gt;0),ROUND(F23/$G$32*1000,3))))</f>
        <v> </v>
      </c>
    </row>
    <row r="24" spans="1:7" ht="15.75">
      <c r="A24" s="119" t="s">
        <v>661</v>
      </c>
      <c r="B24" s="116"/>
      <c r="C24" s="111" t="s">
        <v>546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524</v>
      </c>
      <c r="B30" s="67"/>
      <c r="C30" s="116"/>
      <c r="D30" s="128" t="s">
        <v>418</v>
      </c>
      <c r="E30" s="565">
        <f>SUM(E23:E28)</f>
        <v>7550</v>
      </c>
      <c r="F30" s="566">
        <f>SUM(F23:F28)</f>
        <v>5555</v>
      </c>
      <c r="G30" s="567">
        <f>IF(SUM(G23:G28)=0,"",SUM(G23:G28))</f>
      </c>
    </row>
    <row r="31" spans="1:7" ht="15.75">
      <c r="A31" s="119" t="s">
        <v>594</v>
      </c>
      <c r="B31" s="67"/>
      <c r="C31" s="116"/>
      <c r="D31" s="131">
        <f>summ!E41</f>
        <v>8</v>
      </c>
      <c r="E31" s="135" t="s">
        <v>589</v>
      </c>
      <c r="F31" s="384" t="str">
        <f>IF(F30&gt;computation!J34,"Yes","No")</f>
        <v>Yes</v>
      </c>
      <c r="G31" s="385" t="s">
        <v>526</v>
      </c>
    </row>
    <row r="32" spans="1:7" ht="15.75">
      <c r="A32" s="119" t="s">
        <v>609</v>
      </c>
      <c r="B32" s="133"/>
      <c r="C32" s="134"/>
      <c r="D32" s="131">
        <f>IF(Nhood!C35=0,"",Nhood!C35)</f>
      </c>
      <c r="E32" s="383"/>
      <c r="F32" s="69"/>
      <c r="G32" s="140"/>
    </row>
    <row r="33" spans="1:7" ht="15.75">
      <c r="A33" s="136" t="s">
        <v>588</v>
      </c>
      <c r="B33" s="67"/>
      <c r="C33" s="116"/>
      <c r="D33" s="131">
        <f>IF(Resolution!E45=0,"",Resolution!E45)</f>
        <v>9</v>
      </c>
      <c r="E33" s="60"/>
      <c r="F33" s="69"/>
      <c r="G33" s="661" t="str">
        <f>CONCATENATE("Nov. 1, ",G3," Total Assessed Valuation")</f>
        <v>Nov. 1, 2014 Total Assessed Valuation</v>
      </c>
    </row>
    <row r="34" spans="1:7" ht="15.75">
      <c r="A34" s="20"/>
      <c r="B34" s="69"/>
      <c r="C34" s="18"/>
      <c r="D34" s="137"/>
      <c r="E34" s="60"/>
      <c r="F34" s="69"/>
      <c r="G34" s="662"/>
    </row>
    <row r="35" spans="1:7" ht="15.75">
      <c r="A35" s="17" t="s">
        <v>136</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137</v>
      </c>
      <c r="B38" s="69"/>
      <c r="C38" s="69"/>
      <c r="D38" s="69"/>
      <c r="E38" s="554"/>
      <c r="F38" s="69"/>
      <c r="G38" s="69"/>
    </row>
    <row r="39" spans="1:7" ht="15.75">
      <c r="A39" s="521"/>
      <c r="B39" s="521"/>
      <c r="C39" s="69"/>
      <c r="D39" s="69" t="s">
        <v>302</v>
      </c>
      <c r="E39" s="555"/>
      <c r="F39" s="555"/>
      <c r="G39" s="69"/>
    </row>
    <row r="40" spans="1:7" ht="15.75">
      <c r="A40" s="522"/>
      <c r="B40" s="522"/>
      <c r="C40" s="52"/>
      <c r="D40" s="69"/>
      <c r="E40" s="555"/>
      <c r="F40" s="555"/>
      <c r="G40" s="69"/>
    </row>
    <row r="41" spans="1:7" ht="15.75">
      <c r="A41" s="20" t="s">
        <v>301</v>
      </c>
      <c r="B41" s="69"/>
      <c r="C41" s="18"/>
      <c r="D41" s="69" t="s">
        <v>302</v>
      </c>
      <c r="E41" s="556"/>
      <c r="F41" s="69"/>
      <c r="G41" s="69"/>
    </row>
    <row r="42" spans="1:7" ht="15.75">
      <c r="A42" s="522"/>
      <c r="B42" s="522"/>
      <c r="C42" s="17"/>
      <c r="D42" s="21"/>
      <c r="E42" s="141"/>
      <c r="F42" s="69"/>
      <c r="G42" s="69"/>
    </row>
    <row r="43" spans="1:7" ht="15.75">
      <c r="A43" s="20"/>
      <c r="B43" s="69"/>
      <c r="C43" s="69"/>
      <c r="D43" s="69" t="s">
        <v>302</v>
      </c>
      <c r="E43" s="141"/>
      <c r="F43" s="557"/>
      <c r="G43" s="557"/>
    </row>
    <row r="44" spans="1:7" ht="15.75">
      <c r="A44" s="20"/>
      <c r="B44" s="100"/>
      <c r="C44" s="69"/>
      <c r="D44" s="141"/>
      <c r="E44" s="141"/>
      <c r="F44" s="141"/>
      <c r="G44" s="141"/>
    </row>
    <row r="45" spans="1:7" ht="15.75">
      <c r="A45" s="20"/>
      <c r="B45" s="69"/>
      <c r="C45" s="69"/>
      <c r="D45" s="69" t="s">
        <v>302</v>
      </c>
      <c r="E45" s="141"/>
      <c r="F45" s="557"/>
      <c r="G45" s="557"/>
    </row>
    <row r="46" spans="1:7" ht="15.75">
      <c r="A46" s="69"/>
      <c r="B46" s="69"/>
      <c r="C46" s="69"/>
      <c r="D46" s="141"/>
      <c r="E46" s="141"/>
      <c r="F46" s="141"/>
      <c r="G46" s="141"/>
    </row>
    <row r="47" spans="1:7" ht="15.75">
      <c r="A47" s="17" t="s">
        <v>586</v>
      </c>
      <c r="B47" s="18"/>
      <c r="C47" s="17">
        <f>G3-1</f>
        <v>2013</v>
      </c>
      <c r="D47" s="69" t="s">
        <v>302</v>
      </c>
      <c r="E47" s="69"/>
      <c r="F47" s="557"/>
      <c r="G47" s="557"/>
    </row>
    <row r="48" spans="1:7" ht="15.75">
      <c r="A48" s="141"/>
      <c r="B48" s="69"/>
      <c r="C48" s="17"/>
      <c r="D48" s="69"/>
      <c r="E48" s="69"/>
      <c r="F48" s="558"/>
      <c r="G48" s="558"/>
    </row>
    <row r="49" spans="1:7" ht="15.75">
      <c r="A49" s="663"/>
      <c r="B49" s="664"/>
      <c r="C49" s="18"/>
      <c r="D49" s="69" t="s">
        <v>302</v>
      </c>
      <c r="E49" s="69"/>
      <c r="F49" s="69"/>
      <c r="G49" s="69"/>
    </row>
    <row r="50" spans="1:7" ht="15.75">
      <c r="A50" s="24" t="s">
        <v>420</v>
      </c>
      <c r="B50" s="24"/>
      <c r="C50" s="18"/>
      <c r="D50" s="667" t="s">
        <v>419</v>
      </c>
      <c r="E50" s="668"/>
      <c r="F50" s="668"/>
      <c r="G50" s="668"/>
    </row>
    <row r="51" spans="1:7" ht="15.75">
      <c r="A51" s="665"/>
      <c r="B51" s="665"/>
      <c r="C51" s="665"/>
      <c r="D51" s="665"/>
      <c r="E51" s="665"/>
      <c r="F51" s="665"/>
      <c r="G51" s="665"/>
    </row>
    <row r="52" spans="1:7" ht="15.75">
      <c r="A52" s="666"/>
      <c r="B52" s="666"/>
      <c r="C52" s="666"/>
      <c r="D52" s="666"/>
      <c r="E52" s="666"/>
      <c r="F52" s="666"/>
      <c r="G52" s="666"/>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32"/>
    <pageSetUpPr fitToPage="1"/>
  </sheetPr>
  <dimension ref="A1:J37"/>
  <sheetViews>
    <sheetView zoomScale="85" zoomScaleNormal="85" zoomScalePageLayoutView="0" workbookViewId="0" topLeftCell="A1">
      <selection activeCell="E45" sqref="E45"/>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Greenlawn Cemetery #7</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480</v>
      </c>
    </row>
    <row r="5" spans="1:10" ht="15.75">
      <c r="A5" s="145" t="s">
        <v>481</v>
      </c>
      <c r="B5" s="18" t="str">
        <f>CONCATENATE("Total Tax Levy Amount in ",J1-1," Budget")</f>
        <v>Total Tax Levy Amount in 2013 Budget</v>
      </c>
      <c r="C5" s="18"/>
      <c r="D5" s="18"/>
      <c r="E5" s="37"/>
      <c r="F5" s="37"/>
      <c r="G5" s="37"/>
      <c r="H5" s="146" t="s">
        <v>482</v>
      </c>
      <c r="I5" s="37" t="s">
        <v>483</v>
      </c>
      <c r="J5" s="362">
        <f>inputPrYr!E24</f>
        <v>3239</v>
      </c>
    </row>
    <row r="6" spans="1:10" ht="15.75">
      <c r="A6" s="145" t="s">
        <v>484</v>
      </c>
      <c r="B6" s="18" t="str">
        <f>CONCATENATE("Debt Service Levy in ",J1-1," Budget")</f>
        <v>Debt Service Levy in 2013 Budget</v>
      </c>
      <c r="C6" s="18"/>
      <c r="D6" s="18"/>
      <c r="E6" s="37"/>
      <c r="F6" s="37"/>
      <c r="G6" s="37"/>
      <c r="H6" s="146" t="s">
        <v>485</v>
      </c>
      <c r="I6" s="37" t="s">
        <v>483</v>
      </c>
      <c r="J6" s="147">
        <f>inputPrYr!E20</f>
        <v>0</v>
      </c>
    </row>
    <row r="7" spans="1:10" ht="15.75">
      <c r="A7" s="145" t="s">
        <v>509</v>
      </c>
      <c r="B7" s="25" t="s">
        <v>503</v>
      </c>
      <c r="C7" s="18"/>
      <c r="D7" s="18"/>
      <c r="E7" s="37"/>
      <c r="F7" s="37"/>
      <c r="G7" s="37"/>
      <c r="H7" s="37"/>
      <c r="I7" s="37" t="s">
        <v>483</v>
      </c>
      <c r="J7" s="41">
        <f>J5-J6</f>
        <v>3239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486</v>
      </c>
      <c r="B11" s="25" t="str">
        <f>CONCATENATE("New Improvements for ",J1-1,":")</f>
        <v>New Improvements for 2013:</v>
      </c>
      <c r="C11" s="18"/>
      <c r="D11" s="18"/>
      <c r="E11" s="146"/>
      <c r="F11" s="146" t="s">
        <v>482</v>
      </c>
      <c r="G11" s="148">
        <f>inputOth!E8</f>
        <v>2547</v>
      </c>
      <c r="H11" s="149"/>
      <c r="I11" s="37"/>
      <c r="J11" s="37"/>
    </row>
    <row r="12" spans="1:10" ht="15.75">
      <c r="A12" s="145"/>
      <c r="B12" s="145"/>
      <c r="C12" s="18"/>
      <c r="D12" s="18"/>
      <c r="E12" s="146"/>
      <c r="F12" s="146"/>
      <c r="G12" s="149"/>
      <c r="H12" s="149"/>
      <c r="I12" s="37"/>
      <c r="J12" s="37"/>
    </row>
    <row r="13" spans="1:10" ht="15.75">
      <c r="A13" s="145" t="s">
        <v>487</v>
      </c>
      <c r="B13" s="25" t="str">
        <f>CONCATENATE("Increase in Personal Property for ",J1-1,":")</f>
        <v>Increase in Personal Property for 2013:</v>
      </c>
      <c r="C13" s="18"/>
      <c r="D13" s="18"/>
      <c r="E13" s="146"/>
      <c r="F13" s="146"/>
      <c r="G13" s="149"/>
      <c r="H13" s="149"/>
      <c r="I13" s="37"/>
      <c r="J13" s="37"/>
    </row>
    <row r="14" spans="1:10" ht="15.75">
      <c r="A14" s="18"/>
      <c r="B14" s="18" t="s">
        <v>488</v>
      </c>
      <c r="C14" s="18" t="str">
        <f>CONCATENATE("Personal Property ",J1-1,"")</f>
        <v>Personal Property 2013</v>
      </c>
      <c r="D14" s="145" t="s">
        <v>482</v>
      </c>
      <c r="E14" s="148">
        <f>inputOth!E9</f>
        <v>0</v>
      </c>
      <c r="F14" s="146"/>
      <c r="G14" s="37"/>
      <c r="H14" s="37"/>
      <c r="I14" s="149"/>
      <c r="J14" s="37"/>
    </row>
    <row r="15" spans="1:10" ht="15.75">
      <c r="A15" s="145"/>
      <c r="B15" s="18" t="s">
        <v>489</v>
      </c>
      <c r="C15" s="18" t="str">
        <f>CONCATENATE("Personal Property ",J1-2,"")</f>
        <v>Personal Property 2012</v>
      </c>
      <c r="D15" s="145" t="s">
        <v>485</v>
      </c>
      <c r="E15" s="41">
        <f>inputOth!E11</f>
        <v>0</v>
      </c>
      <c r="F15" s="146"/>
      <c r="G15" s="149"/>
      <c r="H15" s="149"/>
      <c r="I15" s="37"/>
      <c r="J15" s="37"/>
    </row>
    <row r="16" spans="1:10" ht="15.75">
      <c r="A16" s="145"/>
      <c r="B16" s="18" t="s">
        <v>490</v>
      </c>
      <c r="C16" s="18" t="s">
        <v>504</v>
      </c>
      <c r="D16" s="18"/>
      <c r="E16" s="37"/>
      <c r="F16" s="37" t="s">
        <v>482</v>
      </c>
      <c r="G16" s="148">
        <f>IF(E14&gt;E15,E14-E15,0)</f>
        <v>0</v>
      </c>
      <c r="H16" s="149"/>
      <c r="I16" s="37"/>
      <c r="J16" s="37"/>
    </row>
    <row r="17" spans="1:10" ht="15.75">
      <c r="A17" s="145"/>
      <c r="B17" s="145"/>
      <c r="C17" s="18"/>
      <c r="D17" s="18"/>
      <c r="E17" s="37"/>
      <c r="F17" s="37"/>
      <c r="G17" s="149" t="s">
        <v>498</v>
      </c>
      <c r="H17" s="149"/>
      <c r="I17" s="37"/>
      <c r="J17" s="37"/>
    </row>
    <row r="18" spans="1:10" ht="15.75">
      <c r="A18" s="145" t="s">
        <v>491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408</v>
      </c>
      <c r="B19" s="18"/>
      <c r="C19" s="18"/>
      <c r="D19" s="18"/>
      <c r="E19" s="149"/>
      <c r="F19" s="37"/>
      <c r="G19" s="150"/>
      <c r="H19" s="149"/>
      <c r="I19" s="37"/>
      <c r="J19" s="37"/>
    </row>
    <row r="20" spans="1:10" ht="15.75">
      <c r="A20" s="145" t="s">
        <v>492</v>
      </c>
      <c r="B20" s="25" t="s">
        <v>505</v>
      </c>
      <c r="C20" s="18"/>
      <c r="D20" s="145"/>
      <c r="E20" s="37"/>
      <c r="F20" s="37"/>
      <c r="G20" s="148">
        <f>G11+G16+G18</f>
        <v>2547</v>
      </c>
      <c r="H20" s="149"/>
      <c r="I20" s="37"/>
      <c r="J20" s="37"/>
    </row>
    <row r="21" spans="1:10" ht="15.75">
      <c r="A21" s="145"/>
      <c r="B21" s="145"/>
      <c r="C21" s="25"/>
      <c r="D21" s="18"/>
      <c r="E21" s="37"/>
      <c r="F21" s="37"/>
      <c r="G21" s="149"/>
      <c r="H21" s="149"/>
      <c r="I21" s="37"/>
      <c r="J21" s="37"/>
    </row>
    <row r="22" spans="1:10" ht="15.75">
      <c r="A22" s="145" t="s">
        <v>493</v>
      </c>
      <c r="B22" s="18" t="str">
        <f>CONCATENATE("Total Estimated Valuation July, 1,",J1-1,"")</f>
        <v>Total Estimated Valuation July, 1,2013</v>
      </c>
      <c r="C22" s="18"/>
      <c r="D22" s="18"/>
      <c r="E22" s="148">
        <f>inputOth!E7</f>
        <v>3476185</v>
      </c>
      <c r="F22" s="37"/>
      <c r="G22" s="37"/>
      <c r="H22" s="37"/>
      <c r="I22" s="146"/>
      <c r="J22" s="37"/>
    </row>
    <row r="23" spans="1:10" ht="15.75">
      <c r="A23" s="145"/>
      <c r="B23" s="145"/>
      <c r="C23" s="18"/>
      <c r="D23" s="18"/>
      <c r="E23" s="149"/>
      <c r="F23" s="37"/>
      <c r="G23" s="37"/>
      <c r="H23" s="37"/>
      <c r="I23" s="146"/>
      <c r="J23" s="37"/>
    </row>
    <row r="24" spans="1:10" ht="15.75">
      <c r="A24" s="145" t="s">
        <v>494</v>
      </c>
      <c r="B24" s="25" t="s">
        <v>506</v>
      </c>
      <c r="C24" s="18"/>
      <c r="D24" s="18"/>
      <c r="E24" s="37"/>
      <c r="F24" s="37"/>
      <c r="G24" s="148">
        <f>E22-G20</f>
        <v>3473638</v>
      </c>
      <c r="H24" s="149"/>
      <c r="I24" s="146"/>
      <c r="J24" s="37"/>
    </row>
    <row r="25" spans="1:10" ht="15.75">
      <c r="A25" s="145"/>
      <c r="B25" s="145"/>
      <c r="C25" s="25"/>
      <c r="D25" s="18"/>
      <c r="E25" s="37"/>
      <c r="F25" s="37"/>
      <c r="G25" s="150"/>
      <c r="H25" s="149"/>
      <c r="I25" s="146"/>
      <c r="J25" s="37"/>
    </row>
    <row r="26" spans="1:10" ht="15.75">
      <c r="A26" s="145" t="s">
        <v>495</v>
      </c>
      <c r="B26" s="18" t="s">
        <v>507</v>
      </c>
      <c r="C26" s="18"/>
      <c r="D26" s="18"/>
      <c r="E26" s="18"/>
      <c r="F26" s="18"/>
      <c r="G26" s="151">
        <f>IF(G20&gt;0,G20/G24,0)</f>
        <v>0.0007332370270016623</v>
      </c>
      <c r="H26" s="69"/>
      <c r="I26" s="18"/>
      <c r="J26" s="18"/>
    </row>
    <row r="27" spans="1:10" ht="15.75">
      <c r="A27" s="145"/>
      <c r="B27" s="145"/>
      <c r="C27" s="18"/>
      <c r="D27" s="18"/>
      <c r="E27" s="18"/>
      <c r="F27" s="18"/>
      <c r="G27" s="69"/>
      <c r="H27" s="69"/>
      <c r="I27" s="18"/>
      <c r="J27" s="18"/>
    </row>
    <row r="28" spans="1:10" ht="15.75">
      <c r="A28" s="145" t="s">
        <v>496</v>
      </c>
      <c r="B28" s="18" t="s">
        <v>508</v>
      </c>
      <c r="C28" s="18"/>
      <c r="D28" s="18"/>
      <c r="E28" s="18"/>
      <c r="F28" s="18"/>
      <c r="G28" s="69"/>
      <c r="H28" s="152" t="s">
        <v>482</v>
      </c>
      <c r="I28" s="18" t="s">
        <v>483</v>
      </c>
      <c r="J28" s="148">
        <f>ROUND(G26*J7,0)</f>
        <v>2</v>
      </c>
    </row>
    <row r="29" spans="1:10" ht="15.75">
      <c r="A29" s="145"/>
      <c r="B29" s="145"/>
      <c r="C29" s="18"/>
      <c r="D29" s="18"/>
      <c r="E29" s="18"/>
      <c r="F29" s="18"/>
      <c r="G29" s="69"/>
      <c r="H29" s="152"/>
      <c r="I29" s="18"/>
      <c r="J29" s="149"/>
    </row>
    <row r="30" spans="1:10" ht="16.5" thickBot="1">
      <c r="A30" s="145" t="s">
        <v>497</v>
      </c>
      <c r="B30" s="25" t="s">
        <v>513</v>
      </c>
      <c r="C30" s="18"/>
      <c r="D30" s="18"/>
      <c r="E30" s="18"/>
      <c r="F30" s="18"/>
      <c r="G30" s="18"/>
      <c r="H30" s="18"/>
      <c r="I30" s="18" t="s">
        <v>483</v>
      </c>
      <c r="J30" s="153">
        <f>J7+J28</f>
        <v>3241</v>
      </c>
    </row>
    <row r="31" spans="1:10" ht="16.5" thickTop="1">
      <c r="A31" s="145"/>
      <c r="B31" s="25"/>
      <c r="C31" s="18"/>
      <c r="D31" s="18"/>
      <c r="E31" s="18"/>
      <c r="F31" s="18"/>
      <c r="G31" s="18"/>
      <c r="H31" s="18"/>
      <c r="I31" s="18"/>
      <c r="J31" s="18"/>
    </row>
    <row r="32" spans="1:10" ht="15.75">
      <c r="A32" s="145" t="s">
        <v>511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512</v>
      </c>
      <c r="B34" s="25" t="s">
        <v>514</v>
      </c>
      <c r="C34" s="18"/>
      <c r="D34" s="18"/>
      <c r="E34" s="18"/>
      <c r="F34" s="18"/>
      <c r="G34" s="18"/>
      <c r="H34" s="18"/>
      <c r="I34" s="18"/>
      <c r="J34" s="153">
        <f>J30+J32</f>
        <v>3241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510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32"/>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Greenlawn Cemetery #7</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296</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435</v>
      </c>
      <c r="E10" s="114" t="s">
        <v>436</v>
      </c>
      <c r="F10" s="111" t="s">
        <v>477</v>
      </c>
      <c r="G10" s="18"/>
      <c r="H10" s="18"/>
      <c r="I10" s="18"/>
      <c r="J10" s="18"/>
    </row>
    <row r="11" spans="1:10" ht="15.75">
      <c r="A11" s="18"/>
      <c r="B11" s="36" t="str">
        <f>inputPrYr!B19</f>
        <v>General</v>
      </c>
      <c r="C11" s="123">
        <f>inputPrYr!E19</f>
        <v>3239</v>
      </c>
      <c r="D11" s="123">
        <f>IF(E17=0,0,E17-D12-D13-D14)</f>
        <v>227</v>
      </c>
      <c r="E11" s="123">
        <f>IF(E19=0,0,E19-E12-E13-E14)</f>
        <v>3</v>
      </c>
      <c r="F11" s="123">
        <f>IF(E21=0,0,E21-F12-F13-F14)</f>
        <v>29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403</v>
      </c>
      <c r="C15" s="130">
        <f>SUM(C11:C14)</f>
        <v>3239</v>
      </c>
      <c r="D15" s="130">
        <f>SUM(D11:D14)</f>
        <v>227</v>
      </c>
      <c r="E15" s="130">
        <f>SUM(E11:E14)</f>
        <v>3</v>
      </c>
      <c r="F15" s="203">
        <f>SUM(F11:F14)</f>
        <v>29</v>
      </c>
      <c r="G15" s="18"/>
      <c r="H15" s="18"/>
      <c r="I15" s="18"/>
      <c r="J15" s="18"/>
    </row>
    <row r="16" spans="1:10" ht="16.5" thickTop="1">
      <c r="A16" s="18"/>
      <c r="B16" s="18"/>
      <c r="C16" s="18"/>
      <c r="D16" s="18"/>
      <c r="E16" s="18"/>
      <c r="F16" s="18"/>
      <c r="G16" s="18"/>
      <c r="H16" s="18"/>
      <c r="I16" s="18"/>
      <c r="J16" s="18"/>
    </row>
    <row r="17" spans="1:10" ht="15.75">
      <c r="A17" s="18"/>
      <c r="B17" s="17" t="s">
        <v>437</v>
      </c>
      <c r="C17" s="18"/>
      <c r="D17" s="18"/>
      <c r="E17" s="159">
        <f>inputOth!E27</f>
        <v>227</v>
      </c>
      <c r="F17" s="18"/>
      <c r="G17" s="18"/>
      <c r="H17" s="18"/>
      <c r="I17" s="18"/>
      <c r="J17" s="18"/>
    </row>
    <row r="18" spans="1:10" ht="15.75">
      <c r="A18" s="18"/>
      <c r="B18" s="18"/>
      <c r="C18" s="18"/>
      <c r="D18" s="156"/>
      <c r="E18" s="156"/>
      <c r="F18" s="18"/>
      <c r="G18" s="18"/>
      <c r="H18" s="18"/>
      <c r="I18" s="18"/>
      <c r="J18" s="18"/>
    </row>
    <row r="19" spans="1:10" ht="15.75">
      <c r="A19" s="18"/>
      <c r="B19" s="17" t="s">
        <v>438</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478</v>
      </c>
      <c r="C21" s="18"/>
      <c r="D21" s="18"/>
      <c r="E21" s="159">
        <f>inputOth!E29</f>
        <v>29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439</v>
      </c>
      <c r="C24" s="160">
        <f>IF(C15=0,0,E17/C15)</f>
        <v>0.07008335906143871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440</v>
      </c>
      <c r="D26" s="162">
        <f>IF(C15=0,0,E19/C15)</f>
        <v>0.0009262117937635072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479</v>
      </c>
      <c r="E28" s="162">
        <f>IF(C15=0,0,E21/C15)</f>
        <v>0.008953380673047236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Greenlawn Cemetery #7</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534</v>
      </c>
      <c r="B5" s="655"/>
      <c r="C5" s="655"/>
      <c r="D5" s="655"/>
      <c r="E5" s="655"/>
      <c r="F5" s="655"/>
    </row>
    <row r="6" spans="1:6" ht="14.25" customHeight="1">
      <c r="A6" s="96"/>
      <c r="B6" s="166"/>
      <c r="C6" s="166"/>
      <c r="D6" s="166"/>
      <c r="E6" s="166"/>
      <c r="F6" s="166"/>
    </row>
    <row r="7" spans="1:6" ht="17.25" customHeight="1">
      <c r="A7" s="167" t="s">
        <v>414</v>
      </c>
      <c r="B7" s="167" t="s">
        <v>124</v>
      </c>
      <c r="C7" s="167" t="s">
        <v>441</v>
      </c>
      <c r="D7" s="167" t="s">
        <v>535</v>
      </c>
      <c r="E7" s="167" t="s">
        <v>536</v>
      </c>
      <c r="F7" s="167" t="s">
        <v>549</v>
      </c>
    </row>
    <row r="8" spans="1:6" ht="17.25" customHeight="1">
      <c r="A8" s="168" t="s">
        <v>125</v>
      </c>
      <c r="B8" s="168" t="s">
        <v>126</v>
      </c>
      <c r="C8" s="168" t="s">
        <v>550</v>
      </c>
      <c r="D8" s="168" t="s">
        <v>550</v>
      </c>
      <c r="E8" s="168" t="s">
        <v>550</v>
      </c>
      <c r="F8" s="168" t="s">
        <v>551</v>
      </c>
    </row>
    <row r="9" spans="1:6" s="171" customFormat="1" ht="18" customHeight="1">
      <c r="A9" s="169" t="s">
        <v>552</v>
      </c>
      <c r="B9" s="169" t="s">
        <v>553</v>
      </c>
      <c r="C9" s="170">
        <f>F1-2</f>
        <v>2012</v>
      </c>
      <c r="D9" s="170">
        <f>F1-1</f>
        <v>2013</v>
      </c>
      <c r="E9" s="170">
        <f>F1</f>
        <v>2014</v>
      </c>
      <c r="F9" s="169" t="s">
        <v>554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524</v>
      </c>
      <c r="C24" s="176">
        <f>SUM(C10:C23)</f>
        <v>0</v>
      </c>
      <c r="D24" s="176">
        <f>SUM(D10:D23)</f>
        <v>0</v>
      </c>
      <c r="E24" s="176">
        <f>SUM(E10:E23)</f>
        <v>0</v>
      </c>
      <c r="F24" s="177"/>
      <c r="G24" s="61"/>
    </row>
    <row r="25" spans="1:7" ht="15.75">
      <c r="A25" s="30"/>
      <c r="B25" s="178" t="s">
        <v>123</v>
      </c>
      <c r="C25" s="179"/>
      <c r="D25" s="180"/>
      <c r="E25" s="180"/>
      <c r="F25" s="177"/>
      <c r="G25" s="61"/>
    </row>
    <row r="26" spans="1:7" ht="15.75">
      <c r="A26" s="30"/>
      <c r="B26" s="175" t="s">
        <v>555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127</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695</v>
      </c>
    </row>
    <row r="2" ht="15.75">
      <c r="A2" s="95"/>
    </row>
    <row r="3" ht="47.25">
      <c r="A3" s="317" t="s">
        <v>696</v>
      </c>
    </row>
    <row r="4" ht="15.75">
      <c r="A4" s="318"/>
    </row>
    <row r="5" ht="15.75">
      <c r="A5" s="95"/>
    </row>
    <row r="6" ht="63">
      <c r="A6" s="317" t="s">
        <v>697</v>
      </c>
    </row>
    <row r="7" ht="15.75">
      <c r="A7" s="318"/>
    </row>
    <row r="8" ht="15.75">
      <c r="A8" s="95"/>
    </row>
    <row r="9" ht="47.25">
      <c r="A9" s="317" t="s">
        <v>698</v>
      </c>
    </row>
    <row r="10" ht="15.75">
      <c r="A10" s="318"/>
    </row>
    <row r="11" ht="15.75">
      <c r="A11" s="318"/>
    </row>
    <row r="12" ht="31.5">
      <c r="A12" s="317" t="s">
        <v>699</v>
      </c>
    </row>
    <row r="13" ht="15.75">
      <c r="A13" s="95"/>
    </row>
    <row r="14" ht="15.75">
      <c r="A14" s="95"/>
    </row>
    <row r="15" ht="47.25">
      <c r="A15" s="317" t="s">
        <v>700</v>
      </c>
    </row>
    <row r="16" ht="15.75">
      <c r="A16" s="95"/>
    </row>
    <row r="17" ht="15.75">
      <c r="A17" s="95"/>
    </row>
    <row r="18" ht="63">
      <c r="A18" s="469" t="s">
        <v>227</v>
      </c>
    </row>
    <row r="19" ht="15.75">
      <c r="A19" s="95"/>
    </row>
    <row r="20" ht="15.75">
      <c r="A20" s="95"/>
    </row>
    <row r="21" ht="63">
      <c r="A21" s="339" t="s">
        <v>701</v>
      </c>
    </row>
    <row r="22" ht="15.75">
      <c r="A22" s="318"/>
    </row>
    <row r="23" ht="15.75">
      <c r="A23" s="95"/>
    </row>
    <row r="24" ht="63">
      <c r="A24" s="317" t="s">
        <v>702</v>
      </c>
    </row>
    <row r="25" ht="47.25">
      <c r="A25" s="319" t="s">
        <v>703</v>
      </c>
    </row>
    <row r="26" ht="15.75">
      <c r="A26" s="318"/>
    </row>
    <row r="27" ht="15.75">
      <c r="A27" s="95"/>
    </row>
    <row r="28" ht="63">
      <c r="A28" s="469" t="s">
        <v>228</v>
      </c>
    </row>
    <row r="29" ht="15.75">
      <c r="A29" s="95"/>
    </row>
    <row r="30" ht="15.75">
      <c r="A30" s="95"/>
    </row>
    <row r="31" ht="78.75">
      <c r="A31" s="469" t="s">
        <v>229</v>
      </c>
    </row>
    <row r="32" ht="15.75">
      <c r="A32" s="95"/>
    </row>
    <row r="33" ht="15.75">
      <c r="A33" s="95"/>
    </row>
    <row r="34" ht="47.25">
      <c r="A34" s="470" t="s">
        <v>230</v>
      </c>
    </row>
    <row r="35" ht="15.75">
      <c r="A35" s="95"/>
    </row>
    <row r="36" ht="15.75">
      <c r="A36" s="95"/>
    </row>
    <row r="37" ht="78.75">
      <c r="A37" s="317" t="s">
        <v>704</v>
      </c>
    </row>
    <row r="38" ht="15.75">
      <c r="A38" s="318"/>
    </row>
    <row r="39" ht="15.75">
      <c r="A39" s="318"/>
    </row>
    <row r="40" ht="47.25">
      <c r="A40" s="339" t="s">
        <v>705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2013-06-05T13:49:15Z</cp:lastPrinted>
  <dcterms:created xsi:type="dcterms:W3CDTF">1999-08-06T13:59:57Z</dcterms:created>
  <dcterms:modified xsi:type="dcterms:W3CDTF">2013-12-10T15:09:49Z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