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<sst xmlns="http://schemas.openxmlformats.org/spreadsheetml/2006/main" count="1110" uniqueCount="749">
  <si>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</si>
  <si>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</si>
  <si>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</si>
  <si>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</si>
  <si>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</si>
  <si>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</si>
  <si>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</si>
  <si>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</si>
  <si>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</si>
  <si>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</si>
  <si>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</si>
  <si>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</si>
  <si>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</si>
  <si>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</si>
  <si>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</si>
  <si>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</si>
  <si>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</si>
  <si>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</si>
  <si>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</si>
  <si>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</si>
  <si>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</si>
  <si>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</si>
  <si>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</si>
  <si>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</si>
  <si>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</si>
  <si>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</si>
  <si>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</si>
  <si>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</si>
  <si>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</si>
  <si>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</si>
  <si>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</si>
  <si>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</si>
  <si>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</si>
  <si>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</si>
  <si>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</si>
  <si>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</si>
  <si>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</si>
  <si>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</si>
  <si>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</si>
  <si>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</si>
  <si>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</si>
  <si>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</si>
  <si>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</si>
  <si>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</si>
  <si>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</si>
  <si>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</si>
  <si>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</si>
  <si>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</si>
  <si>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</si>
  <si>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</si>
  <si>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</si>
  <si>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</si>
  <si>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</si>
  <si>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</si>
  <si>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</si>
  <si>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</si>
  <si>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</si>
  <si>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</si>
  <si>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</si>
  <si>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</si>
  <si>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</si>
  <si>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</si>
  <si>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</si>
  <si>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</si>
  <si>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</si>
  <si>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</si>
  <si>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</si>
  <si>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</si>
  <si>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</si>
  <si>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</si>
  <si>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</si>
  <si>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</si>
  <si>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</si>
  <si>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</si>
  <si>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</si>
  <si>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</si>
  <si>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</si>
  <si>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</si>
  <si>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</si>
  <si>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</si>
  <si>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</si>
  <si>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</si>
  <si>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</si>
  <si>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</si>
  <si>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</si>
  <si>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</si>
  <si>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</si>
  <si>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</si>
  <si>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</si>
  <si>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</si>
  <si>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</si>
  <si>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</si>
  <si>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</si>
  <si>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</si>
  <si>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</si>
  <si>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</si>
  <si>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</si>
  <si>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</si>
  <si>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</si>
  <si>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</si>
  <si>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</si>
  <si>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</si>
  <si>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</si>
  <si>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</si>
  <si>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</si>
  <si>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</si>
  <si>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</si>
  <si>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</si>
  <si>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</si>
  <si>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</si>
  <si>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</si>
  <si>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</si>
  <si>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</si>
  <si>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</si>
  <si>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</si>
  <si>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</si>
  <si>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</si>
  <si>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</si>
  <si>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</si>
  <si>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</si>
  <si>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</si>
  <si>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</si>
  <si>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</si>
  <si>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</si>
  <si>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</si>
  <si>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</si>
  <si>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</si>
  <si>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</si>
  <si>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</si>
  <si>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</si>
  <si>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</si>
  <si>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</si>
  <si>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</si>
  <si>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</si>
  <si>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</si>
  <si>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</si>
  <si>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</si>
  <si>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</si>
  <si>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</si>
  <si>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</si>
  <si>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</si>
  <si>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</si>
  <si>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</si>
  <si>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</si>
  <si>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</si>
  <si>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</si>
  <si>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</si>
  <si>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</si>
  <si>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</si>
  <si>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</si>
  <si>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</si>
  <si>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</si>
  <si>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</si>
  <si>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</si>
  <si>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</si>
  <si>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</si>
  <si>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</si>
  <si>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</si>
  <si>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</si>
  <si>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</si>
  <si>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</si>
  <si>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</si>
  <si>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</si>
  <si>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</si>
  <si>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</si>
  <si>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</si>
  <si>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</si>
  <si>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</si>
  <si>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</si>
  <si>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</si>
  <si>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</si>
  <si>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</si>
  <si>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</si>
  <si>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</si>
  <si>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</si>
  <si>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</si>
  <si>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</si>
  <si>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</si>
  <si>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</si>
  <si>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</si>
  <si>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</si>
  <si>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</si>
  <si>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</si>
  <si>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</si>
  <si>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</si>
  <si>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</si>
  <si>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</si>
  <si>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</si>
  <si>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</si>
  <si>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</si>
  <si>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</si>
  <si>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</si>
  <si>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</si>
  <si>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</si>
  <si>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</si>
  <si>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</si>
  <si>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</si>
  <si>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</si>
  <si>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</si>
  <si>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</si>
  <si>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</si>
  <si>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</si>
  <si>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</si>
  <si>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</si>
  <si>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</si>
  <si>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</si>
  <si>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</si>
  <si>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</si>
  <si>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</si>
  <si>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</si>
  <si>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</si>
  <si>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</si>
  <si>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</si>
  <si>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</si>
  <si>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</si>
  <si>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</si>
  <si>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</si>
  <si>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</si>
  <si>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</si>
  <si>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</si>
  <si>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</si>
  <si>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</si>
  <si>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</si>
  <si>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</si>
  <si>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</si>
  <si>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</si>
  <si>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</si>
  <si>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</si>
  <si>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</si>
  <si>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</si>
  <si>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</si>
  <si>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</si>
  <si>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</si>
  <si>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</si>
  <si>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</si>
  <si>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</si>
  <si>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</si>
  <si>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</si>
  <si>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</si>
  <si>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</si>
  <si>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</si>
  <si>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</si>
  <si>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</si>
  <si>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</si>
  <si>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</si>
  <si>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</si>
  <si>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</si>
  <si>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</si>
  <si>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</si>
  <si>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</si>
  <si>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</si>
  <si>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</si>
  <si>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</si>
  <si>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</si>
  <si>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</si>
  <si>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</si>
  <si>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</si>
  <si>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</si>
  <si>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</si>
  <si>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</si>
  <si>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</si>
  <si>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</si>
  <si>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</si>
  <si>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</si>
  <si>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</si>
  <si>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</si>
  <si>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</si>
  <si>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</si>
  <si>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</si>
  <si>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</si>
  <si>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</si>
  <si>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</si>
  <si>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</si>
  <si>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</si>
  <si>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</si>
  <si>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</si>
  <si>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</si>
  <si>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</si>
  <si>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</si>
  <si>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</si>
  <si>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</si>
  <si>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</si>
  <si>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</si>
  <si>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</si>
  <si>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</si>
  <si>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</si>
  <si>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</si>
  <si>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</si>
  <si>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</si>
  <si>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</si>
  <si>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</si>
  <si>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</si>
  <si>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</si>
  <si>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</si>
  <si>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</si>
  <si>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</si>
  <si>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</si>
  <si>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</si>
  <si>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</si>
  <si>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</si>
  <si>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</si>
  <si>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</si>
  <si>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</si>
  <si>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</si>
  <si>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</si>
  <si>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</si>
  <si>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</si>
  <si>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</si>
  <si>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</si>
  <si>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</si>
  <si>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</si>
  <si>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</si>
  <si>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</si>
  <si>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</si>
  <si>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</si>
  <si>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</si>
  <si>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</si>
  <si>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</si>
  <si>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</si>
  <si>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</si>
  <si>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</si>
  <si>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</si>
  <si>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</si>
  <si>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</si>
  <si>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</si>
  <si>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</si>
  <si>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</si>
  <si>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</si>
  <si>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</si>
  <si>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</si>
  <si>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</si>
  <si>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</si>
  <si>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</si>
  <si>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</si>
  <si>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</si>
  <si>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</si>
  <si>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</si>
  <si>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</si>
  <si>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</si>
  <si>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</si>
  <si>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</si>
  <si>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</si>
  <si>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</si>
  <si>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</si>
  <si>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</si>
  <si>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</si>
  <si>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</si>
  <si>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</si>
  <si>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</si>
  <si>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</si>
  <si>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</si>
  <si>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</si>
  <si>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</si>
  <si>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</si>
  <si>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</si>
  <si>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</si>
  <si>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</si>
  <si>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</si>
  <si>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</si>
  <si>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</si>
  <si>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</si>
  <si>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</si>
  <si>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</si>
  <si>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</si>
  <si>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</si>
  <si>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</si>
  <si>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</si>
  <si>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</si>
  <si>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</si>
  <si>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</si>
  <si>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</si>
  <si>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</si>
  <si>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</si>
  <si>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</si>
  <si>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</si>
  <si>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</si>
  <si>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</si>
  <si>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</si>
  <si>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</si>
  <si>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</si>
  <si>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</si>
  <si>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</si>
  <si>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</si>
  <si>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</si>
  <si>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</si>
  <si>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</si>
  <si>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</si>
  <si>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</si>
  <si>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</si>
  <si>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</si>
  <si>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</si>
  <si>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</si>
  <si>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</si>
  <si>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</si>
  <si>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</si>
  <si>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</si>
  <si>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</si>
  <si>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</si>
  <si>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</si>
  <si>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</si>
  <si>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</si>
  <si>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</si>
  <si>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</si>
  <si>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</si>
  <si>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</si>
  <si>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</si>
  <si>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</si>
  <si>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</si>
  <si>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</si>
  <si>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</si>
  <si>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</si>
  <si>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</si>
  <si>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</si>
  <si>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</si>
  <si>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</si>
  <si>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</si>
  <si>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</si>
  <si>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</si>
  <si>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</si>
  <si>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</si>
  <si>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</si>
  <si>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</si>
  <si>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</si>
  <si>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</si>
  <si>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</si>
  <si>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</si>
  <si>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</si>
  <si>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</si>
  <si>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</si>
  <si>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</si>
  <si>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</si>
  <si>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</si>
  <si>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</si>
  <si>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</si>
  <si>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</si>
  <si>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</si>
  <si>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</si>
  <si>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</si>
  <si>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</si>
  <si>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</si>
  <si>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</si>
  <si>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</si>
  <si>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</si>
  <si>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</si>
  <si>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</si>
  <si>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</si>
  <si>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</si>
  <si>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</si>
  <si>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</si>
  <si>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</si>
  <si>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</si>
  <si>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</si>
  <si>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</si>
  <si>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</si>
  <si>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</si>
  <si>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</si>
  <si>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</si>
  <si>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</si>
  <si>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</si>
  <si>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</si>
  <si>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</si>
  <si>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</si>
  <si>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</si>
  <si>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</si>
  <si>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</si>
  <si>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</si>
  <si>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</si>
  <si>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</si>
  <si>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</si>
  <si>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</si>
  <si>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</si>
  <si>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</si>
  <si>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</si>
  <si>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</si>
  <si>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</si>
  <si>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</si>
  <si>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</si>
  <si>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</si>
  <si>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</si>
  <si>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</si>
  <si>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</si>
  <si>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</si>
  <si>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</si>
  <si>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</si>
  <si>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</si>
  <si>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</si>
  <si>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</si>
  <si>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</si>
  <si>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</si>
  <si>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</si>
  <si>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</si>
  <si>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</si>
  <si>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</si>
  <si>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</si>
  <si>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</si>
  <si>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</si>
  <si>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</si>
  <si>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</si>
  <si>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</si>
  <si>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</si>
  <si>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</si>
  <si>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</si>
  <si>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</si>
  <si>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</si>
  <si>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</si>
  <si>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</si>
  <si>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</si>
  <si>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</si>
  <si>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</si>
  <si>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</si>
  <si>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</si>
  <si>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</si>
  <si>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</si>
  <si>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</si>
  <si>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</si>
  <si>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</si>
  <si>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</si>
  <si>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</si>
  <si>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</si>
  <si>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</si>
  <si>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</si>
  <si>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</si>
  <si>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</si>
  <si>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</si>
  <si>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</si>
  <si>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</si>
  <si>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</si>
  <si>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</si>
  <si>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</si>
  <si>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</si>
  <si>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</si>
  <si>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</si>
  <si>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</si>
  <si>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</si>
  <si>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</si>
  <si>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</si>
  <si>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</si>
  <si>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</si>
  <si>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</si>
  <si>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</si>
  <si>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</si>
  <si>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</si>
  <si>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</si>
  <si>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</si>
  <si>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</si>
  <si>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</si>
  <si>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</si>
  <si>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</si>
  <si>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</si>
  <si>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</si>
  <si>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</si>
  <si>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</si>
  <si>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</si>
  <si>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</si>
  <si>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</si>
  <si>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</si>
  <si>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</si>
  <si>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</si>
  <si>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</si>
  <si>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</si>
  <si>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</si>
  <si>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</si>
  <si>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</si>
  <si>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</si>
  <si>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</si>
  <si>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</si>
  <si>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</si>
  <si>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</si>
  <si>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</si>
  <si>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</si>
  <si>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</si>
  <si>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</si>
  <si>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</si>
  <si>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</si>
  <si>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</si>
  <si>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</si>
  <si>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</si>
  <si>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</si>
  <si>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</si>
  <si>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</si>
  <si>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</si>
  <si>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</si>
  <si>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</si>
  <si>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</si>
  <si>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</si>
  <si>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</si>
  <si>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</si>
  <si>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</si>
  <si>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</si>
  <si>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</si>
  <si>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</si>
  <si>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</si>
  <si>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</si>
  <si>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</si>
  <si>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</si>
  <si>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</si>
  <si>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</si>
  <si>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</si>
  <si>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</si>
  <si>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</si>
  <si>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</si>
  <si>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</si>
  <si>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</si>
  <si>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</si>
  <si>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</si>
  <si>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</si>
  <si>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</si>
  <si>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</si>
  <si>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</si>
  <si>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</si>
  <si>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</si>
  <si>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</si>
  <si>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</si>
  <si>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</si>
  <si>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</si>
  <si>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</si>
  <si>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</si>
  <si>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</si>
  <si>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</si>
  <si>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</si>
  <si>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</si>
  <si>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</si>
  <si>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</si>
  <si>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</si>
  <si>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</si>
  <si>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</si>
  <si>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</si>
  <si>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</si>
  <si>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</si>
  <si>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</si>
  <si>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</si>
  <si>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</si>
  <si>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</si>
  <si>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</si>
  <si>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</si>
  <si>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</si>
  <si>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</si>
  <si>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</si>
  <si>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</si>
  <si>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</si>
  <si>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</si>
  <si>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</si>
  <si>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</si>
  <si>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</si>
  <si>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</si>
  <si>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</si>
  <si>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</si>
  <si>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</si>
  <si>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</si>
  <si>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</si>
  <si>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</si>
  <si>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</si>
  <si>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</si>
  <si>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</si>
  <si>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</si>
  <si>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</si>
  <si>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</si>
  <si>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</si>
  <si>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</si>
  <si>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</si>
  <si>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</si>
  <si>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</si>
  <si>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</si>
  <si>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</si>
  <si>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</si>
  <si>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</si>
  <si>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</si>
  <si>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</si>
  <si>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</si>
  <si>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</si>
  <si>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</si>
  <si>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</si>
  <si>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</si>
  <si>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</si>
  <si>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</si>
  <si>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</si>
  <si>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</si>
  <si>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</si>
  <si>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</si>
  <si>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</si>
  <si>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</si>
  <si>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</si>
  <si>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</si>
  <si>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</si>
  <si>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</si>
  <si>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</si>
  <si>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</si>
  <si>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</si>
  <si>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</si>
  <si>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</si>
  <si>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</si>
  <si>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</si>
  <si>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</si>
  <si>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</si>
  <si>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</si>
  <si>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</si>
  <si>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</si>
  <si>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</si>
  <si>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</si>
  <si>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</si>
  <si>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</si>
  <si>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</si>
  <si>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</si>
  <si>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</si>
  <si>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</si>
  <si>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</si>
  <si>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</si>
  <si>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</si>
  <si>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</si>
  <si>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</si>
  <si>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</si>
  <si>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</si>
  <si>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</si>
  <si>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</si>
  <si>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</si>
  <si>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</si>
  <si>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</si>
  <si>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</si>
  <si>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</si>
  <si>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</si>
  <si>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</si>
  <si>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</si>
  <si>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</si>
  <si>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</si>
  <si>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</si>
  <si>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</si>
  <si>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</si>
  <si>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</si>
  <si>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</si>
  <si>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</si>
  <si>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</si>
  <si>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</si>
  <si>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</si>
  <si>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</si>
  <si>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</si>
  <si>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</si>
  <si>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</si>
  <si>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</si>
  <si>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</si>
  <si>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</si>
  <si>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</si>
  <si>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</si>
  <si>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</si>
  <si>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</si>
  <si>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Gatesville Cem #9</t>
  </si>
  <si>
    <t>Clay</t>
  </si>
  <si>
    <t>Sale of Lots</t>
  </si>
  <si>
    <t>Mowing</t>
  </si>
  <si>
    <t>Stamps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</si>
</sst>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Gatesville Cem #9</v>
      </c>
      <c r="B1" s="18"/>
      <c r="C1" s="18"/>
      <c r="D1" s="18"/>
      <c r="E1" s="18"/>
      <c r="F1" s="18"/>
      <c r="G1" s="18"/>
      <c r="H1" s="18"/>
      <c r="I1" s="18"/>
      <c r="J1" s="18"/>
      <c r="K1" s="192">
        <f>inputPrYr!D6</f>
        <v>2014</v>
      </c>
    </row>
    <row r="2" spans="1:11" ht="15.75">
      <c r="A2" s="18" t="str">
        <f>inputPrYr!$D$4</f>
        <v>Clay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2013</v>
      </c>
      <c r="I7" s="200"/>
      <c r="J7" s="199">
        <f>K1</f>
        <v>2014</v>
      </c>
      <c r="K7" s="200"/>
    </row>
    <row r="8" spans="1:11" s="195" customFormat="1" ht="15.75">
      <c r="A8" s="201" t="s">
        <v>66</v>
      </c>
      <c r="B8" s="117" t="s">
        <v>67</v>
      </c>
      <c r="C8" s="117" t="s">
        <v>43</v>
      </c>
      <c r="D8" s="117" t="s">
        <v>68</v>
      </c>
      <c r="E8" s="202" t="str">
        <f>CONCATENATE("Jan 1,",K1-1,"")</f>
        <v>Jan 1,2013</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1,2013</v>
      </c>
      <c r="G28" s="117">
        <f>K1-1</f>
        <v>2013</v>
      </c>
      <c r="H28" s="117">
        <f>K1</f>
        <v>2014</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H25" sqref="H25"/>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Gatesville Cem #9</v>
      </c>
      <c r="C1" s="241"/>
      <c r="D1" s="18"/>
      <c r="E1" s="192"/>
    </row>
    <row r="2" spans="2:5" ht="15.75">
      <c r="B2" s="18" t="str">
        <f>inputPrYr!D4</f>
        <v>Clay</v>
      </c>
      <c r="C2" s="241"/>
      <c r="D2" s="18"/>
      <c r="E2" s="145"/>
    </row>
    <row r="3" spans="2:6" ht="15.75">
      <c r="B3" s="555" t="s">
        <v>84</v>
      </c>
      <c r="C3" s="241"/>
      <c r="D3" s="18"/>
      <c r="E3" s="242"/>
      <c r="F3" s="192">
        <f>inputPrYr!$D$6</f>
        <v>2014</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2012</v>
      </c>
      <c r="D6" s="403" t="str">
        <f>CONCATENATE("Estimate ",F3-1,"")</f>
        <v>Estimate 2013</v>
      </c>
      <c r="E6" s="244" t="str">
        <f>CONCATENATE("Year ",F3,"")</f>
        <v>Year 2014</v>
      </c>
    </row>
    <row r="7" spans="2:5" ht="15.75">
      <c r="B7" s="122" t="s">
        <v>128</v>
      </c>
      <c r="C7" s="397">
        <v>3006</v>
      </c>
      <c r="D7" s="404">
        <f>C51</f>
        <v>2813.26</v>
      </c>
      <c r="E7" s="47">
        <f>D51</f>
        <v>1527.2600000000002</v>
      </c>
    </row>
    <row r="8" spans="2:5" ht="15.75">
      <c r="B8" s="246" t="s">
        <v>130</v>
      </c>
      <c r="C8" s="247"/>
      <c r="D8" s="247"/>
      <c r="E8" s="128"/>
    </row>
    <row r="9" spans="2:5" ht="15.75">
      <c r="B9" s="122" t="s">
        <v>33</v>
      </c>
      <c r="C9" s="397">
        <v>309.91</v>
      </c>
      <c r="D9" s="404">
        <f>inputPrYr!E19</f>
        <v>959</v>
      </c>
      <c r="E9" s="135" t="s">
        <v>28</v>
      </c>
    </row>
    <row r="10" spans="2:5" ht="15.75">
      <c r="B10" s="122" t="s">
        <v>34</v>
      </c>
      <c r="C10" s="397"/>
      <c r="D10" s="397"/>
      <c r="E10" s="209"/>
    </row>
    <row r="11" spans="2:5" ht="15.75">
      <c r="B11" s="122" t="s">
        <v>35</v>
      </c>
      <c r="C11" s="397">
        <v>119.93</v>
      </c>
      <c r="D11" s="397">
        <v>37</v>
      </c>
      <c r="E11" s="47">
        <f>mvalloc!D11</f>
        <v>161.04</v>
      </c>
    </row>
    <row r="12" spans="2:5" ht="15.75">
      <c r="B12" s="122" t="s">
        <v>36</v>
      </c>
      <c r="C12" s="397">
        <v>0</v>
      </c>
      <c r="D12" s="397">
        <v>1</v>
      </c>
      <c r="E12" s="47">
        <f>mvalloc!E11</f>
        <v>1.86</v>
      </c>
    </row>
    <row r="13" spans="2:5" ht="15.75">
      <c r="B13" s="247" t="s">
        <v>112</v>
      </c>
      <c r="C13" s="397">
        <v>16.42</v>
      </c>
      <c r="D13" s="397">
        <v>17</v>
      </c>
      <c r="E13" s="47">
        <f>mvalloc!F11</f>
        <v>5.71</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746</v>
      </c>
      <c r="C17" s="397">
        <v>90</v>
      </c>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536.26</v>
      </c>
      <c r="D28" s="399">
        <f>SUM(D9:D26)</f>
        <v>1014</v>
      </c>
      <c r="E28" s="254">
        <f>SUM(E9:E26)</f>
        <v>168.61</v>
      </c>
    </row>
    <row r="29" spans="2:5" ht="15.75">
      <c r="B29" s="253" t="s">
        <v>40</v>
      </c>
      <c r="C29" s="399">
        <f>C7+C28</f>
        <v>3542.26</v>
      </c>
      <c r="D29" s="399">
        <f>D7+D28</f>
        <v>3827.26</v>
      </c>
      <c r="E29" s="254">
        <f>E7+E28</f>
        <v>1695.8700000000003</v>
      </c>
    </row>
    <row r="30" spans="2:5" ht="15.75">
      <c r="B30" s="122" t="s">
        <v>41</v>
      </c>
      <c r="C30" s="126"/>
      <c r="D30" s="126"/>
      <c r="E30" s="38"/>
    </row>
    <row r="31" spans="2:5" ht="15.75">
      <c r="B31" s="248" t="s">
        <v>747</v>
      </c>
      <c r="C31" s="397">
        <v>720</v>
      </c>
      <c r="D31" s="397">
        <v>2300</v>
      </c>
      <c r="E31" s="209">
        <v>2300</v>
      </c>
    </row>
    <row r="32" spans="2:5" ht="15.75">
      <c r="B32" s="248" t="s">
        <v>748</v>
      </c>
      <c r="C32" s="397">
        <v>9</v>
      </c>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2015</v>
      </c>
      <c r="H43" s="642"/>
      <c r="I43" s="642"/>
      <c r="J43" s="643"/>
    </row>
    <row r="44" spans="2:10" ht="15.75">
      <c r="B44" s="248"/>
      <c r="C44" s="397"/>
      <c r="D44" s="397"/>
      <c r="E44" s="209"/>
      <c r="G44" s="560"/>
      <c r="H44" s="545"/>
      <c r="I44" s="545"/>
      <c r="J44" s="544"/>
    </row>
    <row r="45" spans="2:10" ht="15.75">
      <c r="B45" s="248"/>
      <c r="C45" s="397"/>
      <c r="D45" s="397"/>
      <c r="E45" s="209"/>
      <c r="G45" s="554">
        <f>D51</f>
        <v>1527.2600000000002</v>
      </c>
      <c r="H45" s="553" t="str">
        <f>CONCATENATE("",F3-1," Ending Cash Balance (est.)")</f>
        <v>2013 Ending Cash Balance (est.)</v>
      </c>
      <c r="I45" s="543"/>
      <c r="J45" s="544"/>
    </row>
    <row r="46" spans="2:10" ht="15.75">
      <c r="B46" s="248"/>
      <c r="C46" s="397"/>
      <c r="D46" s="397"/>
      <c r="E46" s="209"/>
      <c r="G46" s="554">
        <f>E28</f>
        <v>168.61</v>
      </c>
      <c r="H46" s="543" t="str">
        <f>CONCATENATE("",F3," Non-AV Receipts (est.)")</f>
        <v>2014 Non-AV Receipts (est.)</v>
      </c>
      <c r="I46" s="543"/>
      <c r="J46" s="544"/>
    </row>
    <row r="47" spans="2:10" ht="15.75">
      <c r="B47" s="126" t="s">
        <v>229</v>
      </c>
      <c r="C47" s="397"/>
      <c r="D47" s="397"/>
      <c r="E47" s="214">
        <f>Nhood!E7</f>
      </c>
      <c r="G47" s="542">
        <f>E57</f>
        <v>604.1299999999997</v>
      </c>
      <c r="H47" s="543" t="str">
        <f>CONCATENATE("",F3," Ad Valorem Tax (est.)")</f>
        <v>2014 Ad Valorem Tax (est.)</v>
      </c>
      <c r="I47" s="543"/>
      <c r="J47" s="544"/>
    </row>
    <row r="48" spans="2:10" ht="15.75">
      <c r="B48" s="126" t="s">
        <v>228</v>
      </c>
      <c r="C48" s="397"/>
      <c r="D48" s="397"/>
      <c r="E48" s="37"/>
      <c r="G48" s="554">
        <f>SUM(G45:G47)</f>
        <v>2300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729</v>
      </c>
      <c r="D50" s="399">
        <f>SUM(D31:D48)</f>
        <v>2300</v>
      </c>
      <c r="E50" s="254">
        <f>SUM(E31:E48)</f>
        <v>2300</v>
      </c>
      <c r="G50" s="542">
        <f>C50*0.05+C50</f>
        <v>765.45</v>
      </c>
      <c r="H50" s="543" t="str">
        <f>CONCATENATE("Less ",F3-2," Expenditures + 5%")</f>
        <v>Less 2012 Expenditures + 5%</v>
      </c>
      <c r="I50" s="543"/>
      <c r="J50" s="544"/>
    </row>
    <row r="51" spans="2:10" ht="15.75">
      <c r="B51" s="122" t="s">
        <v>129</v>
      </c>
      <c r="C51" s="400">
        <f>C29-C50</f>
        <v>2813.26</v>
      </c>
      <c r="D51" s="400">
        <f>D29-D50</f>
        <v>1527.2600000000002</v>
      </c>
      <c r="E51" s="135" t="s">
        <v>28</v>
      </c>
      <c r="G51" s="540">
        <f>G48-G50</f>
        <v>1534.55</v>
      </c>
      <c r="H51" s="539" t="str">
        <f>CONCATENATE("Projected ",F3+1," Carryover (est.)")</f>
        <v>Projected 2015 Carryover (est.)</v>
      </c>
      <c r="I51" s="525"/>
      <c r="J51" s="538"/>
    </row>
    <row r="52" spans="2:10" ht="15.75">
      <c r="B52" s="145" t="str">
        <f>CONCATENATE("",F3-2,"/",F3-1," Budget Authority Amount:")</f>
        <v>2012/2013 Budget Authority Amount:</v>
      </c>
      <c r="C52" s="123">
        <f>inputOth!B42</f>
        <v>2200</v>
      </c>
      <c r="D52" s="425">
        <f>inputPrYr!D19</f>
        <v>2300</v>
      </c>
      <c r="E52" s="135" t="s">
        <v>28</v>
      </c>
      <c r="F52" s="255"/>
      <c r="G52" s="16"/>
      <c r="H52" s="16"/>
      <c r="I52" s="16"/>
      <c r="J52" s="16"/>
    </row>
    <row r="53" spans="2:10" ht="15.75">
      <c r="B53" s="145"/>
      <c r="C53" s="637" t="s">
        <v>684</v>
      </c>
      <c r="D53" s="638"/>
      <c r="E53" s="37"/>
      <c r="F53" s="255">
        <f>IF(E50/0.95-E50&lt;E53,"Exceeds 5%","")</f>
      </c>
      <c r="G53" s="537">
        <f>IF(inputOth!E7=0,"",ROUND(gen!E57/inputOth!E7*1000,3))</f>
        <v>1.084</v>
      </c>
      <c r="H53" s="536" t="str">
        <f>CONCATENATE("Projected ",F3-1," Mill Rate (est.)")</f>
        <v>Projected 2013 Mill Rate (est.)</v>
      </c>
      <c r="I53" s="535"/>
      <c r="J53" s="534"/>
    </row>
    <row r="54" spans="2:10" ht="15.75">
      <c r="B54" s="423" t="str">
        <f>CONCATENATE(C70,"     ",D70)</f>
        <v>     </v>
      </c>
      <c r="C54" s="639" t="s">
        <v>685</v>
      </c>
      <c r="D54" s="640"/>
      <c r="E54" s="47">
        <f>E50+E53</f>
        <v>2300</v>
      </c>
      <c r="G54" s="533"/>
      <c r="H54" s="533"/>
      <c r="I54" s="533"/>
      <c r="J54" s="533"/>
    </row>
    <row r="55" spans="2:10" ht="15.75">
      <c r="B55" s="423" t="str">
        <f>CONCATENATE(C71,"     ",D71)</f>
        <v>     </v>
      </c>
      <c r="C55" s="559"/>
      <c r="D55" s="558" t="s">
        <v>686</v>
      </c>
      <c r="E55" s="44">
        <f>IF(E54-E29&gt;0,E54-E29,0)</f>
        <v>604.1299999999997</v>
      </c>
      <c r="G55" s="641" t="str">
        <f>CONCATENATE("Desired Carryover Into ",F3+1,"")</f>
        <v>Desired Carryover Into 2015</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2013 Ad Valorem Tax</v>
      </c>
      <c r="D57" s="636"/>
      <c r="E57" s="44">
        <f>E55+E56</f>
        <v>604.1299999999997</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2014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Gatesville Cem #9</v>
      </c>
      <c r="C1" s="18"/>
      <c r="D1" s="18"/>
      <c r="E1" s="257">
        <f>inputPrYr!$D$6</f>
        <v>2014</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2012</v>
      </c>
      <c r="D6" s="409" t="str">
        <f>CONCATENATE("Estimate ",E1-1,"")</f>
        <v>Estimate 2013</v>
      </c>
      <c r="E6" s="180" t="str">
        <f>CONCATENATE("Year ",E1,"")</f>
        <v>Year 2014</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2015</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2013 Ending Cash Balance (est.)</v>
      </c>
      <c r="I54" s="544"/>
    </row>
    <row r="55" spans="2:9" ht="15.75">
      <c r="B55" s="116" t="s">
        <v>129</v>
      </c>
      <c r="C55" s="405">
        <f>C31-C54</f>
        <v>0</v>
      </c>
      <c r="D55" s="405">
        <f>D31-D54</f>
        <v>0</v>
      </c>
      <c r="E55" s="263" t="s">
        <v>28</v>
      </c>
      <c r="G55" s="554">
        <f>E30</f>
        <v>0</v>
      </c>
      <c r="H55" s="565" t="str">
        <f>CONCATENATE("",E1," Non-AV Receipts (est.)")</f>
        <v>2014 Non-AV Receipts (est.)</v>
      </c>
      <c r="I55" s="544"/>
    </row>
    <row r="56" spans="2:9" ht="15.75">
      <c r="B56" s="145" t="str">
        <f>CONCATENATE("",E1-2,"/",E1-1," Budget Authority Amount:")</f>
        <v>2012/2013 Budget Authority Amount:</v>
      </c>
      <c r="C56" s="123">
        <f>inputOth!B43</f>
        <v>0</v>
      </c>
      <c r="D56" s="425">
        <f>inputPrYr!D20</f>
        <v>0</v>
      </c>
      <c r="E56" s="263" t="s">
        <v>28</v>
      </c>
      <c r="F56" s="273"/>
      <c r="G56" s="542">
        <f>E61</f>
        <v>0</v>
      </c>
      <c r="H56" s="565" t="str">
        <f>CONCATENATE("",E1," Ad Valorem Tax (est.)")</f>
        <v>2014 Ad Valorem Tax (est.)</v>
      </c>
      <c r="I56" s="544"/>
    </row>
    <row r="57" spans="2:9" ht="15.75">
      <c r="B57" s="145"/>
      <c r="C57" s="637" t="s">
        <v>684</v>
      </c>
      <c r="D57" s="638"/>
      <c r="E57" s="37"/>
      <c r="F57" s="273">
        <f>IF(E54/0.95-E54&lt;E57,"Exceeds 5%","")</f>
      </c>
      <c r="G57" s="554">
        <f>SUM(G54:G56)</f>
        <v>0</v>
      </c>
      <c r="H57" s="565" t="str">
        <f>CONCATENATE("Total ",E1," Resources Available")</f>
        <v>Total 2014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2012 Expenditures</v>
      </c>
      <c r="I59" s="544"/>
    </row>
    <row r="60" spans="2:9" ht="15.75">
      <c r="B60" s="165"/>
      <c r="C60" s="556" t="s">
        <v>687</v>
      </c>
      <c r="D60" s="557">
        <f>inputOth!$E$36</f>
        <v>0</v>
      </c>
      <c r="E60" s="47">
        <f>ROUND(IF(D60&gt;0,(E59*D60),0),0)</f>
        <v>0</v>
      </c>
      <c r="G60" s="587">
        <f>G57-G59</f>
        <v>0</v>
      </c>
      <c r="H60" s="566" t="str">
        <f>CONCATENATE("Projected ",E1+1," carryover (est.)")</f>
        <v>Projected 2015 carryover (est.)</v>
      </c>
      <c r="I60" s="538"/>
    </row>
    <row r="61" spans="2:5" ht="15.75">
      <c r="B61" s="18"/>
      <c r="C61" s="635" t="str">
        <f>CONCATENATE("Amount of  ",$E$1-1," Ad Valorem Tax")</f>
        <v>Amount of  2013 Ad Valorem Tax</v>
      </c>
      <c r="D61" s="636"/>
      <c r="E61" s="44">
        <f>E59+E60</f>
        <v>0</v>
      </c>
    </row>
    <row r="62" spans="2:9" ht="15.75">
      <c r="B62" s="165"/>
      <c r="C62" s="18"/>
      <c r="D62" s="18"/>
      <c r="E62" s="18"/>
      <c r="G62" s="588">
        <f>IF(inputOth!E7&gt;0,ROUND(DebtService!E61/inputOth!E7*1000,3),0)</f>
        <v>0</v>
      </c>
      <c r="H62" s="589" t="str">
        <f>CONCATENATE("",E1," Mill Rate")</f>
        <v>2014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Gatesville Cem #9</v>
      </c>
      <c r="C1" s="18"/>
      <c r="D1" s="18"/>
      <c r="E1" s="192"/>
    </row>
    <row r="2" spans="2:5" ht="15.75">
      <c r="B2" s="18" t="str">
        <f>inputPrYr!D4</f>
        <v>Clay</v>
      </c>
      <c r="C2" s="18"/>
      <c r="D2" s="18"/>
      <c r="E2" s="145"/>
    </row>
    <row r="3" spans="2:6" ht="15.75">
      <c r="B3" s="27" t="s">
        <v>84</v>
      </c>
      <c r="C3" s="241"/>
      <c r="D3" s="241"/>
      <c r="E3" s="242"/>
      <c r="F3" s="98">
        <f>inputPrYr!D6</f>
        <v>2014</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2012</v>
      </c>
      <c r="D6" s="403" t="str">
        <f>CONCATENATE("Estimate ",F3-1,"")</f>
        <v>Estimate 2013</v>
      </c>
      <c r="E6" s="244" t="str">
        <f>CONCATENATE("Year ",F3,"")</f>
        <v>Year 2014</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2012/2013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2013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2012</v>
      </c>
      <c r="D44" s="403" t="str">
        <f>D6</f>
        <v>Estimate 2013</v>
      </c>
      <c r="E44" s="244" t="str">
        <f>E6</f>
        <v>Year 2014</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2012/2013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2013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Gatesville Cem #9</v>
      </c>
      <c r="C1" s="241"/>
      <c r="D1" s="18"/>
      <c r="E1" s="192"/>
    </row>
    <row r="2" spans="2:5" ht="15.75">
      <c r="B2" s="18" t="str">
        <f>inputPrYr!D4</f>
        <v>Clay</v>
      </c>
      <c r="C2" s="241"/>
      <c r="D2" s="18"/>
      <c r="E2" s="145"/>
    </row>
    <row r="3" spans="2:6" ht="15.75">
      <c r="B3" s="27" t="s">
        <v>85</v>
      </c>
      <c r="C3" s="241"/>
      <c r="D3" s="241"/>
      <c r="E3" s="242"/>
      <c r="F3" s="98">
        <f>inputPrYr!$D$6</f>
        <v>2014</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2012</v>
      </c>
      <c r="D6" s="244" t="str">
        <f>CONCATENATE("Estimate ",F3-1,"")</f>
        <v>Estimate 2013</v>
      </c>
      <c r="E6" s="244" t="str">
        <f>CONCATENATE("Year ",F3,"")</f>
        <v>Year 2014</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2012/2013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2012</v>
      </c>
      <c r="D39" s="244" t="str">
        <f>D6</f>
        <v>Estimate 2013</v>
      </c>
      <c r="E39" s="244" t="str">
        <f>E6</f>
        <v>Year 2014</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Gatesville Cem #9</v>
      </c>
      <c r="B1" s="277"/>
      <c r="C1" s="62"/>
      <c r="D1" s="62"/>
      <c r="E1" s="62"/>
      <c r="F1" s="278" t="s">
        <v>242</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7"/>
    </row>
    <row r="2" spans="1:8" ht="15.75">
      <c r="A2" s="18"/>
      <c r="B2" s="18"/>
      <c r="C2" s="18"/>
      <c r="D2" s="18"/>
      <c r="E2" s="18"/>
      <c r="F2" s="18"/>
      <c r="G2" s="18"/>
      <c r="H2" s="18"/>
    </row>
    <row r="3" spans="1:9" ht="15.75">
      <c r="A3" s="629" t="s">
        <v>113</v>
      </c>
      <c r="B3" s="629"/>
      <c r="C3" s="629"/>
      <c r="D3" s="629"/>
      <c r="E3" s="629"/>
      <c r="F3" s="629"/>
      <c r="G3" s="629"/>
      <c r="H3" s="629"/>
      <c r="I3" s="54">
        <f>inputPrYr!D6</f>
        <v>2014</v>
      </c>
    </row>
    <row r="4" spans="1:8" ht="15.75">
      <c r="A4" s="598" t="str">
        <f>inputPrYr!D3</f>
        <v>Gatesville Cem #9</v>
      </c>
      <c r="B4" s="598"/>
      <c r="C4" s="598"/>
      <c r="D4" s="598"/>
      <c r="E4" s="598"/>
      <c r="F4" s="598"/>
      <c r="G4" s="598"/>
      <c r="H4" s="598"/>
    </row>
    <row r="5" spans="1:8" ht="15.75">
      <c r="A5" s="660" t="str">
        <f>inputPrYr!D4</f>
        <v>Clay</v>
      </c>
      <c r="B5" s="660"/>
      <c r="C5" s="660"/>
      <c r="D5" s="660"/>
      <c r="E5" s="660"/>
      <c r="F5" s="660"/>
      <c r="G5" s="660"/>
      <c r="H5" s="660"/>
    </row>
    <row r="6" spans="1:8" ht="15.75">
      <c r="A6" s="661" t="str">
        <f>CONCATENATE("will meet on ",inputBudSum!B5," at ",inputBudSum!B7," at ",inputBudSum!B9," for the purpose of hearing and")</f>
        <v>will meet on  at  at  for the purpose of hearing and</v>
      </c>
      <c r="B6" s="661"/>
      <c r="C6" s="661"/>
      <c r="D6" s="661"/>
      <c r="E6" s="661"/>
      <c r="F6" s="661"/>
      <c r="G6" s="661"/>
      <c r="H6" s="661"/>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2014</v>
      </c>
      <c r="K12" s="651"/>
      <c r="L12" s="651"/>
      <c r="M12" s="652"/>
    </row>
    <row r="13" spans="1:13"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c r="J13" s="567"/>
      <c r="K13" s="568"/>
      <c r="L13" s="568"/>
      <c r="M13" s="569"/>
    </row>
    <row r="14" spans="1:13" ht="15.75">
      <c r="A14" s="230"/>
      <c r="B14" s="108"/>
      <c r="C14" s="316" t="s">
        <v>51</v>
      </c>
      <c r="D14" s="108"/>
      <c r="E14" s="316" t="s">
        <v>51</v>
      </c>
      <c r="F14" s="230" t="s">
        <v>222</v>
      </c>
      <c r="G14" s="658" t="str">
        <f>CONCATENATE("Amount of ",I3-1," Ad Valorem Tax")</f>
        <v>Amount of 2013 Ad Valorem Tax</v>
      </c>
      <c r="H14" s="316" t="s">
        <v>585</v>
      </c>
      <c r="J14" s="570" t="s">
        <v>692</v>
      </c>
      <c r="K14" s="571"/>
      <c r="L14" s="571"/>
      <c r="M14" s="572">
        <f>ROUND(F27/1000,0)</f>
        <v>557</v>
      </c>
    </row>
    <row r="15" spans="1:13" ht="15.75">
      <c r="A15" s="179" t="s">
        <v>52</v>
      </c>
      <c r="B15" s="117" t="s">
        <v>53</v>
      </c>
      <c r="C15" s="317" t="s">
        <v>203</v>
      </c>
      <c r="D15" s="117" t="s">
        <v>53</v>
      </c>
      <c r="E15" s="317" t="s">
        <v>203</v>
      </c>
      <c r="F15" s="117" t="s">
        <v>580</v>
      </c>
      <c r="G15" s="659"/>
      <c r="H15" s="317" t="s">
        <v>203</v>
      </c>
      <c r="J15" s="16"/>
      <c r="K15" s="16"/>
      <c r="L15" s="16"/>
      <c r="M15" s="16"/>
    </row>
    <row r="16" spans="1:13" ht="15.75">
      <c r="A16" s="38" t="str">
        <f>inputPrYr!B19</f>
        <v>General</v>
      </c>
      <c r="B16" s="128">
        <f>IF(gen!$C$50&lt;&gt;0,gen!$C$50,"  ")</f>
        <v>729</v>
      </c>
      <c r="C16" s="125">
        <f>IF(inputPrYr!D38&gt;0,inputPrYr!D38,"  ")</f>
        <v>0.649</v>
      </c>
      <c r="D16" s="128">
        <f>IF(gen!$D$50&lt;&gt;0,gen!$D$50,"  ")</f>
        <v>2300</v>
      </c>
      <c r="E16" s="125">
        <f>IF(inputOth!D16&gt;0,inputOth!D16,"  ")</f>
        <v>1.896</v>
      </c>
      <c r="F16" s="128">
        <f>IF(gen!$E$50&lt;&gt;0,gen!$E$50,"  ")</f>
        <v>2300</v>
      </c>
      <c r="G16" s="128">
        <f>IF(gen!$E$57&lt;&gt;0,gen!$E$57,"  ")</f>
        <v>604.1299999999997</v>
      </c>
      <c r="H16" s="125">
        <f>IF(gen!E57&gt;0,ROUND(G16/$F$27*1000,3)," ")</f>
        <v>1.084</v>
      </c>
      <c r="J16" s="650" t="str">
        <f>CONCATENATE("Want The Mill Rate The Same As For ",I3-1,"?")</f>
        <v>Want The Mill Rate The Same As For 2013?</v>
      </c>
      <c r="K16" s="653"/>
      <c r="L16" s="653"/>
      <c r="M16" s="654"/>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2013 Mill Rate Was:</v>
      </c>
      <c r="K18" s="568"/>
      <c r="L18" s="568"/>
      <c r="M18" s="575">
        <f>E23</f>
        <v>1.896</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2014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452.87000000000035</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729</v>
      </c>
      <c r="C23" s="549">
        <f aca="true" t="shared" si="0" ref="C23:H23">SUM(C16:C21)</f>
        <v>0.649</v>
      </c>
      <c r="D23" s="321">
        <f t="shared" si="0"/>
        <v>2300</v>
      </c>
      <c r="E23" s="549">
        <f t="shared" si="0"/>
        <v>1.896</v>
      </c>
      <c r="F23" s="321">
        <f t="shared" si="0"/>
        <v>2300</v>
      </c>
      <c r="G23" s="321">
        <f t="shared" si="0"/>
        <v>604.1299999999997</v>
      </c>
      <c r="H23" s="549">
        <f t="shared" si="0"/>
        <v>1.084</v>
      </c>
      <c r="J23" s="650" t="str">
        <f>CONCATENATE("Impact On Keeping The Same Mill Rate As For ",I3-1,"")</f>
        <v>Impact On Keeping The Same Mill Rate As For 2013</v>
      </c>
      <c r="K23" s="655"/>
      <c r="L23" s="655"/>
      <c r="M23" s="656"/>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729</v>
      </c>
      <c r="C25" s="320"/>
      <c r="D25" s="136">
        <f>SUM(D23-D24)</f>
        <v>2300</v>
      </c>
      <c r="E25" s="320"/>
      <c r="F25" s="546">
        <f>SUM(F23-F24)</f>
        <v>2300</v>
      </c>
      <c r="G25" s="260"/>
      <c r="H25" s="319"/>
      <c r="J25" s="573" t="str">
        <f>CONCATENATE("",I3," Ad Valorem Tax Revenue:")</f>
        <v>2014 Ad Valorem Tax Revenue:</v>
      </c>
      <c r="K25" s="568"/>
      <c r="L25" s="568"/>
      <c r="M25" s="569">
        <f>G23</f>
        <v>604.1299999999997</v>
      </c>
    </row>
    <row r="26" spans="1:13" ht="16.5" thickTop="1">
      <c r="A26" s="35" t="s">
        <v>54</v>
      </c>
      <c r="B26" s="321">
        <f>inputPrYr!E44</f>
        <v>322</v>
      </c>
      <c r="C26" s="230"/>
      <c r="D26" s="321">
        <f>inputPrYr!E24</f>
        <v>959</v>
      </c>
      <c r="E26" s="230"/>
      <c r="F26" s="322" t="s">
        <v>179</v>
      </c>
      <c r="G26" s="18"/>
      <c r="H26" s="18"/>
      <c r="J26" s="573" t="str">
        <f>CONCATENATE("",I3-1," Ad Valorem Tax Revenue:")</f>
        <v>2013 Ad Valorem Tax Revenue:</v>
      </c>
      <c r="K26" s="568"/>
      <c r="L26" s="568"/>
      <c r="M26" s="582">
        <f>ROUND(F27*M18/1000,0)</f>
        <v>1057</v>
      </c>
    </row>
    <row r="27" spans="1:13" ht="15.75">
      <c r="A27" s="35" t="s">
        <v>175</v>
      </c>
      <c r="B27" s="214">
        <f>inputPrYr!E45</f>
        <v>496058</v>
      </c>
      <c r="C27" s="230"/>
      <c r="D27" s="214">
        <f>inputOth!E24</f>
        <v>505709</v>
      </c>
      <c r="E27" s="230"/>
      <c r="F27" s="214">
        <f>inputOth!E7</f>
        <v>557291</v>
      </c>
      <c r="G27" s="18"/>
      <c r="H27" s="18"/>
      <c r="J27" s="583" t="s">
        <v>693</v>
      </c>
      <c r="K27" s="584"/>
      <c r="L27" s="584"/>
      <c r="M27" s="572">
        <f>M25-M26</f>
        <v>-452.87000000000035</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0" t="s">
        <v>694</v>
      </c>
      <c r="K29" s="653"/>
      <c r="L29" s="653"/>
      <c r="M29" s="654"/>
    </row>
    <row r="30" spans="1:13" ht="15.75">
      <c r="A30" s="17" t="s">
        <v>172</v>
      </c>
      <c r="B30" s="101">
        <f>I3-3</f>
        <v>2011</v>
      </c>
      <c r="C30" s="18"/>
      <c r="D30" s="101">
        <f>I3-2</f>
        <v>2012</v>
      </c>
      <c r="E30" s="18"/>
      <c r="F30" s="101">
        <f>I3-1</f>
        <v>2013</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2014 Estimated Mill Rate:</v>
      </c>
      <c r="K31" s="568"/>
      <c r="L31" s="568"/>
      <c r="M31" s="575">
        <f>H23</f>
        <v>1.084</v>
      </c>
    </row>
    <row r="32" spans="1:13" ht="15.75">
      <c r="A32" s="18" t="s">
        <v>57</v>
      </c>
      <c r="B32" s="323">
        <f>inputPrYr!D49</f>
        <v>0</v>
      </c>
      <c r="C32" s="18"/>
      <c r="D32" s="323">
        <f>inputPrYr!E49</f>
        <v>0</v>
      </c>
      <c r="E32" s="18"/>
      <c r="F32" s="323">
        <f>debt!E16</f>
        <v>0</v>
      </c>
      <c r="G32" s="18"/>
      <c r="H32" s="54"/>
      <c r="J32" s="573" t="str">
        <f>CONCATENATE("Desired ",I3," Mill Rate:")</f>
        <v>Desired 2014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2014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2014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Gatesville Cem #9</v>
      </c>
      <c r="B1" s="54"/>
      <c r="C1" s="54"/>
      <c r="D1" s="54"/>
      <c r="E1" s="54"/>
      <c r="F1" s="54">
        <f>inputPrYr!D6</f>
        <v>2014</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2014 Neighborhood Revitalization Rebate</v>
      </c>
      <c r="C4" s="664"/>
      <c r="D4" s="664"/>
      <c r="E4" s="657"/>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2013 July 1 Valuation:</v>
      </c>
      <c r="B16" s="663"/>
      <c r="C16" s="665"/>
      <c r="D16" s="334">
        <f>inputOth!E7</f>
        <v>557291</v>
      </c>
      <c r="E16" s="18"/>
      <c r="F16" s="54"/>
    </row>
    <row r="17" spans="1:6" ht="15.75">
      <c r="A17" s="18"/>
      <c r="B17" s="18"/>
      <c r="C17" s="18"/>
      <c r="D17" s="18"/>
      <c r="E17" s="18"/>
      <c r="F17" s="54"/>
    </row>
    <row r="18" spans="1:6" ht="15.75">
      <c r="A18" s="18"/>
      <c r="B18" s="665" t="s">
        <v>329</v>
      </c>
      <c r="C18" s="665"/>
      <c r="D18" s="335">
        <f>IF(D16&gt;0,(D16*0.001),"")</f>
        <v>557.291</v>
      </c>
      <c r="E18" s="18"/>
      <c r="F18" s="54"/>
    </row>
    <row r="19" spans="1:6" ht="15.75">
      <c r="A19" s="18"/>
      <c r="B19" s="145"/>
      <c r="C19" s="145"/>
      <c r="D19" s="336"/>
      <c r="E19" s="18"/>
      <c r="F19" s="54"/>
    </row>
    <row r="20" spans="1:6" ht="15.75">
      <c r="A20" s="662" t="s">
        <v>327</v>
      </c>
      <c r="B20" s="657"/>
      <c r="C20" s="657"/>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Gatesville Cem #9 District with respect to financing the 2014 annual budget for Gatesville Cem #9 , Clay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2014 Gatesville Cem #9 district budget exceed the amount levied to finance the</v>
      </c>
      <c r="C9"/>
      <c r="D9"/>
      <c r="E9"/>
      <c r="F9"/>
      <c r="G9"/>
      <c r="H9"/>
    </row>
    <row r="10" spans="2:8" ht="15.75">
      <c r="B10" s="12" t="str">
        <f>CONCATENATE("",inputPrYr!D6-1," ",inputPrYr!D3," except with regard to revenue produced and attributable to the")</f>
        <v>2013 Gatesville Cem #9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Gatesville Cem #9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Gatesville Cem #9 that is our desire to notify the public of the possibility of increased property taxes to finance the 2014 Gatesville Cem #9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2013 by the Gatesville Cem #9 District Board, Clay,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Gatesville Cem #9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6">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2014</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2013 Budget, Certificate Page:</v>
      </c>
      <c r="B15" s="31"/>
      <c r="C15" s="18"/>
      <c r="D15" s="18"/>
      <c r="E15" s="18"/>
    </row>
    <row r="16" spans="1:5" ht="15.75">
      <c r="A16" s="30" t="s">
        <v>286</v>
      </c>
      <c r="B16" s="31"/>
      <c r="C16" s="18"/>
      <c r="D16" s="18"/>
      <c r="E16" s="18"/>
    </row>
    <row r="17" spans="1:5" ht="15.75">
      <c r="A17" s="18"/>
      <c r="B17" s="18"/>
      <c r="C17" s="32"/>
      <c r="D17" s="33">
        <f>D6-1</f>
        <v>2013</v>
      </c>
      <c r="E17" s="604" t="str">
        <f>CONCATENATE("Amount of ",D6-2,"     Ad Valorem Tax")</f>
        <v>Amount of 2012     Ad Valorem Tax</v>
      </c>
    </row>
    <row r="18" spans="1:5" ht="15.75">
      <c r="A18" s="17" t="s">
        <v>8</v>
      </c>
      <c r="B18" s="18"/>
      <c r="C18" s="32" t="s">
        <v>9</v>
      </c>
      <c r="D18" s="34" t="s">
        <v>287</v>
      </c>
      <c r="E18" s="605"/>
    </row>
    <row r="19" spans="1:5" ht="15.75">
      <c r="A19" s="18"/>
      <c r="B19" s="35" t="s">
        <v>10</v>
      </c>
      <c r="C19" s="436"/>
      <c r="D19" s="37">
        <v>2300</v>
      </c>
      <c r="E19" s="37">
        <v>959</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2013 Budgeted Year</v>
      </c>
      <c r="B24" s="42"/>
      <c r="C24" s="42"/>
      <c r="D24" s="43"/>
      <c r="E24" s="44">
        <f>SUM(E19:E20,E22:E23)</f>
        <v>959</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2300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2011 Tax Rate          (2012 Column)</v>
      </c>
      <c r="E36" s="39"/>
    </row>
    <row r="37" spans="1:5" ht="15.75">
      <c r="A37" s="30" t="str">
        <f>CONCATENATE("the ",D6-1," Budget, Budget Summary Page:")</f>
        <v>the 2013 Budget, Budget Summary Page:</v>
      </c>
      <c r="B37" s="31"/>
      <c r="C37" s="18"/>
      <c r="D37" s="595"/>
      <c r="E37" s="39"/>
    </row>
    <row r="38" spans="1:5" ht="15.75">
      <c r="A38" s="18"/>
      <c r="B38" s="38" t="str">
        <f>B19</f>
        <v>General</v>
      </c>
      <c r="C38" s="18"/>
      <c r="D38" s="49">
        <v>0.649</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0.649</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322</v>
      </c>
    </row>
    <row r="45" spans="1:5" ht="15.75">
      <c r="A45" s="51" t="str">
        <f>CONCATENATE("Assessed Valuation (",D6-2," budget column)")</f>
        <v>Assessed Valuation (2012 budget column)</v>
      </c>
      <c r="B45" s="29"/>
      <c r="C45" s="18"/>
      <c r="D45" s="18"/>
      <c r="E45" s="53">
        <v>496058</v>
      </c>
    </row>
    <row r="46" spans="1:5" ht="15.75">
      <c r="A46" s="18"/>
      <c r="B46" s="18"/>
      <c r="C46" s="18"/>
      <c r="D46" s="18"/>
      <c r="E46" s="39"/>
    </row>
    <row r="47" spans="1:5" ht="15.75">
      <c r="A47" s="29" t="s">
        <v>215</v>
      </c>
      <c r="B47" s="29"/>
      <c r="C47" s="54"/>
      <c r="D47" s="55">
        <f>D6-3</f>
        <v>2011</v>
      </c>
      <c r="E47" s="55">
        <f>D6-2</f>
        <v>2012</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2012 'total expenditures' exceed your 2012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2014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2012 budget was amended, did you</v>
      </c>
    </row>
    <row r="26" ht="15">
      <c r="A26" s="384" t="s">
        <v>359</v>
      </c>
    </row>
    <row r="27" ht="15">
      <c r="A27" s="384"/>
    </row>
    <row r="28" ht="15">
      <c r="A28" s="384" t="str">
        <f>CONCATENATE("Next, look to see if any of your ",inputPrYr!D6-2," expenditures can be")</f>
        <v>Next, look to see if any of your 2012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2012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2012 financial records have been closed?</v>
      </c>
    </row>
    <row r="63" ht="15">
      <c r="A63" s="384" t="s">
        <v>388</v>
      </c>
    </row>
    <row r="64" ht="15">
      <c r="A64" s="384" t="str">
        <f>CONCATENATE("(i.e. an audit for ",inputPrYr!D6-2," has been completed, or the ",inputPrYr!D6)</f>
        <v>(i.e. an audit for 2012 has been completed, or the 2014</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2012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2013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2014 'total expenditures' exceed your 2014</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29" sqref="E29"/>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Gatesville Cem #9</v>
      </c>
      <c r="B1" s="62"/>
      <c r="C1" s="62"/>
      <c r="D1" s="62"/>
      <c r="E1" s="62">
        <f>inputPrYr!D6</f>
        <v>2014</v>
      </c>
    </row>
    <row r="2" spans="1:5" ht="15.75">
      <c r="A2" s="62" t="str">
        <f>inputPrYr!D4</f>
        <v>Clay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557291</v>
      </c>
    </row>
    <row r="8" spans="1:5" ht="15.75">
      <c r="A8" s="68" t="str">
        <f>CONCATENATE("New Improvements for ",inputPrYr!D6-1,"")</f>
        <v>New Improvements for 2013</v>
      </c>
      <c r="B8" s="69"/>
      <c r="C8" s="69"/>
      <c r="D8" s="69"/>
      <c r="E8" s="70">
        <v>20497</v>
      </c>
    </row>
    <row r="9" spans="1:5" ht="15.75">
      <c r="A9" s="68" t="str">
        <f>CONCATENATE("Personal Property excluding oil, gas, and mobile homes- ",inputPrYr!D6-1,"")</f>
        <v>Personal Property excluding oil, gas, and mobile homes- 2013</v>
      </c>
      <c r="B9" s="69"/>
      <c r="C9" s="69"/>
      <c r="D9" s="69"/>
      <c r="E9" s="70">
        <v>12984</v>
      </c>
    </row>
    <row r="10" spans="1:5" ht="15.75">
      <c r="A10" s="68" t="str">
        <f>CONCATENATE("Property that has changed in use for ",inputPrYr!D6-1,"")</f>
        <v>Property that has changed in use for 2013</v>
      </c>
      <c r="B10" s="69"/>
      <c r="C10" s="69"/>
      <c r="D10" s="69"/>
      <c r="E10" s="70">
        <v>24982</v>
      </c>
    </row>
    <row r="11" spans="1:5" ht="15.75">
      <c r="A11" s="67" t="str">
        <f>CONCATENATE("Personal Property excluding oil, gas, and mobile homes- ",inputPrYr!D6-2,"")</f>
        <v>Personal Property excluding oil, gas, and mobile homes- 2012</v>
      </c>
      <c r="B11" s="42"/>
      <c r="C11" s="42"/>
      <c r="D11" s="42"/>
      <c r="E11" s="70">
        <v>9174</v>
      </c>
    </row>
    <row r="12" spans="1:5" ht="15.75">
      <c r="A12" s="68" t="str">
        <f>CONCATENATE("Neighborhood Revitalization - ",E1,"")</f>
        <v>Neighborhood Revitalization - 2014</v>
      </c>
      <c r="B12" s="69"/>
      <c r="C12" s="69"/>
      <c r="D12" s="69"/>
      <c r="E12" s="70">
        <v>0</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606" t="s">
        <v>26</v>
      </c>
      <c r="B15" s="601"/>
      <c r="C15" s="64"/>
      <c r="D15" s="75" t="s">
        <v>64</v>
      </c>
      <c r="E15" s="74"/>
    </row>
    <row r="16" spans="1:5" ht="15.75">
      <c r="A16" s="67" t="s">
        <v>10</v>
      </c>
      <c r="B16" s="42"/>
      <c r="C16" s="71"/>
      <c r="D16" s="76">
        <v>1.896</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1.896</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505709</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161.04</v>
      </c>
    </row>
    <row r="28" spans="1:5" ht="15.75">
      <c r="A28" s="68" t="s">
        <v>15</v>
      </c>
      <c r="B28" s="69"/>
      <c r="C28" s="69"/>
      <c r="D28" s="86"/>
      <c r="E28" s="37">
        <v>1.86</v>
      </c>
    </row>
    <row r="29" spans="1:5" ht="15.75">
      <c r="A29" s="68" t="s">
        <v>176</v>
      </c>
      <c r="B29" s="69"/>
      <c r="C29" s="69"/>
      <c r="D29" s="86"/>
      <c r="E29" s="37">
        <v>5.71</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2011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2012 Budget Certificate Page</v>
      </c>
      <c r="B39" s="608"/>
      <c r="C39" s="64"/>
      <c r="D39" s="64"/>
      <c r="E39" s="64"/>
    </row>
    <row r="40" spans="1:5" ht="15.75">
      <c r="A40" s="93"/>
      <c r="B40" s="93" t="str">
        <f>CONCATENATE("",E1-2," Expenditure Amounts")</f>
        <v>2012 Expenditure Amounts</v>
      </c>
      <c r="C40" s="609" t="str">
        <f>CONCATENATE("Note: If the ",E1-2," budget was amended, then the")</f>
        <v>Note: If the 2012 budget was amended, then the</v>
      </c>
      <c r="D40" s="610"/>
      <c r="E40" s="610"/>
    </row>
    <row r="41" spans="1:5" ht="15.75">
      <c r="A41" s="94" t="s">
        <v>221</v>
      </c>
      <c r="B41" s="94" t="s">
        <v>222</v>
      </c>
      <c r="C41" s="95" t="s">
        <v>223</v>
      </c>
      <c r="D41" s="96"/>
      <c r="E41" s="96"/>
    </row>
    <row r="42" spans="1:5" ht="15.75">
      <c r="A42" s="97" t="str">
        <f>inputPrYr!B19</f>
        <v>General</v>
      </c>
      <c r="B42" s="58">
        <v>2200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2014</v>
      </c>
    </row>
    <row r="4" spans="1:7" ht="15.75">
      <c r="A4" s="618" t="str">
        <f>CONCATENATE("To the Clerk of ",inputPrYr!D4,", State of Kansas")</f>
        <v>To the Clerk of Clay, State of Kansas</v>
      </c>
      <c r="B4" s="618"/>
      <c r="C4" s="618"/>
      <c r="D4" s="618"/>
      <c r="E4" s="618"/>
      <c r="F4" s="618"/>
      <c r="G4" s="618"/>
    </row>
    <row r="5" spans="1:7" ht="15.75">
      <c r="A5" s="100" t="s">
        <v>159</v>
      </c>
      <c r="B5" s="26"/>
      <c r="C5" s="26"/>
      <c r="D5" s="26"/>
      <c r="E5" s="26"/>
      <c r="F5" s="26"/>
      <c r="G5" s="26"/>
    </row>
    <row r="6" spans="1:7" ht="15.75">
      <c r="A6" s="598" t="str">
        <f>inputPrYr!D3</f>
        <v>Gatesville Cem #9</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2014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2013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2300</v>
      </c>
      <c r="F23" s="124">
        <f>IF(gen!$E$57&lt;&gt;0,gen!$E$57,"  ")</f>
        <v>604.1299999999997</v>
      </c>
      <c r="G23" s="125">
        <f>IF(AND(gen!E57=0,$G$32&gt;=0)," ",IF(AND(F23&gt;0,$G$32=0)," ",IF(AND(F23&gt;0,$G$32&gt;0),ROUND(F23/$G$32*1000,3))))</f>
        <v>1.085</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2300</v>
      </c>
      <c r="F30" s="415">
        <f>SUM(F23:F28)</f>
        <v>604.1299999999997</v>
      </c>
      <c r="G30" s="419">
        <f>IF(SUM(G23:G28)=0,"",SUM(G23:G28))</f>
        <v>1.085</v>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v>556804</v>
      </c>
    </row>
    <row r="33" spans="1:7" ht="15.75">
      <c r="A33" s="143" t="s">
        <v>204</v>
      </c>
      <c r="B33" s="69"/>
      <c r="C33" s="119"/>
      <c r="D33" s="138">
        <f>IF(Resolution!E45=0,"",Resolution!E45)</f>
      </c>
      <c r="E33" s="62"/>
      <c r="F33" s="71"/>
      <c r="G33" s="623" t="str">
        <f>CONCATENATE("Nov. 1, ",G3," Total Assessed Valuation")</f>
        <v>Nov. 1, 2014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2013</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Gatesville Cem #9</v>
      </c>
      <c r="D1" s="18"/>
      <c r="E1" s="18"/>
      <c r="F1" s="18"/>
      <c r="G1" s="18"/>
      <c r="H1" s="18"/>
      <c r="I1" s="18"/>
      <c r="J1" s="18">
        <f>inputPrYr!D6</f>
        <v>2014</v>
      </c>
    </row>
    <row r="2" spans="1:10" ht="15.75" customHeight="1">
      <c r="A2" s="18"/>
      <c r="B2" s="18"/>
      <c r="C2" s="18" t="str">
        <f>inputPrYr!D4</f>
        <v>Clay</v>
      </c>
      <c r="D2" s="18"/>
      <c r="E2" s="18"/>
      <c r="F2" s="18"/>
      <c r="G2" s="18"/>
      <c r="H2" s="18"/>
      <c r="I2" s="18"/>
      <c r="J2" s="18"/>
    </row>
    <row r="3" spans="1:10" ht="15.75">
      <c r="A3" s="600" t="str">
        <f>CONCATENATE("Computation to Determine Limit for ",J1,"")</f>
        <v>Computation to Determine Limit for 2014</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2013 Budget</v>
      </c>
      <c r="C5" s="18"/>
      <c r="D5" s="18"/>
      <c r="E5" s="39"/>
      <c r="F5" s="39"/>
      <c r="G5" s="39"/>
      <c r="H5" s="156" t="s">
        <v>95</v>
      </c>
      <c r="I5" s="39" t="s">
        <v>96</v>
      </c>
      <c r="J5" s="392">
        <f>inputPrYr!E24</f>
        <v>959</v>
      </c>
    </row>
    <row r="6" spans="1:10" ht="15.75">
      <c r="A6" s="155" t="s">
        <v>97</v>
      </c>
      <c r="B6" s="18" t="str">
        <f>CONCATENATE("Debt Service Levy in ",J1-1," Budget")</f>
        <v>Debt Service Levy in 2013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959</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2013:</v>
      </c>
      <c r="C11" s="18"/>
      <c r="D11" s="18"/>
      <c r="E11" s="156"/>
      <c r="F11" s="156" t="s">
        <v>95</v>
      </c>
      <c r="G11" s="158">
        <f>inputOth!E8</f>
        <v>20497</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2013:</v>
      </c>
      <c r="C13" s="18"/>
      <c r="D13" s="18"/>
      <c r="E13" s="156"/>
      <c r="F13" s="156"/>
      <c r="G13" s="159"/>
      <c r="H13" s="159"/>
      <c r="I13" s="39"/>
      <c r="J13" s="39"/>
    </row>
    <row r="14" spans="1:10" ht="15.75">
      <c r="A14" s="18"/>
      <c r="B14" s="18" t="s">
        <v>101</v>
      </c>
      <c r="C14" s="18" t="str">
        <f>CONCATENATE("Personal Property ",J1-1,"")</f>
        <v>Personal Property 2013</v>
      </c>
      <c r="D14" s="155" t="s">
        <v>95</v>
      </c>
      <c r="E14" s="158">
        <f>inputOth!E9</f>
        <v>12984</v>
      </c>
      <c r="F14" s="156"/>
      <c r="G14" s="39"/>
      <c r="H14" s="39"/>
      <c r="I14" s="159"/>
      <c r="J14" s="39"/>
    </row>
    <row r="15" spans="1:10" ht="15.75">
      <c r="A15" s="155"/>
      <c r="B15" s="18" t="s">
        <v>102</v>
      </c>
      <c r="C15" s="18" t="str">
        <f>CONCATENATE("Personal Property ",J1-2,"")</f>
        <v>Personal Property 2012</v>
      </c>
      <c r="D15" s="155" t="s">
        <v>98</v>
      </c>
      <c r="E15" s="43">
        <f>inputOth!E11</f>
        <v>9174</v>
      </c>
      <c r="F15" s="156"/>
      <c r="G15" s="159"/>
      <c r="H15" s="159"/>
      <c r="I15" s="39"/>
      <c r="J15" s="39"/>
    </row>
    <row r="16" spans="1:10" ht="15.75">
      <c r="A16" s="155"/>
      <c r="B16" s="18" t="s">
        <v>103</v>
      </c>
      <c r="C16" s="18" t="s">
        <v>117</v>
      </c>
      <c r="D16" s="18"/>
      <c r="E16" s="39"/>
      <c r="F16" s="39" t="s">
        <v>95</v>
      </c>
      <c r="G16" s="158">
        <f>IF(E14&gt;E15,E14-E15,0)</f>
        <v>3810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2013:</v>
      </c>
      <c r="C18" s="18"/>
      <c r="D18" s="155"/>
      <c r="E18" s="39"/>
      <c r="F18" s="39"/>
      <c r="G18" s="39">
        <f>inputOth!E10</f>
        <v>24982</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49289</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1,2013</v>
      </c>
      <c r="C22" s="18"/>
      <c r="D22" s="18"/>
      <c r="E22" s="158">
        <f>inputOth!E7</f>
        <v>557291</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508002</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0.09702520856217102</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93</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1052</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1052</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2014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Gatesville Cem #9</v>
      </c>
      <c r="C1" s="18"/>
      <c r="D1" s="18"/>
      <c r="E1" s="18"/>
      <c r="F1" s="18"/>
      <c r="G1" s="18"/>
      <c r="H1" s="18"/>
      <c r="I1" s="165"/>
      <c r="J1" s="18"/>
    </row>
    <row r="2" spans="1:10" ht="15.75">
      <c r="A2" s="18"/>
      <c r="B2" s="18" t="str">
        <f>inputPrYr!D4</f>
        <v>Clay</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2013                    Budgeted Funds</v>
      </c>
      <c r="C9" s="631" t="str">
        <f>CONCATENATE("Tax Levy Amount in ",J2-2," Budget")</f>
        <v>Tax Levy Amount in 2012 Budget</v>
      </c>
      <c r="D9" s="619" t="str">
        <f>CONCATENATE("Allocation for Year ",J2,"")</f>
        <v>Allocation for Year 2014</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959</v>
      </c>
      <c r="D11" s="128">
        <f>IF(E17=0,0,E17-D12-D13-D14)</f>
        <v>161.04</v>
      </c>
      <c r="E11" s="128">
        <f>IF(E19=0,0,E19-E12-E13-E14)</f>
        <v>1.86</v>
      </c>
      <c r="F11" s="128">
        <f>IF(E21=0,0,E21-F12-F13-F14)</f>
        <v>5.71</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959</v>
      </c>
      <c r="D15" s="137">
        <f>SUM(D11:D14)</f>
        <v>161.04</v>
      </c>
      <c r="E15" s="137">
        <f>SUM(E11:E14)</f>
        <v>1.86</v>
      </c>
      <c r="F15" s="137">
        <f>SUM(F11:F14)</f>
        <v>5.71</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161.04</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1.86</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5.71</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0.16792492179353494</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0.0019395203336809177</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0.005954118873826903</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Gatesville Cem #9</v>
      </c>
      <c r="B2" s="175"/>
      <c r="C2" s="18"/>
      <c r="D2" s="18"/>
      <c r="E2" s="165"/>
      <c r="F2" s="18"/>
    </row>
    <row r="3" spans="1:6" ht="15.75">
      <c r="A3" s="175" t="str">
        <f>inputPrYr!D4</f>
        <v>Clay</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2012</v>
      </c>
      <c r="D9" s="180">
        <f>F1-1</f>
        <v>2013</v>
      </c>
      <c r="E9" s="180">
        <f>F1</f>
        <v>2014</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2013-06-25T18:18:30Z</cp:lastPrinted>
  <dcterms:created xsi:type="dcterms:W3CDTF">1999-08-06T13:59:57Z</dcterms:created>
  <dcterms:modified xsi:type="dcterms:W3CDTF">2013-11-07T16:39:08Z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