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30" windowHeight="2715" tabRatio="873" activeTab="6"/>
  </bookViews>
  <sheets>
    <sheet name="inputPrYr" sheetId="1" r:id="rId1"/>
    <sheet name="inputOth" sheetId="2" r:id="rId2"/>
    <sheet name="inputBudSum" sheetId="3" r:id="rId3"/>
    <sheet name="cert" sheetId="4" r:id="rId4"/>
    <sheet name="computation" sheetId="5" r:id="rId5"/>
    <sheet name="mvalloc" sheetId="6" r:id="rId6"/>
    <sheet name="transfers" sheetId="7" r:id="rId7"/>
    <sheet name="debt" sheetId="8" r:id="rId8"/>
    <sheet name="lpform" sheetId="9" r:id="rId9"/>
    <sheet name="general" sheetId="10" r:id="rId10"/>
    <sheet name="gen-detail" sheetId="11" r:id="rId11"/>
    <sheet name="DebtService" sheetId="12" r:id="rId12"/>
    <sheet name="road" sheetId="13" r:id="rId13"/>
    <sheet name="SpecBrdg-Fair" sheetId="14" r:id="rId14"/>
    <sheet name="Conserv-NW" sheetId="15" r:id="rId15"/>
    <sheet name="Ambul-SerEldery" sheetId="16" r:id="rId16"/>
    <sheet name="HospMaint-CoHealth" sheetId="17" r:id="rId17"/>
    <sheet name="MentHlth-MentRetard" sheetId="18" r:id="rId18"/>
    <sheet name="Elect-HistMus" sheetId="19" r:id="rId19"/>
    <sheet name="EmployBen-SpecReap" sheetId="20" r:id="rId20"/>
    <sheet name="NWC.O.-AmbulSpecEq." sheetId="21" r:id="rId21"/>
    <sheet name="CoHC.O.-SpecReappEq." sheetId="22" r:id="rId22"/>
    <sheet name="Alchol-911" sheetId="23" r:id="rId23"/>
    <sheet name="Emerg911-Mitch911" sheetId="24" r:id="rId24"/>
    <sheet name="CrtHouseTech-RegDTech" sheetId="25" r:id="rId25"/>
    <sheet name="CrthouseRenov-ElectTech" sheetId="26" r:id="rId26"/>
    <sheet name="SolidW" sheetId="27" r:id="rId27"/>
    <sheet name="nonbudA" sheetId="28" r:id="rId28"/>
    <sheet name="nonbudB" sheetId="29" r:id="rId29"/>
    <sheet name="summ" sheetId="30" r:id="rId30"/>
    <sheet name="Resolution" sheetId="31" r:id="rId31"/>
  </sheets>
  <definedNames>
    <definedName name="_xlnm.Print_Area" localSheetId="15">'Ambul-SerEldery'!$A$1:$E$83</definedName>
    <definedName name="_xlnm.Print_Area" localSheetId="14">'Conserv-NW'!$A$1:$E$73</definedName>
    <definedName name="_xlnm.Print_Area" localSheetId="11">'DebtService'!$B$1:$E$59</definedName>
    <definedName name="_xlnm.Print_Area" localSheetId="18">'Elect-HistMus'!$A$1:$E$74</definedName>
    <definedName name="_xlnm.Print_Area" localSheetId="19">'EmployBen-SpecReap'!$A$1:$E$75</definedName>
    <definedName name="_xlnm.Print_Area" localSheetId="9">'general'!$A$1:$E$105</definedName>
    <definedName name="_xlnm.Print_Area" localSheetId="16">'HospMaint-CoHealth'!$A$1:$E$73</definedName>
    <definedName name="_xlnm.Print_Area" localSheetId="2">'inputBudSum'!$A$1:$I$23</definedName>
    <definedName name="_xlnm.Print_Area" localSheetId="0">'inputPrYr'!$A$1:$F$117</definedName>
    <definedName name="_xlnm.Print_Area" localSheetId="17">'MentHlth-MentRetard'!$A$1:$E$68</definedName>
    <definedName name="_xlnm.Print_Area" localSheetId="12">'road'!$B$1:$E$50</definedName>
    <definedName name="_xlnm.Print_Area" localSheetId="13">'SpecBrdg-Fair'!$A$1:$E$70</definedName>
    <definedName name="_xlnm.Print_Area" localSheetId="29">'summ'!$A$1:$H$70</definedName>
  </definedNames>
  <calcPr fullCalcOnLoad="1"/>
</workbook>
</file>

<file path=xl/sharedStrings.xml><?xml version="1.0" encoding="utf-8"?>
<sst xmlns="http://schemas.openxmlformats.org/spreadsheetml/2006/main" count="1564" uniqueCount="495">
  <si>
    <t>Outstanding Indebtness, January 1:</t>
  </si>
  <si>
    <t xml:space="preserve">  G.O. Bonds</t>
  </si>
  <si>
    <t xml:space="preserve">  Revenue Bonds</t>
  </si>
  <si>
    <t xml:space="preserve">  Other</t>
  </si>
  <si>
    <t xml:space="preserve">  Lease Purchase Principal</t>
  </si>
  <si>
    <t>We, the undersigned, officers of</t>
  </si>
  <si>
    <t>Attest: ______________________</t>
  </si>
  <si>
    <t>Special City &amp; County Highway</t>
  </si>
  <si>
    <t>County Equalization</t>
  </si>
  <si>
    <t>NON-BUDGETED FUNDS (A)</t>
  </si>
  <si>
    <t>Non-Budgeted Funds-A</t>
  </si>
  <si>
    <t>(1) Fund Name:</t>
  </si>
  <si>
    <t>(2) Fund Name:</t>
  </si>
  <si>
    <t>(3) Fund Name:</t>
  </si>
  <si>
    <t>(4) Fund Name:</t>
  </si>
  <si>
    <t>(5) Fund Name:</t>
  </si>
  <si>
    <t xml:space="preserve">Unencumbered </t>
  </si>
  <si>
    <t>Cash Balance Dec 31</t>
  </si>
  <si>
    <t>NON-BUDGETED FUNDS (B)</t>
  </si>
  <si>
    <t>Non-Budgeted Funds-B</t>
  </si>
  <si>
    <t>Non-Budgeted Funds-C</t>
  </si>
  <si>
    <t>Non-Budgeted Funds-D</t>
  </si>
  <si>
    <t>Other non-tax levy fund names:</t>
  </si>
  <si>
    <t xml:space="preserve">  Subtotal</t>
  </si>
  <si>
    <r>
      <t>Total  Detail Expenditures</t>
    </r>
    <r>
      <rPr>
        <sz val="12"/>
        <color indexed="10"/>
        <rFont val="Times New Roman"/>
        <family val="1"/>
      </rPr>
      <t>**</t>
    </r>
  </si>
  <si>
    <r>
      <t>**</t>
    </r>
    <r>
      <rPr>
        <sz val="12"/>
        <rFont val="Times New Roman"/>
        <family val="1"/>
      </rPr>
      <t xml:space="preserve"> Note: The Total Detail Expenditures amount should agree to the General Subtotal amounts.</t>
    </r>
  </si>
  <si>
    <t>Budget Summary</t>
  </si>
  <si>
    <t>xxxxx</t>
  </si>
  <si>
    <t>Resolution</t>
  </si>
  <si>
    <t>Is a Resolution required?</t>
  </si>
  <si>
    <t>Note:  All amounts are to be entered in as whole numbers only.</t>
  </si>
  <si>
    <t>**</t>
  </si>
  <si>
    <t>**Note: These two block figures should agree.</t>
  </si>
  <si>
    <t>Funds</t>
  </si>
  <si>
    <t xml:space="preserve">expenditure amounts should reflect the amended </t>
  </si>
  <si>
    <t>expenditure amounts.</t>
  </si>
  <si>
    <t xml:space="preserve">Tax Levy Rate </t>
  </si>
  <si>
    <t>Miscellaneous</t>
  </si>
  <si>
    <t>Does miscellaneous exceed 10% of Total Receipts</t>
  </si>
  <si>
    <t>Neighborhood Revitalization Rebate</t>
  </si>
  <si>
    <t>Does miscellaneous exceed 10% of Total Expenditure</t>
  </si>
  <si>
    <t>Cash Balance Jan 1</t>
  </si>
  <si>
    <t>***If you are merely leasing/renting with no intent to purchase, do not list--such transactions are not lease-purchases.</t>
  </si>
  <si>
    <t xml:space="preserve">Ad Valorem Tax </t>
  </si>
  <si>
    <t>Budget Summary Page</t>
  </si>
  <si>
    <t>Statute</t>
  </si>
  <si>
    <t>General</t>
  </si>
  <si>
    <t>Total</t>
  </si>
  <si>
    <t>Motor Vehicle Tax Estimate</t>
  </si>
  <si>
    <t>Recreational Vehicle Tax Estimate</t>
  </si>
  <si>
    <t>certify that: (1) the hearing mentioned in the attached publication was held;</t>
  </si>
  <si>
    <t>(2) after the Budget Hearing this budget was duly approved and adopted as the</t>
  </si>
  <si>
    <t>Page</t>
  </si>
  <si>
    <t>County Clerk's</t>
  </si>
  <si>
    <t>Table of Contents:</t>
  </si>
  <si>
    <t>No.</t>
  </si>
  <si>
    <t>Expenditures</t>
  </si>
  <si>
    <t>Use Only</t>
  </si>
  <si>
    <t>Statement of Indebtedness</t>
  </si>
  <si>
    <t>Statement of Lease-Purchases</t>
  </si>
  <si>
    <t>Fund</t>
  </si>
  <si>
    <t>K.S.A.</t>
  </si>
  <si>
    <t>x</t>
  </si>
  <si>
    <t>Assisted by:</t>
  </si>
  <si>
    <t>Governing Body</t>
  </si>
  <si>
    <t>County Clerk</t>
  </si>
  <si>
    <t>Amount</t>
  </si>
  <si>
    <t>Mental Health</t>
  </si>
  <si>
    <t>TOTAL</t>
  </si>
  <si>
    <t>County Treas Motor Vehicle Estimate</t>
  </si>
  <si>
    <t>County Treasurers Recreational Vehicle Estimate</t>
  </si>
  <si>
    <t>Motor Vehicle Factor</t>
  </si>
  <si>
    <t>MVT</t>
  </si>
  <si>
    <t>Totals</t>
  </si>
  <si>
    <t>Juvenile Detention</t>
  </si>
  <si>
    <t>Adopted Budget</t>
  </si>
  <si>
    <t>Ad Valorem Tax</t>
  </si>
  <si>
    <t>Delinquent Tax</t>
  </si>
  <si>
    <t>Motor Vehicle Tax</t>
  </si>
  <si>
    <t>Recreational Vehicle Tax</t>
  </si>
  <si>
    <t>Local Alcoholic Liquor</t>
  </si>
  <si>
    <t>In Lieu of Taxes (IRB)</t>
  </si>
  <si>
    <t>Mineral Production Tax</t>
  </si>
  <si>
    <t>Interest on Idle Funds</t>
  </si>
  <si>
    <t>Total Receipts</t>
  </si>
  <si>
    <t>Resources Available:</t>
  </si>
  <si>
    <t xml:space="preserve">Page No. </t>
  </si>
  <si>
    <t xml:space="preserve">General </t>
  </si>
  <si>
    <t>Expenditures:</t>
  </si>
  <si>
    <t>Total Expenditures</t>
  </si>
  <si>
    <t>Tax Required</t>
  </si>
  <si>
    <t>%</t>
  </si>
  <si>
    <t>General Fund - Detail Expend</t>
  </si>
  <si>
    <t xml:space="preserve">  Salaries</t>
  </si>
  <si>
    <t xml:space="preserve">  Contractual</t>
  </si>
  <si>
    <t xml:space="preserve">  Commodities</t>
  </si>
  <si>
    <t xml:space="preserve">  Capital Outlay</t>
  </si>
  <si>
    <t>Ambulance</t>
  </si>
  <si>
    <t>County Attorney/Counselor</t>
  </si>
  <si>
    <t>County Commission</t>
  </si>
  <si>
    <t>County Treasurer</t>
  </si>
  <si>
    <t>Debt Service</t>
  </si>
  <si>
    <t>Economic Development</t>
  </si>
  <si>
    <t>Employee Benefits</t>
  </si>
  <si>
    <t>Mental Retardation</t>
  </si>
  <si>
    <t>Register of Deeds</t>
  </si>
  <si>
    <t>Road &amp; Bridge</t>
  </si>
  <si>
    <t>Solid Waste</t>
  </si>
  <si>
    <t>Other</t>
  </si>
  <si>
    <t>Page No.</t>
  </si>
  <si>
    <t xml:space="preserve"> </t>
  </si>
  <si>
    <t>Actual</t>
  </si>
  <si>
    <t>Est.</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</si>
  <si>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</si>
  <si>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</si>
  <si>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</si>
  <si>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</si>
  <si>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</si>
  <si>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</si>
  <si>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</si>
  <si>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</si>
  <si>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</si>
  <si>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</si>
  <si>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</si>
  <si>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</si>
  <si>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Clerk</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</si>
  <si>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</si>
  <si>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</si>
  <si>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</si>
  <si>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</si>
  <si>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</si>
  <si>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</si>
  <si>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</si>
  <si>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</si>
  <si>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</si>
  <si>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</si>
  <si>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</si>
  <si>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</si>
  <si>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</si>
  <si>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</si>
  <si>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</si>
  <si>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Principal</t>
  </si>
  <si>
    <t>Payments</t>
  </si>
  <si>
    <t xml:space="preserve">  Contract</t>
  </si>
  <si>
    <t>Contract</t>
  </si>
  <si>
    <t>Financed</t>
  </si>
  <si>
    <t>Due</t>
  </si>
  <si>
    <t>(Months)</t>
  </si>
  <si>
    <t>16/20 M Vehicle Tax</t>
  </si>
  <si>
    <t>CERTIFICATE</t>
  </si>
  <si>
    <t>STATEMENT OF CONDITIONAL LEASE-PURCHASE AND CERTIFICATE OF PARTICIPATION*</t>
  </si>
  <si>
    <t>NOTICE OF BUDGET HEARING</t>
  </si>
  <si>
    <t>BUDGET SUMMARY</t>
  </si>
  <si>
    <t>FUND PAGE - GENERAL</t>
  </si>
  <si>
    <t>FUND PAGE - GENERAL DETAIL</t>
  </si>
  <si>
    <t>FUND PAGE FOR FUNDS WITH A TAX LEVY</t>
  </si>
  <si>
    <t>FUND PAGE FOR FUNDS WITH NO TAX LEVY</t>
  </si>
  <si>
    <t>STATEMENT OF INDEBTEDNESS</t>
  </si>
  <si>
    <t>RVT</t>
  </si>
  <si>
    <t>County Treasurers 16/20M Vehicle Estimate</t>
  </si>
  <si>
    <t>16/20M Vehicle Tax Estimate</t>
  </si>
  <si>
    <t>Amount of Levy</t>
  </si>
  <si>
    <t xml:space="preserve"> 1.</t>
  </si>
  <si>
    <t>+</t>
  </si>
  <si>
    <t>$</t>
  </si>
  <si>
    <t xml:space="preserve"> 2.</t>
  </si>
  <si>
    <t>-</t>
  </si>
  <si>
    <t xml:space="preserve"> 3.</t>
  </si>
  <si>
    <t xml:space="preserve"> 4.</t>
  </si>
  <si>
    <t xml:space="preserve"> 5.</t>
  </si>
  <si>
    <t>5a.</t>
  </si>
  <si>
    <t>5b.</t>
  </si>
  <si>
    <t>5c.</t>
  </si>
  <si>
    <t>6.</t>
  </si>
  <si>
    <t>9.</t>
  </si>
  <si>
    <t>10.</t>
  </si>
  <si>
    <t>11.</t>
  </si>
  <si>
    <t>12.</t>
  </si>
  <si>
    <t>(Use Only if &gt; 0)</t>
  </si>
  <si>
    <t>16/20M Vehicle Tax</t>
  </si>
  <si>
    <t xml:space="preserve">The governing body of </t>
  </si>
  <si>
    <t>Gross Earnings (Intangible) Tax</t>
  </si>
  <si>
    <t>7.</t>
  </si>
  <si>
    <t>8.</t>
  </si>
  <si>
    <t>Balance On</t>
  </si>
  <si>
    <t>16/20M Veh</t>
  </si>
  <si>
    <t>Tax Levy Excluding Debt Service</t>
  </si>
  <si>
    <r>
      <t xml:space="preserve">Total Valuation Adjustment </t>
    </r>
    <r>
      <rPr>
        <sz val="12"/>
        <rFont val="Times New Roman"/>
        <family val="1"/>
      </rPr>
      <t>(Sum of 4, 5c, and 6)</t>
    </r>
  </si>
  <si>
    <t>Increase in Personal Property (5a minus 5b)</t>
  </si>
  <si>
    <t>Amount of Increase (10 times 3)</t>
  </si>
  <si>
    <t>Factor for Increase (7 divided by 9)</t>
  </si>
  <si>
    <t>Total Valuation less Valuation Adjustment (8 minus 7)</t>
  </si>
  <si>
    <t>adopt a resolution to exceed this limit and attach a copy to this budget.</t>
  </si>
  <si>
    <t>13.</t>
  </si>
  <si>
    <t>14.</t>
  </si>
  <si>
    <t>Maximum Tax Levy, excluding debt service, without a Resolution (3 plus 11)</t>
  </si>
  <si>
    <t>Maximum levy, including debt service, without a Resolution (12 plus 13)</t>
  </si>
  <si>
    <t>Unencumbered Cash Balance Jan 1</t>
  </si>
  <si>
    <t>Unencumbered Cash Balance Dec 31</t>
  </si>
  <si>
    <t>Receipts:</t>
  </si>
  <si>
    <t>79-1946</t>
  </si>
  <si>
    <t>Schedule of Transfers</t>
  </si>
  <si>
    <t>Outstanding</t>
  </si>
  <si>
    <t>(Beginning Principal)</t>
  </si>
  <si>
    <t>Estimated Tax Rate is subject to change depending on the final assessed valuation.</t>
  </si>
  <si>
    <t>Lease Pur. Princ.</t>
  </si>
  <si>
    <t>Page No. 7</t>
  </si>
  <si>
    <t>Page No. 7a</t>
  </si>
  <si>
    <t>Page 7b</t>
  </si>
  <si>
    <t>Page 7c</t>
  </si>
  <si>
    <t>Page 7d</t>
  </si>
  <si>
    <t>COUNTY RESOLUTION</t>
  </si>
  <si>
    <t>RESOLUTION NO.__________________</t>
  </si>
  <si>
    <t>Whereas, budgeting, taxing and service level decisions for all county services are the responsibility of the board of county commissioners; and</t>
  </si>
  <si>
    <t>Whereas, the cost of provision of these services continues to increase; and</t>
  </si>
  <si>
    <t>BOARD OF COUNTY COMMISSIONERS</t>
  </si>
  <si>
    <t>___________________________________.</t>
  </si>
  <si>
    <t>ATTEST:</t>
  </si>
  <si>
    <t>________________________________.</t>
  </si>
  <si>
    <t>, County Clerk</t>
  </si>
  <si>
    <t>(Attach a signed copy to the budget)</t>
  </si>
  <si>
    <t xml:space="preserve">                                                                          16/20M Vehicle Factor</t>
  </si>
  <si>
    <t xml:space="preserve">                                         Recreational Vehicle Factor</t>
  </si>
  <si>
    <t>Current</t>
  </si>
  <si>
    <t>Proposed</t>
  </si>
  <si>
    <t>Total - Page 7b</t>
  </si>
  <si>
    <t>Total - Page7c</t>
  </si>
  <si>
    <t>Total - Page7d</t>
  </si>
  <si>
    <t>Total - Page7b</t>
  </si>
  <si>
    <t>Total - Page 7c</t>
  </si>
  <si>
    <t>County Clerk's Use Only</t>
  </si>
  <si>
    <t>Address:</t>
  </si>
  <si>
    <t>budget, except with regard to revenue produced and attributable to the 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</si>
  <si>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budget.</t>
  </si>
  <si>
    <t>Input sheet for County1 budget form</t>
  </si>
  <si>
    <t>Enter County Name followed by 'County'</t>
  </si>
  <si>
    <t>Enter year being budgeted (YYYY)</t>
  </si>
  <si>
    <t>Information comes from the Certificate, Page No. 1</t>
  </si>
  <si>
    <t>Fund Names for all funds with a tax levy:</t>
  </si>
  <si>
    <t>10-113</t>
  </si>
  <si>
    <t>In Lieu of Tax (IRB)</t>
  </si>
  <si>
    <t xml:space="preserve"> Commissioners will be published in the _________ (newspaper).   Interested persons can also address questions concerning the budget to __________ (office) _______ by calling ___________ between the hours of ________ a.m. to ________ p.m., Monday through Fridays, excluding holidays.  </t>
  </si>
  <si>
    <t>Neighborhood Revitalization</t>
  </si>
  <si>
    <t>LAVTR</t>
  </si>
  <si>
    <t>City and County Revenue Sharing</t>
  </si>
  <si>
    <t>Computation of Delinquency</t>
  </si>
  <si>
    <r>
      <t>**</t>
    </r>
    <r>
      <rPr>
        <u val="single"/>
        <sz val="12"/>
        <rFont val="Times New Roman"/>
        <family val="1"/>
      </rPr>
      <t>Note</t>
    </r>
    <r>
      <rPr>
        <sz val="12"/>
        <rFont val="Times New Roman"/>
        <family val="1"/>
      </rPr>
      <t>: The delinquency rate can be up to 5% more than the actual delinquency rate from the preivous year.</t>
    </r>
  </si>
  <si>
    <t>From:</t>
  </si>
  <si>
    <t xml:space="preserve">  To:</t>
  </si>
  <si>
    <t>Amount for</t>
  </si>
  <si>
    <t>Transfers</t>
  </si>
  <si>
    <t>Authorized by</t>
  </si>
  <si>
    <t>Adjusted Totals</t>
  </si>
  <si>
    <t>Beginning Amount</t>
  </si>
  <si>
    <t xml:space="preserve">of </t>
  </si>
  <si>
    <t>Retirement</t>
  </si>
  <si>
    <t xml:space="preserve">Total Other </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</si>
  <si>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</si>
  <si>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</si>
  <si>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This tab will put the date and time and location of the budget hearing on the Budget Summary page.  Also, provide the location where as the budget can be reveiwed.  Please input information in the green areas.</t>
  </si>
  <si>
    <t>Date:</t>
  </si>
  <si>
    <t>Time:</t>
  </si>
  <si>
    <t>Location:</t>
  </si>
  <si>
    <t>Shawnee County Clerk's Office</t>
  </si>
  <si>
    <t>Available at:</t>
  </si>
  <si>
    <t>Examples</t>
  </si>
  <si>
    <t>August 12, 2010</t>
  </si>
  <si>
    <t>7:00 PM or 7:00 AM</t>
  </si>
  <si>
    <t>answering objections of taxpayers relating to the proposed use of all funds and the amount of ad valorem tax.</t>
  </si>
  <si>
    <r>
      <t>Adjustments</t>
    </r>
    <r>
      <rPr>
        <sz val="12"/>
        <color indexed="10"/>
        <rFont val="Times New Roman"/>
        <family val="1"/>
      </rPr>
      <t>*</t>
    </r>
  </si>
  <si>
    <t>*Note:</t>
  </si>
  <si>
    <t>Expenditure</t>
  </si>
  <si>
    <t>Receipt</t>
  </si>
  <si>
    <t xml:space="preserve">Fund Transferred </t>
  </si>
  <si>
    <t>Fund Transferred</t>
  </si>
  <si>
    <t>in the appropriate locations.  If any of the numbers are wrong, change them on this input sheet.</t>
  </si>
  <si>
    <t xml:space="preserve">Enter the following information from the sources shown.  This information will be  entered on the budget forms </t>
  </si>
  <si>
    <t>Budget Authority</t>
  </si>
  <si>
    <t>for Expenditures</t>
  </si>
  <si>
    <t>Compensating Use Tax</t>
  </si>
  <si>
    <t>Local Sales Tax</t>
  </si>
  <si>
    <t>Does miscellaneous exceed 10% of Total Exp</t>
  </si>
  <si>
    <t>Does miscellaneous exceed 10% of Total Rec</t>
  </si>
  <si>
    <t>General Fund - Detail Expenditures</t>
  </si>
  <si>
    <t>Non-Appropriated Balance</t>
  </si>
  <si>
    <t>Total Expenditure/Non-Appr Balance</t>
  </si>
  <si>
    <t>Delinquent Comp Rate:</t>
  </si>
  <si>
    <t>Desired Carryover Amount:</t>
  </si>
  <si>
    <t>Estimated Mill Rate Impact:</t>
  </si>
  <si>
    <t>The estimated value of one mill would be:</t>
  </si>
  <si>
    <t>Change in Ad Valorem Tax Revenue:</t>
  </si>
  <si>
    <t>What Mill Rate Would Be Desired?</t>
  </si>
  <si>
    <t>Type</t>
  </si>
  <si>
    <t xml:space="preserve"> Debt</t>
  </si>
  <si>
    <t xml:space="preserve"> Purchased</t>
  </si>
  <si>
    <t>Items</t>
  </si>
  <si>
    <t>Clerk Name:</t>
  </si>
  <si>
    <t>Must be at least 10 days between date published and hearing held.</t>
  </si>
  <si>
    <t>January</t>
  </si>
  <si>
    <t>February</t>
  </si>
  <si>
    <t>March</t>
  </si>
  <si>
    <t>April</t>
  </si>
  <si>
    <t>May</t>
  </si>
  <si>
    <t>June</t>
  </si>
  <si>
    <t>July</t>
  </si>
  <si>
    <t>August</t>
  </si>
  <si>
    <t>September</t>
  </si>
  <si>
    <t>October</t>
  </si>
  <si>
    <t>November</t>
  </si>
  <si>
    <t>December</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</si>
  <si>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</si>
  <si>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</si>
  <si>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</si>
  <si>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Allocation of Motor, Recreational, 16/20M Vehicle Taxes </t>
  </si>
  <si>
    <t>Budgeted Funds</t>
  </si>
  <si>
    <t>Expenditures Must Be Changed by:</t>
  </si>
  <si>
    <t>Mill Rate Comparison</t>
  </si>
  <si>
    <t xml:space="preserve">Prior Year </t>
  </si>
  <si>
    <t xml:space="preserve">Current Year </t>
  </si>
  <si>
    <t xml:space="preserve">Proposed Budget </t>
  </si>
  <si>
    <t>Allocation of Vehicle Taxes</t>
  </si>
  <si>
    <t>Email:</t>
  </si>
  <si>
    <t>____________________________________  __________________________________</t>
  </si>
  <si>
    <t>Is a resolution required?</t>
  </si>
  <si>
    <t>MITCHELL COUNTY</t>
  </si>
  <si>
    <t>Special bridge</t>
  </si>
  <si>
    <t>Fair Building</t>
  </si>
  <si>
    <t>Conservation</t>
  </si>
  <si>
    <t>Noxious Weed</t>
  </si>
  <si>
    <t>Services for the Elderly</t>
  </si>
  <si>
    <t>Hospital Maintenance</t>
  </si>
  <si>
    <t>County Health</t>
  </si>
  <si>
    <t>Election Expense</t>
  </si>
  <si>
    <t>Historical Museum</t>
  </si>
  <si>
    <t>Special Reappraisal</t>
  </si>
  <si>
    <t>Noxious Weed C.O.</t>
  </si>
  <si>
    <t>Ambulance Spec. Equip.</t>
  </si>
  <si>
    <t>County Health C.O.</t>
  </si>
  <si>
    <t>Spec. Reappraisal Equip.</t>
  </si>
  <si>
    <t>Alcohol Treatment</t>
  </si>
  <si>
    <t>911 Fund</t>
  </si>
  <si>
    <t>Emergency 911</t>
  </si>
  <si>
    <t>Mitchell- 911</t>
  </si>
  <si>
    <t>Courthouse Technology</t>
  </si>
  <si>
    <t>Reg. of Deeds Technology</t>
  </si>
  <si>
    <t>Courthouse Renovation</t>
  </si>
  <si>
    <t>Election Technology</t>
  </si>
  <si>
    <t>Spec. Highway Imprv.</t>
  </si>
  <si>
    <t>Spec. Equip. &amp; Mach.</t>
  </si>
  <si>
    <t>Ambulance C.O.</t>
  </si>
  <si>
    <t>Rescue Squad C.O.</t>
  </si>
  <si>
    <t>Crime Victims Restitution</t>
  </si>
  <si>
    <t>Treas. &amp; Reg. of Deeds Off.</t>
  </si>
  <si>
    <t>Spec. Motor Vehicle</t>
  </si>
  <si>
    <t>Federal &amp; State Grants</t>
  </si>
  <si>
    <t>Concealed Weapon Permit</t>
  </si>
  <si>
    <t>68-1135</t>
  </si>
  <si>
    <t>2-129</t>
  </si>
  <si>
    <t>2-1907b</t>
  </si>
  <si>
    <t>2-1318</t>
  </si>
  <si>
    <t>65-6113</t>
  </si>
  <si>
    <t>12-1680</t>
  </si>
  <si>
    <t>19-4606</t>
  </si>
  <si>
    <t>65-204</t>
  </si>
  <si>
    <t>19-4004</t>
  </si>
  <si>
    <t>25-2201a</t>
  </si>
  <si>
    <t>19-2651</t>
  </si>
  <si>
    <t>12-16,102</t>
  </si>
  <si>
    <t>79-1482</t>
  </si>
  <si>
    <t>Interest &amp; Charges on Delinquent Taxes</t>
  </si>
  <si>
    <t>Mortgage Reg. Fees</t>
  </si>
  <si>
    <t>Officer's Fees</t>
  </si>
  <si>
    <t>Diversionary Fees</t>
  </si>
  <si>
    <t>Neighborhood Revit.</t>
  </si>
  <si>
    <t>Transfer from Motor Vehicle Fund</t>
  </si>
  <si>
    <t>Reimbursements</t>
  </si>
  <si>
    <t xml:space="preserve">  Employee Benefits</t>
  </si>
  <si>
    <t>Sheriff &amp; Jail</t>
  </si>
  <si>
    <t>Clerk of District Court</t>
  </si>
  <si>
    <t>Courthouse ( General Expense )</t>
  </si>
  <si>
    <t xml:space="preserve">  Planning Board</t>
  </si>
  <si>
    <t xml:space="preserve">  GIS Expense</t>
  </si>
  <si>
    <t xml:space="preserve">  Reimbursements</t>
  </si>
  <si>
    <t>Communication Center- Dispatch</t>
  </si>
  <si>
    <t>Emergency Management</t>
  </si>
  <si>
    <t>Abandoned Cemeteries</t>
  </si>
  <si>
    <t xml:space="preserve">  Appropriations</t>
  </si>
  <si>
    <t>CASA</t>
  </si>
  <si>
    <t>Senior Care Act</t>
  </si>
  <si>
    <t>Sales Tax Receipts- R &amp; B</t>
  </si>
  <si>
    <t xml:space="preserve">  Transfer to R &amp; B</t>
  </si>
  <si>
    <t>Transfer to Ambulance Fund</t>
  </si>
  <si>
    <t xml:space="preserve">  Transfer to Ambulance Fund</t>
  </si>
  <si>
    <t>Transfer to Courthouse Technology Fund</t>
  </si>
  <si>
    <t xml:space="preserve">  Transfer to Courthouse Technology Fund</t>
  </si>
  <si>
    <t>In Lieu of Taxes</t>
  </si>
  <si>
    <t>Transfer from County General- Sales Tax</t>
  </si>
  <si>
    <t>Salaries</t>
  </si>
  <si>
    <t>Contractual</t>
  </si>
  <si>
    <t>Commodities</t>
  </si>
  <si>
    <t>Capital Outlay</t>
  </si>
  <si>
    <t>Transfer to Spec. Mach. &amp; Equip.</t>
  </si>
  <si>
    <t>Appropriations</t>
  </si>
  <si>
    <t>Transfer to C.O. Fund</t>
  </si>
  <si>
    <t>Ambulance Runs &amp; Reimbursements</t>
  </si>
  <si>
    <t>Transfer from Co. General Fund</t>
  </si>
  <si>
    <t>Transfer to Ambulance Spec. Equip. Fund</t>
  </si>
  <si>
    <t>Rescue Squad:</t>
  </si>
  <si>
    <t xml:space="preserve">   Salaries</t>
  </si>
  <si>
    <t xml:space="preserve">   Contractual</t>
  </si>
  <si>
    <t xml:space="preserve">   Commodities</t>
  </si>
  <si>
    <t xml:space="preserve">   Transfer to Rescue Squad C.O.</t>
  </si>
  <si>
    <t>Reimbursements &amp; Grants</t>
  </si>
  <si>
    <t>Mental Health Services</t>
  </si>
  <si>
    <t>Transfer from Noxious Weed Fund</t>
  </si>
  <si>
    <t>Purchase of Equipment</t>
  </si>
  <si>
    <t>Transfer from Ambulance Fund</t>
  </si>
  <si>
    <t>Transfer from Spec. Reappraisal Fund</t>
  </si>
  <si>
    <t>Liquor Tax</t>
  </si>
  <si>
    <t>Contractual services</t>
  </si>
  <si>
    <t>911 Fees</t>
  </si>
  <si>
    <t>Fees</t>
  </si>
  <si>
    <t>Renovation Expense</t>
  </si>
  <si>
    <t>User Fees</t>
  </si>
  <si>
    <t>Trfs. From R &amp; B</t>
  </si>
  <si>
    <t>Highway Imprv.</t>
  </si>
  <si>
    <t>Purchase of Equip.</t>
  </si>
  <si>
    <t>Trfs. From Rescue</t>
  </si>
  <si>
    <t xml:space="preserve">   Squad-Ambulance</t>
  </si>
  <si>
    <t>Vehicle Fees</t>
  </si>
  <si>
    <t>Int. Earned</t>
  </si>
  <si>
    <t>Reimb. &amp; Other</t>
  </si>
  <si>
    <t>Taxes &amp; Fees</t>
  </si>
  <si>
    <t>Trfs. To Co. General</t>
  </si>
  <si>
    <t xml:space="preserve">  Transfer to Courthouse Renovation Fund</t>
  </si>
  <si>
    <t xml:space="preserve">  NCK Tech College</t>
  </si>
  <si>
    <t>Jail Building Improvements</t>
  </si>
  <si>
    <t xml:space="preserve">  Construction Costs</t>
  </si>
  <si>
    <t>Transfer to Spec. Highway Imprv.</t>
  </si>
  <si>
    <t>Construction &amp; reconstruction</t>
  </si>
  <si>
    <t>Misc. reimbursements</t>
  </si>
  <si>
    <t>Sale of equip.</t>
  </si>
  <si>
    <t>Reimbursements &amp; Chemical Sales</t>
  </si>
  <si>
    <t>Transfer to County Health C.O.</t>
  </si>
  <si>
    <t>Transfer from County Health Fund</t>
  </si>
  <si>
    <t>Transfer to Election Technology Fund</t>
  </si>
  <si>
    <t>Transfer to County General Fund</t>
  </si>
  <si>
    <t>Grant &amp; Lease Money</t>
  </si>
  <si>
    <t>Transfer from County General</t>
  </si>
  <si>
    <t>Transfer from Election Fund</t>
  </si>
  <si>
    <t>Rec'd From Dist Ctr.</t>
  </si>
  <si>
    <t>Budget</t>
  </si>
  <si>
    <t>Credits</t>
  </si>
  <si>
    <t>Authorized</t>
  </si>
  <si>
    <t>GIS</t>
  </si>
  <si>
    <t xml:space="preserve">   Water Rescue Team</t>
  </si>
  <si>
    <t>Lindburg Vogel Pierce Faris,</t>
  </si>
  <si>
    <t>Chartered</t>
  </si>
  <si>
    <t>2301 N. Halstead</t>
  </si>
  <si>
    <t>Hutchinson, Kansas 67502</t>
  </si>
  <si>
    <t>budget1@lvpf-cpa.com</t>
  </si>
  <si>
    <t>Mitchell County Commissioner's Room</t>
  </si>
  <si>
    <t>Mitchell County Clerk's Office</t>
  </si>
  <si>
    <t>Motor Vehicle Fund</t>
  </si>
  <si>
    <t>County General</t>
  </si>
  <si>
    <t>Employee Benefit Fund</t>
  </si>
  <si>
    <t>R &amp; B-Sales Tax</t>
  </si>
  <si>
    <t>Ambulance Fund</t>
  </si>
  <si>
    <t>R &amp; B</t>
  </si>
  <si>
    <t>Spec. Mach. &amp; Equip.</t>
  </si>
  <si>
    <t>Amb. Fund-Rescue Squad</t>
  </si>
  <si>
    <t>Election Fund</t>
  </si>
  <si>
    <t>Election Technology Fund</t>
  </si>
  <si>
    <t>K.S.A. 8-145</t>
  </si>
  <si>
    <t>K.S.A. 68-590</t>
  </si>
  <si>
    <t>K.S.A. 68-141g</t>
  </si>
  <si>
    <t>K.S.A. 2-1318</t>
  </si>
  <si>
    <t>K.S.A. 65-6113</t>
  </si>
  <si>
    <t>K.S.A. 19-119</t>
  </si>
  <si>
    <t>K.S.A. 65-204</t>
  </si>
  <si>
    <t>Addition to County Hospital</t>
  </si>
  <si>
    <t>3.0-4.6</t>
  </si>
  <si>
    <t>Improve, Furnish &amp; Equip. the</t>
  </si>
  <si>
    <t xml:space="preserve">       Addition to County Hospital</t>
  </si>
  <si>
    <t>1.5-5.1</t>
  </si>
  <si>
    <t>Security Equip. at Jail</t>
  </si>
  <si>
    <t>Courthouse Central Air Syetem</t>
  </si>
  <si>
    <t>Ricoh Copier</t>
  </si>
  <si>
    <t>2 HeartStart Monitors</t>
  </si>
  <si>
    <t>Portable Radio System</t>
  </si>
  <si>
    <t>Transfer to Special Reappraisal Equip.</t>
  </si>
  <si>
    <t>Transfer from Employee Benefit Fund</t>
  </si>
  <si>
    <t>Chris Treaster</t>
  </si>
  <si>
    <t>August 19, 2013</t>
  </si>
  <si>
    <t>8:30 A.M.</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</si>
</sst>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00_);\(#,##0.00000\)"/>
    <numFmt numFmtId="170" formatCode="_(* #,##0_);_(* \(#,##0\);_(* &quot; &quot;_);_(@_)"/>
    <numFmt numFmtId="171" formatCode="0.00000"/>
    <numFmt numFmtId="172" formatCode="m/d/yy"/>
    <numFmt numFmtId="173" formatCode="m/d"/>
    <numFmt numFmtId="174" formatCode="_(* #,##0.0_);_(* \(#,##0.0\);_(* &quot;-&quot;??_);_(@_)"/>
    <numFmt numFmtId="175" formatCode="_(* #,##0_);_(* \(#,##0\);_(* &quot;-&quot;??_);_(@_)"/>
    <numFmt numFmtId="176" formatCode="#,##0.0_);\(#,##0.0\)"/>
    <numFmt numFmtId="177" formatCode="#,##0.000_);\(#,##0.000\)"/>
    <numFmt numFmtId="178" formatCode="&quot;Yes&quot;;&quot;Yes&quot;;&quot;No&quot;"/>
    <numFmt numFmtId="179" formatCode="&quot;True&quot;;&quot;True&quot;;&quot;False&quot;"/>
    <numFmt numFmtId="180" formatCode="&quot;On&quot;;&quot;On&quot;;&quot;Off&quot;"/>
    <numFmt numFmtId="181" formatCode="[$€-2]\ #,##0.00_);[Red]\([$€-2]\ #,##0.00\)"/>
    <numFmt numFmtId="182" formatCode="0.000%"/>
    <numFmt numFmtId="183" formatCode="0.000"/>
    <numFmt numFmtId="184" formatCode="#,##0.000"/>
    <numFmt numFmtId="185" formatCode="[$-409]mmmm\ d\,\ yyyy;@"/>
    <numFmt numFmtId="186" formatCode="[$-409]h:mm\ AM/PM;@"/>
    <numFmt numFmtId="187" formatCode="\1\2\-\1\1\1\1"/>
    <numFmt numFmtId="188" formatCode="[$-409]dddd\,\ mmmm\ dd\,\ yyyy"/>
    <numFmt numFmtId="189" formatCode="m/d/yy;@"/>
    <numFmt numFmtId="190" formatCode="&quot;$&quot;#,##0"/>
    <numFmt numFmtId="191" formatCode="&quot;$&quot;#,##0.00"/>
    <numFmt numFmtId="192" formatCode="#,###"/>
    <numFmt numFmtId="193" formatCode="0.0%"/>
    <numFmt numFmtId="194" formatCode="#,##0.000_);[Red]\(#,##0.000\)"/>
  </numFmts>
  <fonts count="82">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4"/>
      <name val="Times New Roman"/>
      <family val="1"/>
    </font>
    <font>
      <sz val="11"/>
      <name val="Times New Roman"/>
      <family val="1"/>
    </font>
    <font>
      <sz val="8"/>
      <name val="Courier"/>
      <family val="3"/>
    </font>
    <font>
      <u val="single"/>
      <sz val="12"/>
      <color indexed="36"/>
      <name val="Courier New"/>
      <family val="3"/>
    </font>
    <font>
      <u val="single"/>
      <sz val="12"/>
      <color indexed="12"/>
      <name val="Courier New"/>
      <family val="3"/>
    </font>
    <font>
      <sz val="12"/>
      <name val="Courier New"/>
      <family val="3"/>
    </font>
    <font>
      <sz val="8"/>
      <name val="Courier New"/>
      <family val="3"/>
    </font>
    <font>
      <i/>
      <sz val="11"/>
      <name val="Times New Roman"/>
      <family val="1"/>
    </font>
    <font>
      <b/>
      <sz val="11"/>
      <name val="Times New Roman"/>
      <family val="1"/>
    </font>
    <font>
      <sz val="11"/>
      <color indexed="9"/>
      <name val="Times New Roman"/>
      <family val="1"/>
    </font>
    <font>
      <sz val="9"/>
      <name val="Times New Roman"/>
      <family val="1"/>
    </font>
    <font>
      <sz val="10"/>
      <name val="Times New Roman"/>
      <family val="1"/>
    </font>
    <font>
      <b/>
      <sz val="10"/>
      <name val="Times New Roman"/>
      <family val="1"/>
    </font>
    <font>
      <sz val="10"/>
      <name val="Courier"/>
      <family val="3"/>
    </font>
    <font>
      <sz val="12"/>
      <color indexed="9"/>
      <name val="Times New Roman"/>
      <family val="1"/>
    </font>
    <font>
      <sz val="8"/>
      <name val="Times New Roman"/>
      <family val="1"/>
    </font>
    <font>
      <b/>
      <u val="single"/>
      <sz val="12"/>
      <name val="Times New Roman"/>
      <family val="1"/>
    </font>
    <font>
      <sz val="12"/>
      <color indexed="10"/>
      <name val="Times New Roman"/>
      <family val="1"/>
    </font>
    <font>
      <b/>
      <u val="single"/>
      <sz val="12"/>
      <color indexed="10"/>
      <name val="Times New Roman"/>
      <family val="1"/>
    </font>
    <font>
      <b/>
      <u val="single"/>
      <sz val="12"/>
      <name val="Courier"/>
      <family val="3"/>
    </font>
    <font>
      <b/>
      <sz val="8"/>
      <name val="Times New Roman"/>
      <family val="1"/>
    </font>
    <font>
      <b/>
      <u val="single"/>
      <sz val="10"/>
      <name val="Times New Roman"/>
      <family val="1"/>
    </font>
    <font>
      <sz val="12"/>
      <color indexed="10"/>
      <name val="Courier"/>
      <family val="3"/>
    </font>
    <font>
      <i/>
      <sz val="12"/>
      <name val="Times New Roman"/>
      <family val="1"/>
    </font>
    <font>
      <b/>
      <sz val="12"/>
      <color indexed="10"/>
      <name val="Times New Roman"/>
      <family val="1"/>
    </font>
    <font>
      <b/>
      <u val="single"/>
      <sz val="8"/>
      <color indexed="10"/>
      <name val="Times New Roman"/>
      <family val="1"/>
    </font>
    <font>
      <u val="single"/>
      <sz val="12"/>
      <color indexed="12"/>
      <name val="Courier"/>
      <family val="3"/>
    </font>
    <font>
      <b/>
      <u val="single"/>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2"/>
      <color indexed="9"/>
      <name val="Courier"/>
      <family val="3"/>
    </font>
    <font>
      <sz val="12"/>
      <color indexed="9"/>
      <name val="Courier New"/>
      <family val="3"/>
    </font>
    <font>
      <sz val="8"/>
      <color indexed="9"/>
      <name val="Times New Roman"/>
      <family val="1"/>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rgb="FFFF0000"/>
      <name val="Times New Roman"/>
      <family val="1"/>
    </font>
    <font>
      <b/>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0"/>
      <color rgb="FFFF0000"/>
      <name val="Times New Roman"/>
      <family val="1"/>
    </font>
    <font>
      <b/>
      <sz val="10"/>
      <color rgb="FFFF0000"/>
      <name val="Times New Roman"/>
      <family val="1"/>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43"/>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13"/>
        <bgColor indexed="64"/>
      </patternFill>
    </fill>
    <fill>
      <patternFill patternType="solid">
        <fgColor indexed="34"/>
        <bgColor indexed="64"/>
      </patternFill>
    </fill>
    <fill>
      <patternFill patternType="solid">
        <fgColor rgb="FFFFFFC0"/>
        <bgColor indexed="64"/>
      </patternFill>
    </fill>
    <fill>
      <patternFill patternType="solid">
        <fgColor rgb="FFFFFF00"/>
        <bgColor indexed="64"/>
      </patternFill>
    </fill>
    <fill>
      <patternFill patternType="solid">
        <fgColor rgb="FF00FF00"/>
        <bgColor indexed="64"/>
      </patternFill>
    </fill>
    <fill>
      <patternFill patternType="solid">
        <fgColor rgb="FFFFFF9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double"/>
    </border>
    <border>
      <left>
        <color indexed="63"/>
      </left>
      <right style="thin"/>
      <top>
        <color indexed="63"/>
      </top>
      <bottom>
        <color indexed="63"/>
      </bottom>
    </border>
    <border>
      <left style="thin"/>
      <right style="thin"/>
      <top>
        <color indexed="63"/>
      </top>
      <bottom style="double"/>
    </border>
    <border>
      <left>
        <color indexed="63"/>
      </left>
      <right style="thin"/>
      <top>
        <color indexed="63"/>
      </top>
      <bottom style="double"/>
    </border>
    <border>
      <left style="thin"/>
      <right>
        <color indexed="63"/>
      </right>
      <top>
        <color indexed="63"/>
      </top>
      <bottom style="thin"/>
    </border>
    <border>
      <left style="thin"/>
      <right>
        <color indexed="63"/>
      </right>
      <top>
        <color indexed="63"/>
      </top>
      <bottom>
        <color indexed="63"/>
      </bottom>
    </border>
    <border>
      <left style="thin"/>
      <right style="thin"/>
      <top style="thin"/>
      <bottom style="double"/>
    </border>
    <border>
      <left style="thin"/>
      <right style="thin"/>
      <top style="thin"/>
      <bottom style="medium"/>
    </border>
  </borders>
  <cellStyleXfs count="4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10"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11"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0" borderId="0">
      <alignment/>
      <protection/>
    </xf>
    <xf numFmtId="0" fontId="5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631">
    <xf numFmtId="0" fontId="0" fillId="0" borderId="0" xfId="0" applyAlignment="1">
      <alignment/>
    </xf>
    <xf numFmtId="0" fontId="4" fillId="0" borderId="0" xfId="0" applyFont="1" applyAlignment="1" applyProtection="1">
      <alignment/>
      <protection locked="0"/>
    </xf>
    <xf numFmtId="0" fontId="4" fillId="0" borderId="0" xfId="0" applyFont="1" applyAlignment="1">
      <alignment/>
    </xf>
    <xf numFmtId="0" fontId="4" fillId="0" borderId="0" xfId="0" applyFont="1" applyAlignment="1">
      <alignment/>
    </xf>
    <xf numFmtId="0" fontId="4" fillId="33" borderId="0" xfId="0" applyFont="1" applyFill="1" applyAlignment="1" applyProtection="1">
      <alignment/>
      <protection locked="0"/>
    </xf>
    <xf numFmtId="37" fontId="4" fillId="34" borderId="10" xfId="0" applyNumberFormat="1" applyFont="1" applyFill="1" applyBorder="1" applyAlignment="1" applyProtection="1">
      <alignment horizontal="center"/>
      <protection/>
    </xf>
    <xf numFmtId="37" fontId="4" fillId="34" borderId="0" xfId="0" applyNumberFormat="1" applyFont="1" applyFill="1" applyAlignment="1" applyProtection="1">
      <alignment horizontal="right"/>
      <protection/>
    </xf>
    <xf numFmtId="0" fontId="4" fillId="34" borderId="0" xfId="0" applyFont="1" applyFill="1" applyAlignment="1" applyProtection="1">
      <alignment/>
      <protection/>
    </xf>
    <xf numFmtId="37" fontId="4" fillId="34" borderId="0" xfId="0" applyNumberFormat="1" applyFont="1" applyFill="1" applyAlignment="1" applyProtection="1">
      <alignment horizontal="left"/>
      <protection/>
    </xf>
    <xf numFmtId="37" fontId="4" fillId="34" borderId="0" xfId="0" applyNumberFormat="1" applyFont="1" applyFill="1" applyAlignment="1" applyProtection="1">
      <alignment horizontal="centerContinuous"/>
      <protection/>
    </xf>
    <xf numFmtId="0" fontId="4" fillId="34" borderId="0" xfId="0" applyFont="1" applyFill="1" applyAlignment="1" applyProtection="1">
      <alignment horizontal="centerContinuous"/>
      <protection/>
    </xf>
    <xf numFmtId="37" fontId="4" fillId="34" borderId="11" xfId="0" applyNumberFormat="1" applyFont="1" applyFill="1" applyBorder="1" applyAlignment="1" applyProtection="1">
      <alignment/>
      <protection/>
    </xf>
    <xf numFmtId="37" fontId="4" fillId="34" borderId="0" xfId="0" applyNumberFormat="1" applyFont="1" applyFill="1" applyAlignment="1" applyProtection="1">
      <alignment/>
      <protection/>
    </xf>
    <xf numFmtId="0" fontId="4" fillId="34" borderId="0" xfId="0" applyFont="1" applyFill="1" applyAlignment="1">
      <alignment/>
    </xf>
    <xf numFmtId="0" fontId="4" fillId="34" borderId="0" xfId="0" applyFont="1" applyFill="1" applyAlignment="1" applyProtection="1">
      <alignment horizontal="center"/>
      <protection/>
    </xf>
    <xf numFmtId="0" fontId="14" fillId="0" borderId="0" xfId="0" applyFont="1" applyAlignment="1">
      <alignment horizontal="center" vertical="top"/>
    </xf>
    <xf numFmtId="0" fontId="0" fillId="0" borderId="0" xfId="0" applyAlignment="1">
      <alignment vertical="top"/>
    </xf>
    <xf numFmtId="0" fontId="14" fillId="0" borderId="0" xfId="0" applyFont="1" applyAlignment="1">
      <alignment vertical="top"/>
    </xf>
    <xf numFmtId="0" fontId="12" fillId="0" borderId="0" xfId="478" applyAlignment="1">
      <alignment vertical="top"/>
      <protection/>
    </xf>
    <xf numFmtId="0" fontId="12" fillId="0" borderId="0" xfId="478">
      <alignment/>
      <protection/>
    </xf>
    <xf numFmtId="0" fontId="15" fillId="0" borderId="0" xfId="0" applyFont="1" applyAlignment="1">
      <alignment vertical="top"/>
    </xf>
    <xf numFmtId="0" fontId="8" fillId="0" borderId="0" xfId="0" applyFont="1" applyAlignment="1">
      <alignment horizontal="center" vertical="top"/>
    </xf>
    <xf numFmtId="0" fontId="14" fillId="0" borderId="0" xfId="0" applyFont="1" applyAlignment="1">
      <alignment horizontal="left" vertical="top"/>
    </xf>
    <xf numFmtId="0" fontId="8" fillId="0" borderId="0" xfId="0" applyFont="1" applyAlignment="1">
      <alignment horizontal="left" vertical="top"/>
    </xf>
    <xf numFmtId="0" fontId="8" fillId="0" borderId="0" xfId="0" applyFont="1" applyAlignment="1">
      <alignment vertical="top"/>
    </xf>
    <xf numFmtId="0" fontId="16" fillId="0" borderId="0" xfId="0" applyFont="1" applyAlignment="1">
      <alignment/>
    </xf>
    <xf numFmtId="0" fontId="16" fillId="0" borderId="0" xfId="0" applyNumberFormat="1" applyFont="1" applyAlignment="1">
      <alignment/>
    </xf>
    <xf numFmtId="0" fontId="8" fillId="0" borderId="0" xfId="0" applyFont="1" applyAlignment="1">
      <alignment/>
    </xf>
    <xf numFmtId="0" fontId="8" fillId="0" borderId="0" xfId="0" applyFont="1" applyAlignment="1">
      <alignment/>
    </xf>
    <xf numFmtId="0" fontId="17" fillId="0" borderId="0" xfId="0" applyFont="1" applyAlignment="1">
      <alignment/>
    </xf>
    <xf numFmtId="37" fontId="4" fillId="34" borderId="0" xfId="0" applyNumberFormat="1" applyFont="1" applyFill="1" applyBorder="1" applyAlignment="1" applyProtection="1">
      <alignment horizontal="left"/>
      <protection/>
    </xf>
    <xf numFmtId="0" fontId="4" fillId="34" borderId="0" xfId="0" applyFont="1" applyFill="1" applyAlignment="1">
      <alignment horizontal="center"/>
    </xf>
    <xf numFmtId="0" fontId="4" fillId="0" borderId="0" xfId="0" applyFont="1" applyAlignment="1">
      <alignment vertical="top"/>
    </xf>
    <xf numFmtId="0" fontId="4" fillId="0" borderId="0" xfId="478" applyFont="1" applyAlignment="1">
      <alignment vertical="top"/>
      <protection/>
    </xf>
    <xf numFmtId="0" fontId="21" fillId="0" borderId="0" xfId="0" applyNumberFormat="1" applyFont="1" applyAlignment="1">
      <alignment vertical="top"/>
    </xf>
    <xf numFmtId="0" fontId="21" fillId="0" borderId="0" xfId="0" applyFont="1" applyAlignment="1">
      <alignment/>
    </xf>
    <xf numFmtId="0" fontId="4" fillId="0" borderId="0" xfId="478" applyFont="1">
      <alignment/>
      <protection/>
    </xf>
    <xf numFmtId="0" fontId="4" fillId="0" borderId="0" xfId="0" applyFont="1" applyAlignment="1">
      <alignment horizontal="right"/>
    </xf>
    <xf numFmtId="166" fontId="4" fillId="34" borderId="0" xfId="0" applyNumberFormat="1" applyFont="1" applyFill="1" applyAlignment="1" applyProtection="1">
      <alignment horizontal="center"/>
      <protection/>
    </xf>
    <xf numFmtId="37" fontId="4" fillId="34" borderId="12" xfId="0" applyNumberFormat="1" applyFont="1" applyFill="1" applyBorder="1" applyAlignment="1" applyProtection="1">
      <alignment horizontal="center"/>
      <protection/>
    </xf>
    <xf numFmtId="37" fontId="4" fillId="34" borderId="0" xfId="0" applyNumberFormat="1" applyFont="1" applyFill="1" applyBorder="1" applyAlignment="1" applyProtection="1">
      <alignment horizontal="center"/>
      <protection/>
    </xf>
    <xf numFmtId="165" fontId="4" fillId="35" borderId="12" xfId="0" applyNumberFormat="1" applyFont="1" applyFill="1" applyBorder="1" applyAlignment="1" applyProtection="1">
      <alignment horizontal="center"/>
      <protection/>
    </xf>
    <xf numFmtId="165" fontId="4" fillId="34" borderId="0" xfId="0" applyNumberFormat="1" applyFont="1" applyFill="1" applyBorder="1" applyAlignment="1" applyProtection="1">
      <alignment horizontal="center"/>
      <protection/>
    </xf>
    <xf numFmtId="0" fontId="4" fillId="34" borderId="0" xfId="0" applyFont="1" applyFill="1" applyAlignment="1">
      <alignment horizontal="left"/>
    </xf>
    <xf numFmtId="37" fontId="5" fillId="34" borderId="0" xfId="0" applyNumberFormat="1" applyFont="1" applyFill="1" applyAlignment="1" applyProtection="1">
      <alignment horizontal="center"/>
      <protection/>
    </xf>
    <xf numFmtId="0" fontId="0" fillId="34" borderId="0" xfId="0" applyFill="1" applyAlignment="1">
      <alignment/>
    </xf>
    <xf numFmtId="0" fontId="0" fillId="34" borderId="0" xfId="0" applyFill="1" applyAlignment="1">
      <alignment/>
    </xf>
    <xf numFmtId="177" fontId="4" fillId="34" borderId="0" xfId="0" applyNumberFormat="1" applyFont="1" applyFill="1" applyBorder="1" applyAlignment="1" applyProtection="1">
      <alignment horizontal="center"/>
      <protection/>
    </xf>
    <xf numFmtId="0" fontId="4" fillId="0" borderId="0" xfId="0" applyFont="1" applyAlignment="1">
      <alignment vertical="center"/>
    </xf>
    <xf numFmtId="0" fontId="4" fillId="36" borderId="0" xfId="0" applyFont="1" applyFill="1" applyAlignment="1">
      <alignment vertical="center"/>
    </xf>
    <xf numFmtId="37" fontId="4" fillId="34" borderId="0" xfId="0" applyNumberFormat="1" applyFont="1" applyFill="1" applyAlignment="1" applyProtection="1">
      <alignment horizontal="left" vertical="center"/>
      <protection/>
    </xf>
    <xf numFmtId="0" fontId="4" fillId="34" borderId="0" xfId="0" applyFont="1" applyFill="1" applyAlignment="1" applyProtection="1">
      <alignment vertical="center"/>
      <protection/>
    </xf>
    <xf numFmtId="0" fontId="4" fillId="33" borderId="12" xfId="0" applyFont="1" applyFill="1" applyBorder="1" applyAlignment="1" applyProtection="1">
      <alignment vertical="center"/>
      <protection/>
    </xf>
    <xf numFmtId="37" fontId="4" fillId="33" borderId="12" xfId="0" applyNumberFormat="1" applyFont="1" applyFill="1" applyBorder="1" applyAlignment="1" applyProtection="1">
      <alignment horizontal="lef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horizontal="left" vertical="center"/>
      <protection locked="0"/>
    </xf>
    <xf numFmtId="0" fontId="5" fillId="33" borderId="11" xfId="0" applyFont="1" applyFill="1" applyBorder="1" applyAlignment="1" applyProtection="1">
      <alignment horizontal="center" vertical="center"/>
      <protection locked="0"/>
    </xf>
    <xf numFmtId="0" fontId="5" fillId="34" borderId="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7" borderId="0" xfId="0" applyFont="1" applyFill="1" applyAlignment="1" applyProtection="1">
      <alignment vertical="center"/>
      <protection/>
    </xf>
    <xf numFmtId="0" fontId="4" fillId="37" borderId="0" xfId="0" applyFont="1" applyFill="1" applyAlignment="1" applyProtection="1">
      <alignment vertical="center"/>
      <protection/>
    </xf>
    <xf numFmtId="37" fontId="5" fillId="37" borderId="0" xfId="0" applyNumberFormat="1" applyFont="1" applyFill="1" applyAlignment="1" applyProtection="1">
      <alignment horizontal="left" vertical="center"/>
      <protection/>
    </xf>
    <xf numFmtId="0" fontId="4" fillId="34" borderId="0" xfId="0" applyFont="1" applyFill="1" applyAlignment="1" applyProtection="1">
      <alignment horizontal="center" vertical="center"/>
      <protection/>
    </xf>
    <xf numFmtId="0" fontId="4" fillId="37" borderId="13" xfId="0" applyFont="1" applyFill="1" applyBorder="1" applyAlignment="1" applyProtection="1">
      <alignment horizontal="center" vertical="center"/>
      <protection/>
    </xf>
    <xf numFmtId="37" fontId="4" fillId="37" borderId="13" xfId="0" applyNumberFormat="1" applyFont="1" applyFill="1" applyBorder="1" applyAlignment="1" applyProtection="1">
      <alignment horizontal="center" vertical="center"/>
      <protection/>
    </xf>
    <xf numFmtId="0" fontId="4" fillId="37" borderId="13" xfId="0" applyNumberFormat="1" applyFont="1" applyFill="1" applyBorder="1" applyAlignment="1" applyProtection="1">
      <alignment horizontal="center" vertical="center"/>
      <protection/>
    </xf>
    <xf numFmtId="37" fontId="4" fillId="34" borderId="0" xfId="0" applyNumberFormat="1" applyFont="1" applyFill="1" applyAlignment="1" applyProtection="1">
      <alignment horizontal="center" vertical="center"/>
      <protection/>
    </xf>
    <xf numFmtId="37" fontId="4" fillId="37" borderId="14" xfId="0" applyNumberFormat="1" applyFont="1" applyFill="1" applyBorder="1" applyAlignment="1" applyProtection="1">
      <alignment horizontal="center"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wrapText="1"/>
      <protection locked="0"/>
    </xf>
    <xf numFmtId="164" fontId="4" fillId="33" borderId="11" xfId="0" applyNumberFormat="1" applyFont="1" applyFill="1" applyBorder="1" applyAlignment="1" applyProtection="1">
      <alignment vertical="center"/>
      <protection locked="0"/>
    </xf>
    <xf numFmtId="0" fontId="4" fillId="34" borderId="11" xfId="0" applyFont="1" applyFill="1" applyBorder="1" applyAlignment="1" applyProtection="1">
      <alignment vertical="center"/>
      <protection/>
    </xf>
    <xf numFmtId="164" fontId="4" fillId="33" borderId="11" xfId="0" applyNumberFormat="1" applyFont="1" applyFill="1" applyBorder="1" applyAlignment="1" applyProtection="1">
      <alignment vertical="center"/>
      <protection locked="0"/>
    </xf>
    <xf numFmtId="0" fontId="4" fillId="33" borderId="11" xfId="0" applyFont="1" applyFill="1" applyBorder="1" applyAlignment="1" applyProtection="1">
      <alignment horizontal="left" vertical="center"/>
      <protection locked="0"/>
    </xf>
    <xf numFmtId="0" fontId="4" fillId="33" borderId="11" xfId="0"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37" fontId="4" fillId="34" borderId="12" xfId="0" applyNumberFormat="1" applyFont="1" applyFill="1" applyBorder="1" applyAlignment="1" applyProtection="1">
      <alignment horizontal="left" vertical="center"/>
      <protection/>
    </xf>
    <xf numFmtId="0" fontId="4" fillId="34" borderId="12" xfId="0" applyFont="1" applyFill="1" applyBorder="1" applyAlignment="1" applyProtection="1">
      <alignment vertical="center"/>
      <protection/>
    </xf>
    <xf numFmtId="0" fontId="4" fillId="34" borderId="15" xfId="0" applyFont="1" applyFill="1" applyBorder="1" applyAlignment="1" applyProtection="1">
      <alignment vertical="center"/>
      <protection/>
    </xf>
    <xf numFmtId="3" fontId="4" fillId="35" borderId="15" xfId="0" applyNumberFormat="1" applyFont="1" applyFill="1" applyBorder="1" applyAlignment="1" applyProtection="1">
      <alignment vertical="center"/>
      <protection/>
    </xf>
    <xf numFmtId="164" fontId="4" fillId="35" borderId="11"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locked="0"/>
    </xf>
    <xf numFmtId="0" fontId="4" fillId="34" borderId="16" xfId="0" applyFont="1" applyFill="1" applyBorder="1" applyAlignment="1" applyProtection="1">
      <alignment vertical="center"/>
      <protection/>
    </xf>
    <xf numFmtId="3" fontId="4" fillId="35" borderId="11" xfId="0" applyNumberFormat="1" applyFont="1" applyFill="1" applyBorder="1" applyAlignment="1" applyProtection="1">
      <alignment vertical="center"/>
      <protection/>
    </xf>
    <xf numFmtId="37" fontId="4" fillId="34" borderId="0" xfId="0" applyNumberFormat="1" applyFont="1" applyFill="1" applyBorder="1" applyAlignment="1" applyProtection="1">
      <alignment horizontal="left" vertical="center"/>
      <protection/>
    </xf>
    <xf numFmtId="164" fontId="4" fillId="34" borderId="0" xfId="0" applyNumberFormat="1" applyFont="1" applyFill="1" applyBorder="1" applyAlignment="1" applyProtection="1">
      <alignment vertical="center"/>
      <protection locked="0"/>
    </xf>
    <xf numFmtId="3" fontId="4" fillId="34" borderId="0" xfId="0" applyNumberFormat="1" applyFont="1" applyFill="1" applyBorder="1" applyAlignment="1" applyProtection="1">
      <alignment vertical="center"/>
      <protection/>
    </xf>
    <xf numFmtId="37" fontId="5" fillId="38" borderId="0" xfId="0" applyNumberFormat="1" applyFont="1" applyFill="1" applyAlignment="1" applyProtection="1">
      <alignment horizontal="left" vertical="center"/>
      <protection/>
    </xf>
    <xf numFmtId="0" fontId="4" fillId="34" borderId="0" xfId="0" applyFont="1" applyFill="1" applyAlignment="1">
      <alignment vertical="center"/>
    </xf>
    <xf numFmtId="0" fontId="4" fillId="38" borderId="0" xfId="0" applyFont="1" applyFill="1" applyAlignment="1" applyProtection="1">
      <alignment vertical="center"/>
      <protection/>
    </xf>
    <xf numFmtId="37" fontId="4" fillId="34" borderId="11"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left" vertical="center"/>
      <protection/>
    </xf>
    <xf numFmtId="0" fontId="4" fillId="37" borderId="12" xfId="0" applyFont="1" applyFill="1" applyBorder="1" applyAlignment="1" applyProtection="1">
      <alignment vertical="center"/>
      <protection/>
    </xf>
    <xf numFmtId="37" fontId="4" fillId="37" borderId="17" xfId="0" applyNumberFormat="1" applyFont="1" applyFill="1" applyBorder="1" applyAlignment="1" applyProtection="1">
      <alignment horizontal="left" vertical="center"/>
      <protection/>
    </xf>
    <xf numFmtId="0" fontId="4" fillId="37" borderId="17" xfId="0" applyFont="1" applyFill="1" applyBorder="1" applyAlignment="1" applyProtection="1">
      <alignment vertical="center"/>
      <protection/>
    </xf>
    <xf numFmtId="0" fontId="4" fillId="34" borderId="17" xfId="0" applyFont="1" applyFill="1" applyBorder="1" applyAlignment="1" applyProtection="1">
      <alignment vertical="center"/>
      <protection/>
    </xf>
    <xf numFmtId="3" fontId="4" fillId="34" borderId="0" xfId="0" applyNumberFormat="1" applyFont="1" applyFill="1" applyBorder="1" applyAlignment="1" applyProtection="1">
      <alignment vertical="center"/>
      <protection locked="0"/>
    </xf>
    <xf numFmtId="37" fontId="23" fillId="38" borderId="0" xfId="0" applyNumberFormat="1" applyFont="1" applyFill="1" applyAlignment="1" applyProtection="1">
      <alignment horizontal="left" vertical="center"/>
      <protection/>
    </xf>
    <xf numFmtId="0" fontId="6" fillId="37" borderId="0" xfId="0" applyFont="1" applyFill="1" applyAlignment="1">
      <alignment vertical="center"/>
    </xf>
    <xf numFmtId="0" fontId="4" fillId="38" borderId="0" xfId="0" applyFont="1" applyFill="1" applyAlignment="1" applyProtection="1">
      <alignment vertical="center"/>
      <protection locked="0"/>
    </xf>
    <xf numFmtId="0" fontId="4" fillId="34" borderId="0" xfId="0" applyFont="1" applyFill="1" applyAlignment="1" applyProtection="1">
      <alignment vertical="center"/>
      <protection locked="0"/>
    </xf>
    <xf numFmtId="0" fontId="4" fillId="34" borderId="12" xfId="0" applyFont="1" applyFill="1" applyBorder="1" applyAlignment="1" applyProtection="1">
      <alignment horizontal="center" vertical="center"/>
      <protection/>
    </xf>
    <xf numFmtId="0" fontId="4" fillId="34" borderId="12" xfId="0" applyFont="1" applyFill="1" applyBorder="1" applyAlignment="1" applyProtection="1">
      <alignment horizontal="center" vertical="center"/>
      <protection locked="0"/>
    </xf>
    <xf numFmtId="0" fontId="4" fillId="38" borderId="12" xfId="0" applyFont="1" applyFill="1" applyBorder="1" applyAlignment="1" applyProtection="1">
      <alignment vertical="center"/>
      <protection locked="0"/>
    </xf>
    <xf numFmtId="0" fontId="4" fillId="34" borderId="0" xfId="0" applyFont="1" applyFill="1" applyBorder="1" applyAlignment="1" applyProtection="1">
      <alignment vertical="center"/>
      <protection locked="0"/>
    </xf>
    <xf numFmtId="0" fontId="4" fillId="38" borderId="17" xfId="0" applyFont="1" applyFill="1" applyBorder="1" applyAlignment="1" applyProtection="1">
      <alignment vertical="center"/>
      <protection locked="0"/>
    </xf>
    <xf numFmtId="0" fontId="4" fillId="0" borderId="0" xfId="0" applyFont="1" applyAlignment="1" applyProtection="1">
      <alignment vertical="center"/>
      <protection locked="0"/>
    </xf>
    <xf numFmtId="37" fontId="4" fillId="34" borderId="0" xfId="0" applyNumberFormat="1" applyFont="1" applyFill="1" applyAlignment="1">
      <alignment vertical="center"/>
    </xf>
    <xf numFmtId="3" fontId="4" fillId="34" borderId="0" xfId="0" applyNumberFormat="1" applyFont="1" applyFill="1" applyAlignment="1" applyProtection="1">
      <alignment vertical="center"/>
      <protection/>
    </xf>
    <xf numFmtId="37" fontId="4" fillId="34" borderId="17" xfId="0" applyNumberFormat="1" applyFont="1" applyFill="1" applyBorder="1" applyAlignment="1" applyProtection="1">
      <alignment horizontal="left" vertical="center"/>
      <protection/>
    </xf>
    <xf numFmtId="37" fontId="4" fillId="33" borderId="11" xfId="0" applyNumberFormat="1" applyFont="1" applyFill="1" applyBorder="1" applyAlignment="1" applyProtection="1">
      <alignment vertical="center"/>
      <protection locked="0"/>
    </xf>
    <xf numFmtId="37" fontId="4" fillId="34" borderId="18" xfId="0" applyNumberFormat="1" applyFont="1" applyFill="1" applyBorder="1" applyAlignment="1" applyProtection="1">
      <alignment horizontal="left" vertical="center"/>
      <protection/>
    </xf>
    <xf numFmtId="3" fontId="4" fillId="34" borderId="16" xfId="0" applyNumberFormat="1" applyFont="1" applyFill="1" applyBorder="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0" fontId="5" fillId="34" borderId="0" xfId="0" applyFont="1" applyFill="1" applyAlignment="1" applyProtection="1">
      <alignment vertical="center"/>
      <protection/>
    </xf>
    <xf numFmtId="0" fontId="0" fillId="34" borderId="0" xfId="0" applyFill="1" applyAlignment="1">
      <alignment vertical="center"/>
    </xf>
    <xf numFmtId="0" fontId="4" fillId="37" borderId="13" xfId="0" applyFont="1" applyFill="1" applyBorder="1" applyAlignment="1">
      <alignment horizontal="center" vertical="center"/>
    </xf>
    <xf numFmtId="0" fontId="4" fillId="37" borderId="10" xfId="0" applyFont="1" applyFill="1" applyBorder="1" applyAlignment="1">
      <alignment horizontal="center" vertical="center"/>
    </xf>
    <xf numFmtId="0" fontId="24" fillId="34" borderId="0" xfId="0" applyFont="1" applyFill="1" applyAlignment="1">
      <alignment vertical="center"/>
    </xf>
    <xf numFmtId="0" fontId="29" fillId="34" borderId="0" xfId="0" applyFont="1" applyFill="1" applyAlignment="1">
      <alignment vertical="center"/>
    </xf>
    <xf numFmtId="0" fontId="4" fillId="37" borderId="14" xfId="0" applyFont="1" applyFill="1" applyBorder="1" applyAlignment="1">
      <alignment horizontal="center" vertical="center"/>
    </xf>
    <xf numFmtId="37" fontId="4" fillId="34" borderId="14" xfId="0" applyNumberFormat="1" applyFont="1" applyFill="1" applyBorder="1" applyAlignment="1">
      <alignment vertical="center"/>
    </xf>
    <xf numFmtId="3" fontId="4" fillId="33" borderId="14" xfId="0" applyNumberFormat="1" applyFont="1" applyFill="1" applyBorder="1" applyAlignment="1" applyProtection="1">
      <alignment vertical="center"/>
      <protection locked="0"/>
    </xf>
    <xf numFmtId="0" fontId="18" fillId="34" borderId="0" xfId="0" applyFont="1" applyFill="1" applyAlignment="1">
      <alignment vertical="center"/>
    </xf>
    <xf numFmtId="0" fontId="18" fillId="0" borderId="0" xfId="0" applyFont="1" applyAlignment="1">
      <alignment vertical="center"/>
    </xf>
    <xf numFmtId="0" fontId="18" fillId="34" borderId="0" xfId="0" applyFont="1" applyFill="1" applyAlignment="1" applyProtection="1">
      <alignment vertical="center"/>
      <protection/>
    </xf>
    <xf numFmtId="37" fontId="18" fillId="34" borderId="0" xfId="0" applyNumberFormat="1" applyFont="1" applyFill="1" applyAlignment="1" applyProtection="1">
      <alignment horizontal="centerContinuous" vertical="center"/>
      <protection/>
    </xf>
    <xf numFmtId="0" fontId="18" fillId="34" borderId="0" xfId="0" applyFont="1" applyFill="1" applyAlignment="1" applyProtection="1">
      <alignment horizontal="centerContinuous" vertical="center"/>
      <protection/>
    </xf>
    <xf numFmtId="37" fontId="18" fillId="34" borderId="0" xfId="0" applyNumberFormat="1" applyFont="1" applyFill="1" applyAlignment="1" applyProtection="1">
      <alignment horizontal="left" vertical="center"/>
      <protection/>
    </xf>
    <xf numFmtId="37" fontId="18" fillId="34" borderId="0" xfId="0" applyNumberFormat="1" applyFont="1" applyFill="1" applyAlignment="1" applyProtection="1">
      <alignment horizontal="fill" vertical="center"/>
      <protection/>
    </xf>
    <xf numFmtId="37" fontId="18" fillId="34" borderId="18" xfId="0" applyNumberFormat="1" applyFont="1" applyFill="1" applyBorder="1" applyAlignment="1" applyProtection="1">
      <alignment horizontal="centerContinuous" vertical="center"/>
      <protection/>
    </xf>
    <xf numFmtId="0" fontId="18" fillId="34" borderId="17" xfId="0" applyFont="1" applyFill="1" applyBorder="1" applyAlignment="1" applyProtection="1">
      <alignment horizontal="centerContinuous" vertical="center"/>
      <protection/>
    </xf>
    <xf numFmtId="0" fontId="18" fillId="34" borderId="15" xfId="0" applyFont="1" applyFill="1" applyBorder="1" applyAlignment="1" applyProtection="1">
      <alignment horizontal="centerContinuous" vertical="center"/>
      <protection/>
    </xf>
    <xf numFmtId="37" fontId="18" fillId="34" borderId="13" xfId="0" applyNumberFormat="1" applyFont="1" applyFill="1" applyBorder="1" applyAlignment="1" applyProtection="1">
      <alignment horizontal="center" vertical="center"/>
      <protection/>
    </xf>
    <xf numFmtId="37" fontId="19" fillId="34" borderId="12" xfId="0" applyNumberFormat="1" applyFont="1" applyFill="1" applyBorder="1" applyAlignment="1" applyProtection="1">
      <alignment horizontal="left" vertical="center"/>
      <protection/>
    </xf>
    <xf numFmtId="0" fontId="18" fillId="34" borderId="12" xfId="0" applyFont="1" applyFill="1" applyBorder="1" applyAlignment="1" applyProtection="1">
      <alignment vertical="center"/>
      <protection/>
    </xf>
    <xf numFmtId="37" fontId="18" fillId="34" borderId="14" xfId="0" applyNumberFormat="1" applyFont="1" applyFill="1" applyBorder="1" applyAlignment="1" applyProtection="1">
      <alignment horizontal="center" vertical="center"/>
      <protection/>
    </xf>
    <xf numFmtId="37" fontId="18" fillId="34" borderId="11" xfId="0" applyNumberFormat="1" applyFont="1" applyFill="1" applyBorder="1" applyAlignment="1" applyProtection="1">
      <alignment horizontal="left" vertical="center"/>
      <protection/>
    </xf>
    <xf numFmtId="37" fontId="18" fillId="34" borderId="10" xfId="0" applyNumberFormat="1" applyFont="1" applyFill="1" applyBorder="1" applyAlignment="1" applyProtection="1">
      <alignment horizontal="center" vertical="center"/>
      <protection/>
    </xf>
    <xf numFmtId="0" fontId="18" fillId="34" borderId="0" xfId="0" applyFont="1" applyFill="1" applyBorder="1" applyAlignment="1" applyProtection="1">
      <alignment vertical="center"/>
      <protection/>
    </xf>
    <xf numFmtId="37" fontId="18" fillId="34" borderId="18" xfId="0" applyNumberFormat="1" applyFont="1" applyFill="1" applyBorder="1" applyAlignment="1" applyProtection="1">
      <alignment horizontal="left" vertical="center"/>
      <protection/>
    </xf>
    <xf numFmtId="0" fontId="18" fillId="34" borderId="15" xfId="0" applyFont="1" applyFill="1" applyBorder="1" applyAlignment="1" applyProtection="1">
      <alignment vertical="center"/>
      <protection/>
    </xf>
    <xf numFmtId="37" fontId="18" fillId="34" borderId="16" xfId="0" applyNumberFormat="1" applyFont="1" applyFill="1" applyBorder="1" applyAlignment="1" applyProtection="1">
      <alignment horizontal="center" vertical="center"/>
      <protection/>
    </xf>
    <xf numFmtId="37" fontId="18" fillId="34" borderId="11" xfId="0" applyNumberFormat="1" applyFont="1" applyFill="1" applyBorder="1" applyAlignment="1" applyProtection="1">
      <alignment horizontal="center" vertical="center"/>
      <protection/>
    </xf>
    <xf numFmtId="0" fontId="18" fillId="34" borderId="10" xfId="0" applyFont="1" applyFill="1" applyBorder="1" applyAlignment="1" applyProtection="1">
      <alignment vertical="center"/>
      <protection/>
    </xf>
    <xf numFmtId="37" fontId="18" fillId="34" borderId="15" xfId="0" applyNumberFormat="1" applyFont="1" applyFill="1" applyBorder="1" applyAlignment="1" applyProtection="1">
      <alignment horizontal="center" vertical="center"/>
      <protection/>
    </xf>
    <xf numFmtId="37" fontId="28" fillId="34" borderId="14" xfId="0" applyNumberFormat="1" applyFont="1" applyFill="1" applyBorder="1" applyAlignment="1" applyProtection="1">
      <alignment horizontal="left" vertical="center"/>
      <protection/>
    </xf>
    <xf numFmtId="37" fontId="28" fillId="34" borderId="14" xfId="0" applyNumberFormat="1" applyFont="1" applyFill="1" applyBorder="1" applyAlignment="1" applyProtection="1">
      <alignment horizontal="center" vertical="center"/>
      <protection/>
    </xf>
    <xf numFmtId="0" fontId="18" fillId="34" borderId="11" xfId="0" applyFont="1" applyFill="1" applyBorder="1" applyAlignment="1" applyProtection="1">
      <alignment vertical="center"/>
      <protection/>
    </xf>
    <xf numFmtId="0" fontId="18" fillId="34" borderId="14" xfId="0" applyFont="1" applyFill="1" applyBorder="1" applyAlignment="1" applyProtection="1">
      <alignment vertical="center"/>
      <protection/>
    </xf>
    <xf numFmtId="37" fontId="18" fillId="34" borderId="18" xfId="0" applyNumberFormat="1" applyFont="1" applyFill="1" applyBorder="1" applyAlignment="1" applyProtection="1">
      <alignment horizontal="center" vertical="center"/>
      <protection/>
    </xf>
    <xf numFmtId="37" fontId="18" fillId="34" borderId="11" xfId="0" applyNumberFormat="1" applyFont="1" applyFill="1" applyBorder="1" applyAlignment="1" applyProtection="1">
      <alignment vertical="center"/>
      <protection/>
    </xf>
    <xf numFmtId="37" fontId="4" fillId="34" borderId="11" xfId="0" applyNumberFormat="1" applyFont="1" applyFill="1" applyBorder="1" applyAlignment="1" applyProtection="1">
      <alignment horizontal="center" vertical="center"/>
      <protection/>
    </xf>
    <xf numFmtId="0" fontId="18" fillId="34" borderId="11" xfId="0" applyFont="1" applyFill="1" applyBorder="1" applyAlignment="1" applyProtection="1">
      <alignment horizontal="center" vertical="center"/>
      <protection/>
    </xf>
    <xf numFmtId="0" fontId="18" fillId="34" borderId="13" xfId="0" applyFont="1" applyFill="1" applyBorder="1" applyAlignment="1" applyProtection="1">
      <alignment vertical="center"/>
      <protection/>
    </xf>
    <xf numFmtId="37" fontId="19" fillId="34" borderId="13" xfId="0" applyNumberFormat="1" applyFont="1" applyFill="1" applyBorder="1" applyAlignment="1" applyProtection="1">
      <alignment horizontal="left" vertical="center"/>
      <protection/>
    </xf>
    <xf numFmtId="37" fontId="18" fillId="34" borderId="19" xfId="0" applyNumberFormat="1" applyFont="1" applyFill="1" applyBorder="1" applyAlignment="1" applyProtection="1">
      <alignment horizontal="left" vertical="center"/>
      <protection/>
    </xf>
    <xf numFmtId="0" fontId="18" fillId="34" borderId="20" xfId="0" applyFont="1" applyFill="1" applyBorder="1" applyAlignment="1" applyProtection="1">
      <alignment vertical="center"/>
      <protection/>
    </xf>
    <xf numFmtId="37" fontId="18" fillId="34" borderId="0" xfId="0" applyNumberFormat="1" applyFont="1" applyFill="1" applyBorder="1" applyAlignment="1" applyProtection="1">
      <alignment vertical="center"/>
      <protection/>
    </xf>
    <xf numFmtId="0" fontId="18" fillId="34" borderId="0" xfId="0" applyFont="1" applyFill="1" applyAlignment="1" applyProtection="1">
      <alignment horizontal="center" vertical="center"/>
      <protection/>
    </xf>
    <xf numFmtId="0" fontId="4" fillId="39" borderId="11" xfId="0" applyFont="1" applyFill="1" applyBorder="1" applyAlignment="1">
      <alignment horizontal="center" vertical="center" shrinkToFit="1"/>
    </xf>
    <xf numFmtId="0" fontId="24" fillId="39" borderId="15" xfId="0" applyFont="1" applyFill="1" applyBorder="1" applyAlignment="1" applyProtection="1">
      <alignment horizontal="center" vertical="center"/>
      <protection/>
    </xf>
    <xf numFmtId="3" fontId="18" fillId="33" borderId="11" xfId="0" applyNumberFormat="1" applyFont="1" applyFill="1" applyBorder="1" applyAlignment="1" applyProtection="1">
      <alignment vertical="center"/>
      <protection locked="0"/>
    </xf>
    <xf numFmtId="37" fontId="18" fillId="34" borderId="15" xfId="0" applyNumberFormat="1" applyFont="1" applyFill="1" applyBorder="1" applyAlignment="1" applyProtection="1">
      <alignment horizontal="fill" vertical="center"/>
      <protection/>
    </xf>
    <xf numFmtId="37" fontId="18" fillId="34" borderId="0" xfId="0" applyNumberFormat="1" applyFont="1" applyFill="1" applyAlignment="1" applyProtection="1">
      <alignment horizontal="right" vertical="center"/>
      <protection/>
    </xf>
    <xf numFmtId="0" fontId="18" fillId="33" borderId="12" xfId="0" applyFont="1" applyFill="1" applyBorder="1" applyAlignment="1" applyProtection="1">
      <alignment vertical="center"/>
      <protection locked="0"/>
    </xf>
    <xf numFmtId="0" fontId="18" fillId="33" borderId="17" xfId="0" applyFont="1" applyFill="1" applyBorder="1" applyAlignment="1" applyProtection="1">
      <alignment vertical="center"/>
      <protection locked="0"/>
    </xf>
    <xf numFmtId="0" fontId="18" fillId="34" borderId="0" xfId="0" applyFont="1" applyFill="1" applyAlignment="1" applyProtection="1">
      <alignment horizontal="right" vertical="center"/>
      <protection/>
    </xf>
    <xf numFmtId="0" fontId="18" fillId="34" borderId="0" xfId="0" applyFont="1" applyFill="1" applyAlignment="1" applyProtection="1">
      <alignment horizontal="left" vertical="center"/>
      <protection/>
    </xf>
    <xf numFmtId="0" fontId="18" fillId="0" borderId="0" xfId="0" applyFont="1" applyAlignment="1" applyProtection="1">
      <alignment vertical="center"/>
      <protection locked="0"/>
    </xf>
    <xf numFmtId="37" fontId="4" fillId="34" borderId="0" xfId="0" applyNumberFormat="1" applyFont="1" applyFill="1" applyAlignment="1" applyProtection="1">
      <alignment horizontal="centerContinuous" vertical="center"/>
      <protection/>
    </xf>
    <xf numFmtId="37" fontId="4" fillId="34" borderId="18" xfId="0" applyNumberFormat="1"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37" fontId="4" fillId="34" borderId="13" xfId="0" applyNumberFormat="1" applyFont="1" applyFill="1" applyBorder="1" applyAlignment="1" applyProtection="1">
      <alignment horizontal="center" vertical="center"/>
      <protection/>
    </xf>
    <xf numFmtId="37" fontId="4" fillId="34" borderId="14" xfId="0" applyNumberFormat="1" applyFont="1" applyFill="1" applyBorder="1" applyAlignment="1" applyProtection="1">
      <alignment horizontal="center" vertical="center"/>
      <protection/>
    </xf>
    <xf numFmtId="37" fontId="4" fillId="34" borderId="11" xfId="0" applyNumberFormat="1" applyFont="1" applyFill="1" applyBorder="1" applyAlignment="1" applyProtection="1">
      <alignment horizontal="fill" vertical="center"/>
      <protection/>
    </xf>
    <xf numFmtId="0" fontId="4" fillId="0" borderId="0" xfId="0" applyFont="1" applyAlignment="1" applyProtection="1">
      <alignment horizontal="center" vertical="center"/>
      <protection locked="0"/>
    </xf>
    <xf numFmtId="37" fontId="4" fillId="34" borderId="0" xfId="0" applyNumberFormat="1" applyFont="1" applyFill="1" applyAlignment="1" applyProtection="1">
      <alignment vertical="center"/>
      <protection/>
    </xf>
    <xf numFmtId="0" fontId="5" fillId="34" borderId="0" xfId="0" applyFont="1" applyFill="1" applyAlignment="1" applyProtection="1">
      <alignment horizontal="center"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4" borderId="12" xfId="0" applyNumberFormat="1" applyFont="1" applyFill="1" applyBorder="1" applyAlignment="1" applyProtection="1">
      <alignment vertical="center"/>
      <protection/>
    </xf>
    <xf numFmtId="3" fontId="4" fillId="34" borderId="21"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171" fontId="4" fillId="34" borderId="12"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2" xfId="0" applyNumberFormat="1" applyFont="1" applyFill="1" applyBorder="1" applyAlignment="1" applyProtection="1">
      <alignment vertical="center"/>
      <protection/>
    </xf>
    <xf numFmtId="0" fontId="7" fillId="0" borderId="0" xfId="0" applyFont="1" applyAlignment="1">
      <alignment vertical="center"/>
    </xf>
    <xf numFmtId="37" fontId="4" fillId="34" borderId="0" xfId="0" applyNumberFormat="1" applyFont="1" applyFill="1" applyAlignment="1" applyProtection="1">
      <alignment horizontal="right" vertical="center"/>
      <protection/>
    </xf>
    <xf numFmtId="0" fontId="5" fillId="34" borderId="12"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0"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4" fillId="34" borderId="25" xfId="0" applyFont="1" applyFill="1" applyBorder="1" applyAlignment="1" applyProtection="1">
      <alignment horizontal="center" vertical="center"/>
      <protection/>
    </xf>
    <xf numFmtId="0" fontId="4" fillId="33" borderId="14" xfId="0" applyFont="1" applyFill="1" applyBorder="1" applyAlignment="1" applyProtection="1">
      <alignment vertical="center"/>
      <protection locked="0"/>
    </xf>
    <xf numFmtId="175" fontId="4" fillId="33" borderId="14" xfId="42" applyNumberFormat="1" applyFont="1" applyFill="1" applyBorder="1" applyAlignment="1" applyProtection="1">
      <alignment vertical="center"/>
      <protection locked="0"/>
    </xf>
    <xf numFmtId="175" fontId="4" fillId="33" borderId="11" xfId="42" applyNumberFormat="1" applyFont="1" applyFill="1" applyBorder="1" applyAlignment="1" applyProtection="1">
      <alignment vertical="center"/>
      <protection locked="0"/>
    </xf>
    <xf numFmtId="0" fontId="4" fillId="34" borderId="11" xfId="0" applyFont="1" applyFill="1" applyBorder="1" applyAlignment="1" applyProtection="1">
      <alignment horizontal="center" vertical="center"/>
      <protection/>
    </xf>
    <xf numFmtId="0" fontId="4" fillId="34" borderId="11" xfId="0" applyFont="1" applyFill="1" applyBorder="1" applyAlignment="1" applyProtection="1">
      <alignment horizontal="center" vertical="center"/>
      <protection locked="0"/>
    </xf>
    <xf numFmtId="1" fontId="4" fillId="34" borderId="0" xfId="0" applyNumberFormat="1" applyFont="1" applyFill="1" applyBorder="1" applyAlignment="1" applyProtection="1">
      <alignment horizontal="right" vertical="center"/>
      <protection/>
    </xf>
    <xf numFmtId="0" fontId="5" fillId="34" borderId="0" xfId="477" applyFont="1" applyFill="1" applyAlignment="1" applyProtection="1">
      <alignment horizontal="centerContinuous" vertical="center"/>
      <protection/>
    </xf>
    <xf numFmtId="0" fontId="4" fillId="34" borderId="12" xfId="0" applyFont="1" applyFill="1" applyBorder="1" applyAlignment="1" applyProtection="1">
      <alignment horizontal="fill" vertical="center"/>
      <protection/>
    </xf>
    <xf numFmtId="0" fontId="4" fillId="34" borderId="13" xfId="0" applyFont="1" applyFill="1" applyBorder="1" applyAlignment="1" applyProtection="1">
      <alignment horizontal="center" vertical="center"/>
      <protection/>
    </xf>
    <xf numFmtId="0" fontId="4" fillId="34" borderId="19" xfId="0" applyFont="1" applyFill="1" applyBorder="1" applyAlignment="1" applyProtection="1">
      <alignment horizontal="centerContinuous" vertical="center"/>
      <protection/>
    </xf>
    <xf numFmtId="0" fontId="4" fillId="34" borderId="20" xfId="0" applyFont="1" applyFill="1" applyBorder="1" applyAlignment="1" applyProtection="1">
      <alignment horizontal="centerContinuous" vertical="center"/>
      <protection/>
    </xf>
    <xf numFmtId="0" fontId="4" fillId="34" borderId="10" xfId="0" applyFont="1" applyFill="1" applyBorder="1" applyAlignment="1" applyProtection="1">
      <alignment horizontal="center" vertical="center"/>
      <protection/>
    </xf>
    <xf numFmtId="1" fontId="4" fillId="34" borderId="26" xfId="0" applyNumberFormat="1" applyFont="1" applyFill="1" applyBorder="1" applyAlignment="1" applyProtection="1">
      <alignment horizontal="center" vertical="center"/>
      <protection/>
    </xf>
    <xf numFmtId="0" fontId="4" fillId="34" borderId="11" xfId="0"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2" fontId="4" fillId="34" borderId="11" xfId="0" applyNumberFormat="1"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0" fontId="4" fillId="33" borderId="11" xfId="0" applyFont="1" applyFill="1" applyBorder="1" applyAlignment="1" applyProtection="1">
      <alignment horizontal="center" vertical="center"/>
      <protection locked="0"/>
    </xf>
    <xf numFmtId="2" fontId="4" fillId="33" borderId="11" xfId="0" applyNumberFormat="1" applyFont="1" applyFill="1" applyBorder="1" applyAlignment="1" applyProtection="1">
      <alignment horizontal="center" vertical="center"/>
      <protection locked="0"/>
    </xf>
    <xf numFmtId="3" fontId="4" fillId="33" borderId="11" xfId="0" applyNumberFormat="1" applyFont="1" applyFill="1" applyBorder="1" applyAlignment="1" applyProtection="1">
      <alignment horizontal="center" vertical="center"/>
      <protection locked="0"/>
    </xf>
    <xf numFmtId="37" fontId="4" fillId="33" borderId="11" xfId="0" applyNumberFormat="1" applyFont="1" applyFill="1" applyBorder="1" applyAlignment="1" applyProtection="1">
      <alignment horizontal="center" vertical="center"/>
      <protection locked="0"/>
    </xf>
    <xf numFmtId="173" fontId="4" fillId="33" borderId="11" xfId="0" applyNumberFormat="1" applyFont="1" applyFill="1" applyBorder="1" applyAlignment="1" applyProtection="1">
      <alignment horizontal="center" vertical="center"/>
      <protection locked="0"/>
    </xf>
    <xf numFmtId="0" fontId="5" fillId="34" borderId="11" xfId="0" applyFont="1" applyFill="1" applyBorder="1" applyAlignment="1" applyProtection="1">
      <alignment horizontal="center" vertical="center"/>
      <protection/>
    </xf>
    <xf numFmtId="172" fontId="5" fillId="34" borderId="11" xfId="0" applyNumberFormat="1" applyFont="1" applyFill="1" applyBorder="1" applyAlignment="1" applyProtection="1">
      <alignment horizontal="center" vertical="center"/>
      <protection/>
    </xf>
    <xf numFmtId="2" fontId="5" fillId="34" borderId="11" xfId="0" applyNumberFormat="1" applyFont="1" applyFill="1" applyBorder="1" applyAlignment="1" applyProtection="1">
      <alignment horizontal="center" vertical="center"/>
      <protection/>
    </xf>
    <xf numFmtId="3" fontId="5" fillId="34" borderId="11" xfId="0" applyNumberFormat="1" applyFont="1" applyFill="1" applyBorder="1" applyAlignment="1" applyProtection="1">
      <alignment horizontal="center" vertical="center"/>
      <protection/>
    </xf>
    <xf numFmtId="37" fontId="5" fillId="35" borderId="11" xfId="0" applyNumberFormat="1" applyFont="1" applyFill="1" applyBorder="1" applyAlignment="1" applyProtection="1">
      <alignment horizontal="center" vertical="center"/>
      <protection/>
    </xf>
    <xf numFmtId="173" fontId="5" fillId="34" borderId="11" xfId="0" applyNumberFormat="1" applyFont="1" applyFill="1" applyBorder="1" applyAlignment="1" applyProtection="1">
      <alignment horizontal="center" vertical="center"/>
      <protection/>
    </xf>
    <xf numFmtId="172" fontId="4" fillId="34" borderId="11" xfId="0" applyNumberFormat="1" applyFont="1" applyFill="1" applyBorder="1" applyAlignment="1" applyProtection="1">
      <alignment horizontal="center" vertical="center"/>
      <protection/>
    </xf>
    <xf numFmtId="2" fontId="4" fillId="34" borderId="11" xfId="0" applyNumberFormat="1" applyFont="1" applyFill="1" applyBorder="1" applyAlignment="1" applyProtection="1">
      <alignment horizontal="center" vertical="center"/>
      <protection/>
    </xf>
    <xf numFmtId="3" fontId="4" fillId="34" borderId="11" xfId="0" applyNumberFormat="1" applyFont="1" applyFill="1" applyBorder="1" applyAlignment="1" applyProtection="1">
      <alignment horizontal="center" vertical="center"/>
      <protection/>
    </xf>
    <xf numFmtId="173" fontId="4" fillId="34" borderId="11" xfId="0" applyNumberFormat="1" applyFont="1" applyFill="1" applyBorder="1" applyAlignment="1" applyProtection="1">
      <alignment horizontal="center" vertical="center"/>
      <protection/>
    </xf>
    <xf numFmtId="1" fontId="5" fillId="34" borderId="11" xfId="0" applyNumberFormat="1" applyFont="1" applyFill="1" applyBorder="1" applyAlignment="1" applyProtection="1">
      <alignment horizontal="center" vertical="center"/>
      <protection/>
    </xf>
    <xf numFmtId="3" fontId="5" fillId="35" borderId="11" xfId="0" applyNumberFormat="1" applyFont="1" applyFill="1" applyBorder="1" applyAlignment="1" applyProtection="1">
      <alignment horizontal="center" vertical="center"/>
      <protection/>
    </xf>
    <xf numFmtId="1" fontId="4" fillId="34" borderId="11" xfId="0" applyNumberFormat="1" applyFont="1" applyFill="1" applyBorder="1" applyAlignment="1" applyProtection="1">
      <alignment horizontal="center" vertical="center"/>
      <protection/>
    </xf>
    <xf numFmtId="37" fontId="4" fillId="0" borderId="0" xfId="0" applyNumberFormat="1" applyFont="1" applyAlignment="1" applyProtection="1">
      <alignment vertical="center"/>
      <protection locked="0"/>
    </xf>
    <xf numFmtId="0" fontId="4" fillId="0" borderId="0" xfId="0" applyFont="1" applyAlignment="1" applyProtection="1">
      <alignment horizontal="left" vertical="center"/>
      <protection locked="0"/>
    </xf>
    <xf numFmtId="0" fontId="4" fillId="34" borderId="0" xfId="0" applyNumberFormat="1" applyFont="1" applyFill="1" applyAlignment="1" applyProtection="1">
      <alignment horizontal="right" vertical="center"/>
      <protection/>
    </xf>
    <xf numFmtId="0" fontId="4" fillId="34" borderId="0" xfId="0" applyFont="1" applyFill="1" applyAlignment="1" applyProtection="1">
      <alignment horizontal="right" vertical="center"/>
      <protection/>
    </xf>
    <xf numFmtId="0" fontId="4" fillId="34" borderId="27" xfId="0" applyFont="1" applyFill="1" applyBorder="1" applyAlignment="1" applyProtection="1">
      <alignment vertical="center"/>
      <protection/>
    </xf>
    <xf numFmtId="0" fontId="4" fillId="34" borderId="13" xfId="0" applyFont="1" applyFill="1" applyBorder="1" applyAlignment="1" applyProtection="1">
      <alignment vertical="center"/>
      <protection/>
    </xf>
    <xf numFmtId="0" fontId="4" fillId="34" borderId="26" xfId="0" applyFont="1" applyFill="1" applyBorder="1" applyAlignment="1" applyProtection="1">
      <alignment horizontal="left" vertical="center"/>
      <protection/>
    </xf>
    <xf numFmtId="0" fontId="8" fillId="34" borderId="14" xfId="0" applyFont="1" applyFill="1" applyBorder="1" applyAlignment="1" applyProtection="1">
      <alignment horizontal="center" vertical="center"/>
      <protection/>
    </xf>
    <xf numFmtId="14" fontId="4" fillId="34" borderId="14" xfId="0" applyNumberFormat="1" applyFont="1" applyFill="1" applyBorder="1" applyAlignment="1" applyProtection="1" quotePrefix="1">
      <alignment horizontal="center" vertical="center"/>
      <protection/>
    </xf>
    <xf numFmtId="0" fontId="4" fillId="33" borderId="11" xfId="0" applyFont="1" applyFill="1" applyBorder="1" applyAlignment="1" applyProtection="1">
      <alignment vertical="center"/>
      <protection locked="0"/>
    </xf>
    <xf numFmtId="1" fontId="4" fillId="33" borderId="11" xfId="0" applyNumberFormat="1" applyFont="1" applyFill="1" applyBorder="1" applyAlignment="1" applyProtection="1">
      <alignment vertical="center"/>
      <protection locked="0"/>
    </xf>
    <xf numFmtId="2" fontId="4" fillId="33" borderId="11" xfId="0" applyNumberFormat="1" applyFont="1" applyFill="1" applyBorder="1" applyAlignment="1" applyProtection="1">
      <alignment vertical="center"/>
      <protection locked="0"/>
    </xf>
    <xf numFmtId="3" fontId="5" fillId="35" borderId="28" xfId="0" applyNumberFormat="1" applyFont="1" applyFill="1" applyBorder="1" applyAlignment="1" applyProtection="1">
      <alignment vertical="center"/>
      <protection/>
    </xf>
    <xf numFmtId="0" fontId="4" fillId="0" borderId="0" xfId="0" applyFont="1" applyBorder="1" applyAlignment="1">
      <alignment vertical="center"/>
    </xf>
    <xf numFmtId="0" fontId="4" fillId="36" borderId="0" xfId="476" applyFont="1" applyFill="1" applyAlignment="1" applyProtection="1">
      <alignment vertical="center"/>
      <protection/>
    </xf>
    <xf numFmtId="0" fontId="4" fillId="36" borderId="0" xfId="0" applyFont="1" applyFill="1" applyAlignment="1" applyProtection="1">
      <alignment vertical="center"/>
      <protection/>
    </xf>
    <xf numFmtId="0" fontId="4" fillId="34" borderId="0" xfId="0" applyFont="1" applyFill="1" applyAlignment="1" applyProtection="1" quotePrefix="1">
      <alignment horizontal="right" vertical="center"/>
      <protection/>
    </xf>
    <xf numFmtId="0" fontId="4" fillId="34" borderId="0" xfId="0" applyFont="1" applyFill="1" applyAlignment="1" applyProtection="1">
      <alignment horizontal="left" vertical="center"/>
      <protection/>
    </xf>
    <xf numFmtId="1" fontId="4" fillId="34" borderId="14" xfId="0" applyNumberFormat="1" applyFont="1" applyFill="1" applyBorder="1" applyAlignment="1" applyProtection="1">
      <alignment horizontal="center" vertical="center"/>
      <protection/>
    </xf>
    <xf numFmtId="0" fontId="4" fillId="34" borderId="18" xfId="0" applyFont="1" applyFill="1" applyBorder="1" applyAlignment="1" applyProtection="1">
      <alignment horizontal="left" vertical="center"/>
      <protection/>
    </xf>
    <xf numFmtId="3" fontId="4" fillId="33" borderId="15" xfId="0" applyNumberFormat="1" applyFont="1" applyFill="1" applyBorder="1" applyAlignment="1" applyProtection="1">
      <alignment vertical="center"/>
      <protection locked="0"/>
    </xf>
    <xf numFmtId="37" fontId="4" fillId="34" borderId="18" xfId="0" applyNumberFormat="1"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37" fontId="4" fillId="33" borderId="18" xfId="0" applyNumberFormat="1" applyFont="1" applyFill="1" applyBorder="1" applyAlignment="1" applyProtection="1">
      <alignment vertical="center"/>
      <protection locked="0"/>
    </xf>
    <xf numFmtId="0" fontId="4" fillId="33" borderId="18" xfId="0" applyFont="1" applyFill="1" applyBorder="1" applyAlignment="1" applyProtection="1">
      <alignment horizontal="left" vertical="center"/>
      <protection locked="0"/>
    </xf>
    <xf numFmtId="0" fontId="4" fillId="34" borderId="18" xfId="0" applyFont="1" applyFill="1" applyBorder="1" applyAlignment="1" applyProtection="1">
      <alignment vertical="center"/>
      <protection/>
    </xf>
    <xf numFmtId="3" fontId="24" fillId="40" borderId="20" xfId="0" applyNumberFormat="1" applyFont="1" applyFill="1" applyBorder="1" applyAlignment="1" applyProtection="1">
      <alignment horizontal="center" vertical="center"/>
      <protection/>
    </xf>
    <xf numFmtId="37" fontId="5" fillId="34" borderId="18" xfId="0" applyNumberFormat="1" applyFont="1" applyFill="1" applyBorder="1" applyAlignment="1" applyProtection="1">
      <alignment horizontal="left" vertical="center"/>
      <protection/>
    </xf>
    <xf numFmtId="37" fontId="5" fillId="35" borderId="11" xfId="0" applyNumberFormat="1" applyFont="1" applyFill="1" applyBorder="1" applyAlignment="1" applyProtection="1">
      <alignment vertical="center"/>
      <protection/>
    </xf>
    <xf numFmtId="0" fontId="5" fillId="34" borderId="0" xfId="0" applyFont="1" applyFill="1" applyAlignment="1" applyProtection="1">
      <alignment horizontal="left" vertical="center"/>
      <protection/>
    </xf>
    <xf numFmtId="0" fontId="4" fillId="34" borderId="0" xfId="0" applyFont="1" applyFill="1" applyAlignment="1" applyProtection="1">
      <alignment horizontal="fill" vertical="center"/>
      <protection/>
    </xf>
    <xf numFmtId="0" fontId="4" fillId="34" borderId="14" xfId="0" applyNumberFormat="1" applyFont="1" applyFill="1" applyBorder="1" applyAlignment="1" applyProtection="1">
      <alignment horizontal="center" vertical="center"/>
      <protection/>
    </xf>
    <xf numFmtId="37" fontId="5" fillId="34" borderId="18" xfId="0" applyNumberFormat="1" applyFont="1" applyFill="1" applyBorder="1" applyAlignment="1" applyProtection="1">
      <alignment vertical="center"/>
      <protection/>
    </xf>
    <xf numFmtId="0" fontId="4" fillId="33" borderId="18" xfId="0" applyFont="1" applyFill="1" applyBorder="1" applyAlignment="1" applyProtection="1">
      <alignment vertical="center"/>
      <protection locked="0"/>
    </xf>
    <xf numFmtId="37" fontId="4" fillId="35" borderId="11" xfId="0" applyNumberFormat="1" applyFont="1" applyFill="1" applyBorder="1" applyAlignment="1" applyProtection="1">
      <alignment vertical="center"/>
      <protection/>
    </xf>
    <xf numFmtId="0" fontId="24" fillId="0" borderId="0" xfId="0" applyFont="1" applyAlignment="1">
      <alignment vertical="center"/>
    </xf>
    <xf numFmtId="0" fontId="25" fillId="34" borderId="0" xfId="0" applyFont="1" applyFill="1" applyAlignment="1" applyProtection="1">
      <alignment horizontal="center" vertical="center"/>
      <protection/>
    </xf>
    <xf numFmtId="0" fontId="4" fillId="34" borderId="0" xfId="0" applyFont="1" applyFill="1" applyAlignment="1">
      <alignment horizontal="right" vertical="center"/>
    </xf>
    <xf numFmtId="1" fontId="4" fillId="34" borderId="13" xfId="0" applyNumberFormat="1" applyFont="1" applyFill="1" applyBorder="1" applyAlignment="1" applyProtection="1">
      <alignment horizontal="center" vertical="center"/>
      <protection/>
    </xf>
    <xf numFmtId="0" fontId="4" fillId="33" borderId="11" xfId="0" applyFont="1" applyFill="1" applyBorder="1" applyAlignment="1" applyProtection="1">
      <alignment horizontal="left" vertical="center"/>
      <protection locked="0"/>
    </xf>
    <xf numFmtId="37" fontId="4" fillId="35" borderId="13" xfId="0" applyNumberFormat="1" applyFont="1" applyFill="1" applyBorder="1" applyAlignment="1" applyProtection="1">
      <alignment vertical="center"/>
      <protection/>
    </xf>
    <xf numFmtId="0" fontId="4" fillId="34" borderId="0" xfId="0" applyNumberFormat="1" applyFont="1" applyFill="1" applyAlignment="1" applyProtection="1">
      <alignment vertical="center"/>
      <protection/>
    </xf>
    <xf numFmtId="37" fontId="4" fillId="34" borderId="0" xfId="0" applyNumberFormat="1" applyFont="1" applyFill="1" applyAlignment="1" applyProtection="1">
      <alignment horizontal="fill" vertical="center"/>
      <protection/>
    </xf>
    <xf numFmtId="0" fontId="4" fillId="35" borderId="0" xfId="0" applyFont="1" applyFill="1" applyAlignment="1" applyProtection="1">
      <alignment horizontal="left" vertical="center"/>
      <protection/>
    </xf>
    <xf numFmtId="37" fontId="5" fillId="39" borderId="28" xfId="0" applyNumberFormat="1" applyFont="1" applyFill="1" applyBorder="1" applyAlignment="1" applyProtection="1">
      <alignment vertical="center"/>
      <protection/>
    </xf>
    <xf numFmtId="0" fontId="24" fillId="36" borderId="0" xfId="0" applyFont="1" applyFill="1" applyAlignment="1">
      <alignment vertical="center"/>
    </xf>
    <xf numFmtId="37" fontId="4" fillId="36" borderId="0" xfId="0" applyNumberFormat="1" applyFont="1" applyFill="1" applyAlignment="1">
      <alignment vertical="center"/>
    </xf>
    <xf numFmtId="37" fontId="4" fillId="0" borderId="0" xfId="0" applyNumberFormat="1" applyFont="1" applyAlignment="1">
      <alignment vertical="center"/>
    </xf>
    <xf numFmtId="166" fontId="4" fillId="34" borderId="0" xfId="0" applyNumberFormat="1" applyFont="1" applyFill="1" applyAlignment="1" applyProtection="1">
      <alignment vertical="center"/>
      <protection/>
    </xf>
    <xf numFmtId="37" fontId="4" fillId="34" borderId="0" xfId="0" applyNumberFormat="1" applyFont="1" applyFill="1" applyAlignment="1" applyProtection="1" quotePrefix="1">
      <alignment horizontal="right" vertical="center"/>
      <protection/>
    </xf>
    <xf numFmtId="3" fontId="4" fillId="34" borderId="11" xfId="42" applyNumberFormat="1" applyFont="1" applyFill="1" applyBorder="1" applyAlignment="1" applyProtection="1">
      <alignment horizontal="right" vertical="center"/>
      <protection/>
    </xf>
    <xf numFmtId="37" fontId="4" fillId="34" borderId="26" xfId="0" applyNumberFormat="1" applyFont="1" applyFill="1" applyBorder="1" applyAlignment="1" applyProtection="1">
      <alignment horizontal="left" vertical="center"/>
      <protection/>
    </xf>
    <xf numFmtId="3" fontId="4" fillId="34" borderId="11" xfId="0" applyNumberFormat="1" applyFont="1" applyFill="1" applyBorder="1" applyAlignment="1" applyProtection="1">
      <alignment horizontal="fill" vertical="center"/>
      <protection/>
    </xf>
    <xf numFmtId="3" fontId="4" fillId="33" borderId="11" xfId="0" applyNumberFormat="1" applyFont="1" applyFill="1" applyBorder="1" applyAlignment="1" applyProtection="1">
      <alignment horizontal="right" vertical="center"/>
      <protection locked="0"/>
    </xf>
    <xf numFmtId="3" fontId="4" fillId="34" borderId="11" xfId="0" applyNumberFormat="1" applyFont="1" applyFill="1" applyBorder="1" applyAlignment="1" applyProtection="1">
      <alignment horizontal="right" vertical="center"/>
      <protection/>
    </xf>
    <xf numFmtId="0" fontId="4" fillId="34" borderId="18" xfId="0" applyNumberFormat="1" applyFont="1" applyFill="1" applyBorder="1" applyAlignment="1" applyProtection="1">
      <alignment horizontal="left" vertical="center"/>
      <protection/>
    </xf>
    <xf numFmtId="0" fontId="4" fillId="33" borderId="18" xfId="0" applyNumberFormat="1" applyFont="1" applyFill="1" applyBorder="1" applyAlignment="1" applyProtection="1">
      <alignment horizontal="left" vertical="center"/>
      <protection locked="0"/>
    </xf>
    <xf numFmtId="3" fontId="4" fillId="33" borderId="11" xfId="0" applyNumberFormat="1" applyFont="1" applyFill="1" applyBorder="1" applyAlignment="1" applyProtection="1">
      <alignment horizontal="right" vertical="center"/>
      <protection locked="0"/>
    </xf>
    <xf numFmtId="0" fontId="4" fillId="33" borderId="19" xfId="0" applyNumberFormat="1" applyFont="1" applyFill="1" applyBorder="1" applyAlignment="1" applyProtection="1">
      <alignment horizontal="left" vertical="center"/>
      <protection locked="0"/>
    </xf>
    <xf numFmtId="3" fontId="24" fillId="40" borderId="11" xfId="0" applyNumberFormat="1" applyFont="1" applyFill="1" applyBorder="1" applyAlignment="1" applyProtection="1">
      <alignment horizontal="center" vertical="center"/>
      <protection/>
    </xf>
    <xf numFmtId="3" fontId="5" fillId="35" borderId="14" xfId="0" applyNumberFormat="1" applyFont="1" applyFill="1" applyBorder="1" applyAlignment="1" applyProtection="1">
      <alignment horizontal="right" vertical="center"/>
      <protection/>
    </xf>
    <xf numFmtId="3" fontId="5" fillId="35" borderId="11" xfId="0" applyNumberFormat="1" applyFont="1" applyFill="1" applyBorder="1" applyAlignment="1" applyProtection="1">
      <alignment horizontal="right" vertical="center"/>
      <protection/>
    </xf>
    <xf numFmtId="0" fontId="24" fillId="0" borderId="0" xfId="0" applyFont="1" applyAlignment="1" applyProtection="1">
      <alignment vertical="center"/>
      <protection/>
    </xf>
    <xf numFmtId="3" fontId="4" fillId="39" borderId="11" xfId="0" applyNumberFormat="1" applyFont="1" applyFill="1" applyBorder="1" applyAlignment="1" applyProtection="1">
      <alignment vertical="center"/>
      <protection/>
    </xf>
    <xf numFmtId="0" fontId="4" fillId="33" borderId="0" xfId="0" applyFont="1" applyFill="1" applyAlignment="1" applyProtection="1">
      <alignment horizontal="left" vertical="center"/>
      <protection locked="0"/>
    </xf>
    <xf numFmtId="0" fontId="4" fillId="33" borderId="18" xfId="0" applyFont="1" applyFill="1" applyBorder="1" applyAlignment="1" applyProtection="1">
      <alignment horizontal="left" vertical="center"/>
      <protection/>
    </xf>
    <xf numFmtId="0" fontId="4" fillId="33" borderId="18" xfId="0" applyFont="1" applyFill="1" applyBorder="1" applyAlignment="1">
      <alignment vertical="center"/>
    </xf>
    <xf numFmtId="3" fontId="5" fillId="35" borderId="11" xfId="0" applyNumberFormat="1" applyFont="1" applyFill="1" applyBorder="1" applyAlignment="1" applyProtection="1">
      <alignment vertical="center"/>
      <protection/>
    </xf>
    <xf numFmtId="0" fontId="4" fillId="34" borderId="0" xfId="0" applyFont="1" applyFill="1" applyAlignment="1" applyProtection="1">
      <alignment horizontal="center" vertical="center"/>
      <protection locked="0"/>
    </xf>
    <xf numFmtId="37" fontId="4" fillId="33" borderId="18" xfId="0" applyNumberFormat="1" applyFont="1" applyFill="1" applyBorder="1" applyAlignment="1" applyProtection="1">
      <alignment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30" fillId="34" borderId="0" xfId="0" applyFont="1" applyFill="1" applyAlignment="1">
      <alignment horizontal="center" vertical="center"/>
    </xf>
    <xf numFmtId="0" fontId="4" fillId="34" borderId="15" xfId="0" applyFont="1" applyFill="1" applyBorder="1" applyAlignment="1">
      <alignment horizontal="center" vertical="center"/>
    </xf>
    <xf numFmtId="0" fontId="4" fillId="34" borderId="12" xfId="0" applyFont="1" applyFill="1" applyBorder="1" applyAlignment="1">
      <alignment vertical="center"/>
    </xf>
    <xf numFmtId="0" fontId="22" fillId="34" borderId="13" xfId="0" applyFont="1" applyFill="1" applyBorder="1" applyAlignment="1">
      <alignment vertical="center"/>
    </xf>
    <xf numFmtId="0" fontId="22" fillId="34" borderId="15" xfId="0" applyFont="1" applyFill="1" applyBorder="1" applyAlignment="1">
      <alignment horizontal="center" vertical="center"/>
    </xf>
    <xf numFmtId="0" fontId="22" fillId="34" borderId="20" xfId="0" applyFont="1" applyFill="1" applyBorder="1" applyAlignment="1">
      <alignment vertical="center"/>
    </xf>
    <xf numFmtId="0" fontId="22" fillId="34" borderId="11" xfId="0" applyFont="1" applyFill="1" applyBorder="1" applyAlignment="1">
      <alignment horizontal="center" vertical="center"/>
    </xf>
    <xf numFmtId="0" fontId="4" fillId="34" borderId="15" xfId="0" applyFont="1" applyFill="1" applyBorder="1" applyAlignment="1">
      <alignment vertical="center"/>
    </xf>
    <xf numFmtId="0" fontId="4" fillId="34" borderId="11" xfId="0" applyFont="1" applyFill="1" applyBorder="1" applyAlignment="1">
      <alignment horizontal="center" vertical="center"/>
    </xf>
    <xf numFmtId="0" fontId="22" fillId="34" borderId="26" xfId="0" applyFont="1" applyFill="1" applyBorder="1" applyAlignment="1">
      <alignment vertical="center"/>
    </xf>
    <xf numFmtId="3" fontId="22" fillId="33" borderId="11" xfId="0" applyNumberFormat="1" applyFont="1" applyFill="1" applyBorder="1" applyAlignment="1" applyProtection="1">
      <alignment horizontal="center" vertical="center"/>
      <protection locked="0"/>
    </xf>
    <xf numFmtId="0" fontId="22" fillId="34" borderId="12" xfId="0" applyFont="1" applyFill="1" applyBorder="1" applyAlignment="1">
      <alignment vertical="center"/>
    </xf>
    <xf numFmtId="3" fontId="22" fillId="35" borderId="11" xfId="0" applyNumberFormat="1" applyFont="1" applyFill="1" applyBorder="1" applyAlignment="1">
      <alignment horizontal="center" vertical="center"/>
    </xf>
    <xf numFmtId="0" fontId="22" fillId="34" borderId="0" xfId="0" applyFont="1" applyFill="1" applyAlignment="1">
      <alignment vertical="center"/>
    </xf>
    <xf numFmtId="3" fontId="22" fillId="34" borderId="0" xfId="0" applyNumberFormat="1" applyFont="1" applyFill="1" applyAlignment="1">
      <alignment horizontal="center" vertical="center"/>
    </xf>
    <xf numFmtId="0" fontId="22" fillId="34" borderId="0" xfId="0" applyFont="1" applyFill="1" applyAlignment="1">
      <alignment horizontal="center" vertical="center"/>
    </xf>
    <xf numFmtId="0" fontId="22" fillId="33" borderId="11" xfId="0" applyFont="1" applyFill="1" applyBorder="1" applyAlignment="1" applyProtection="1">
      <alignment vertical="center"/>
      <protection locked="0"/>
    </xf>
    <xf numFmtId="0" fontId="22" fillId="33" borderId="20" xfId="0" applyFont="1" applyFill="1" applyBorder="1" applyAlignment="1" applyProtection="1">
      <alignment vertical="center"/>
      <protection locked="0"/>
    </xf>
    <xf numFmtId="0" fontId="22" fillId="33" borderId="0" xfId="0" applyFont="1" applyFill="1" applyAlignment="1" applyProtection="1">
      <alignment vertical="center"/>
      <protection locked="0"/>
    </xf>
    <xf numFmtId="0" fontId="22" fillId="33" borderId="15" xfId="0" applyFont="1" applyFill="1" applyBorder="1" applyAlignment="1" applyProtection="1">
      <alignment vertical="center"/>
      <protection locked="0"/>
    </xf>
    <xf numFmtId="0" fontId="22" fillId="33" borderId="14" xfId="0" applyFont="1" applyFill="1" applyBorder="1" applyAlignment="1" applyProtection="1">
      <alignment vertical="center"/>
      <protection locked="0"/>
    </xf>
    <xf numFmtId="0" fontId="22" fillId="33" borderId="23" xfId="0" applyFont="1" applyFill="1" applyBorder="1" applyAlignment="1" applyProtection="1">
      <alignment vertical="center"/>
      <protection locked="0"/>
    </xf>
    <xf numFmtId="3" fontId="22" fillId="34" borderId="11" xfId="0" applyNumberFormat="1" applyFont="1" applyFill="1" applyBorder="1" applyAlignment="1">
      <alignment horizontal="center" vertical="center"/>
    </xf>
    <xf numFmtId="3" fontId="27" fillId="39" borderId="11" xfId="0" applyNumberFormat="1" applyFont="1" applyFill="1" applyBorder="1" applyAlignment="1">
      <alignment horizontal="center" vertical="center"/>
    </xf>
    <xf numFmtId="3" fontId="4" fillId="34" borderId="0" xfId="0" applyNumberFormat="1" applyFont="1" applyFill="1" applyAlignment="1">
      <alignment vertical="center"/>
    </xf>
    <xf numFmtId="3" fontId="4" fillId="0" borderId="0" xfId="0" applyNumberFormat="1" applyFont="1" applyAlignment="1">
      <alignment vertical="center"/>
    </xf>
    <xf numFmtId="0" fontId="4" fillId="0" borderId="0" xfId="0" applyFont="1" applyAlignment="1">
      <alignment horizontal="centerContinuous" vertical="center"/>
    </xf>
    <xf numFmtId="0" fontId="4" fillId="34" borderId="13" xfId="0" applyFont="1" applyFill="1" applyBorder="1" applyAlignment="1" applyProtection="1">
      <alignment horizontal="centerContinuous" vertical="center"/>
      <protection/>
    </xf>
    <xf numFmtId="1" fontId="4" fillId="34" borderId="18" xfId="0" applyNumberFormat="1" applyFont="1" applyFill="1" applyBorder="1" applyAlignment="1" applyProtection="1">
      <alignment horizontal="centerContinuous" vertical="center"/>
      <protection/>
    </xf>
    <xf numFmtId="164" fontId="4" fillId="34" borderId="11" xfId="0" applyNumberFormat="1" applyFont="1" applyFill="1" applyBorder="1" applyAlignment="1" applyProtection="1">
      <alignment vertical="center"/>
      <protection/>
    </xf>
    <xf numFmtId="37" fontId="4" fillId="34" borderId="11" xfId="0" applyNumberFormat="1" applyFont="1" applyFill="1" applyBorder="1" applyAlignment="1" applyProtection="1">
      <alignment vertical="center"/>
      <protection locked="0"/>
    </xf>
    <xf numFmtId="1" fontId="4" fillId="34" borderId="0" xfId="0" applyNumberFormat="1" applyFont="1" applyFill="1" applyAlignment="1" applyProtection="1">
      <alignment vertical="center"/>
      <protection/>
    </xf>
    <xf numFmtId="1" fontId="6" fillId="34" borderId="0" xfId="0" applyNumberFormat="1" applyFont="1" applyFill="1" applyAlignment="1" applyProtection="1">
      <alignment horizontal="center" vertical="center"/>
      <protection/>
    </xf>
    <xf numFmtId="37" fontId="4" fillId="34" borderId="28" xfId="0" applyNumberFormat="1" applyFont="1" applyFill="1" applyBorder="1" applyAlignment="1" applyProtection="1">
      <alignment vertical="center"/>
      <protection/>
    </xf>
    <xf numFmtId="0" fontId="4" fillId="33" borderId="0" xfId="0" applyFont="1" applyFill="1" applyAlignment="1" applyProtection="1">
      <alignment vertical="center"/>
      <protection locked="0"/>
    </xf>
    <xf numFmtId="3" fontId="32" fillId="39" borderId="0" xfId="0" applyNumberFormat="1" applyFont="1" applyFill="1" applyAlignment="1">
      <alignment horizontal="center" vertical="center"/>
    </xf>
    <xf numFmtId="37" fontId="18" fillId="34" borderId="0" xfId="0" applyNumberFormat="1" applyFont="1" applyFill="1" applyBorder="1" applyAlignment="1" applyProtection="1">
      <alignment horizontal="left" vertical="center"/>
      <protection/>
    </xf>
    <xf numFmtId="37" fontId="18" fillId="34" borderId="0" xfId="0" applyNumberFormat="1" applyFont="1" applyFill="1" applyBorder="1" applyAlignment="1" applyProtection="1">
      <alignment horizontal="fill" vertical="center"/>
      <protection/>
    </xf>
    <xf numFmtId="0" fontId="12" fillId="0" borderId="0" xfId="450" applyFont="1">
      <alignment/>
      <protection/>
    </xf>
    <xf numFmtId="0" fontId="4" fillId="0" borderId="0" xfId="450" applyFont="1" applyAlignment="1">
      <alignment horizontal="left" vertical="center"/>
      <protection/>
    </xf>
    <xf numFmtId="49" fontId="4" fillId="33" borderId="0" xfId="450" applyNumberFormat="1" applyFont="1" applyFill="1" applyAlignment="1" applyProtection="1">
      <alignment horizontal="left" vertical="center"/>
      <protection locked="0"/>
    </xf>
    <xf numFmtId="185" fontId="22" fillId="0" borderId="0" xfId="450" applyNumberFormat="1" applyFont="1" applyAlignment="1">
      <alignment horizontal="left" vertical="center"/>
      <protection/>
    </xf>
    <xf numFmtId="49" fontId="4" fillId="0" borderId="0" xfId="450" applyNumberFormat="1" applyFont="1" applyAlignment="1">
      <alignment horizontal="left" vertical="center"/>
      <protection/>
    </xf>
    <xf numFmtId="0" fontId="22" fillId="0" borderId="0" xfId="450" applyFont="1" applyAlignment="1">
      <alignment horizontal="left" vertical="center"/>
      <protection/>
    </xf>
    <xf numFmtId="186" fontId="22" fillId="0" borderId="0" xfId="450" applyNumberFormat="1" applyFont="1" applyAlignment="1">
      <alignment horizontal="left" vertical="center"/>
      <protection/>
    </xf>
    <xf numFmtId="0" fontId="4" fillId="33" borderId="0" xfId="450" applyFont="1" applyFill="1" applyAlignment="1" applyProtection="1">
      <alignment horizontal="left" vertical="center"/>
      <protection locked="0"/>
    </xf>
    <xf numFmtId="0" fontId="12" fillId="33" borderId="0" xfId="450" applyFont="1" applyFill="1" applyAlignment="1" applyProtection="1">
      <alignment horizontal="left" vertical="center"/>
      <protection locked="0"/>
    </xf>
    <xf numFmtId="0" fontId="74" fillId="34" borderId="0" xfId="0" applyFont="1" applyFill="1" applyAlignment="1" applyProtection="1">
      <alignment horizontal="right" vertical="center"/>
      <protection locked="0"/>
    </xf>
    <xf numFmtId="0" fontId="8" fillId="34" borderId="0" xfId="0" applyFont="1" applyFill="1" applyAlignment="1" applyProtection="1">
      <alignment horizontal="left" vertical="center"/>
      <protection locked="0"/>
    </xf>
    <xf numFmtId="3" fontId="22" fillId="35" borderId="14" xfId="0" applyNumberFormat="1" applyFont="1" applyFill="1" applyBorder="1" applyAlignment="1">
      <alignment horizontal="center" vertical="center"/>
    </xf>
    <xf numFmtId="0" fontId="4" fillId="33" borderId="12" xfId="0" applyFont="1" applyFill="1" applyBorder="1" applyAlignment="1" applyProtection="1">
      <alignment vertical="center"/>
      <protection locked="0"/>
    </xf>
    <xf numFmtId="14" fontId="4" fillId="33" borderId="11" xfId="0" applyNumberFormat="1" applyFont="1" applyFill="1" applyBorder="1" applyAlignment="1" applyProtection="1">
      <alignment vertical="center"/>
      <protection locked="0"/>
    </xf>
    <xf numFmtId="14" fontId="4" fillId="33" borderId="11" xfId="0" applyNumberFormat="1" applyFont="1" applyFill="1" applyBorder="1" applyAlignment="1" applyProtection="1">
      <alignment horizontal="center" vertical="center"/>
      <protection locked="0"/>
    </xf>
    <xf numFmtId="3" fontId="4" fillId="33" borderId="18" xfId="0" applyNumberFormat="1" applyFont="1" applyFill="1" applyBorder="1" applyAlignment="1" applyProtection="1">
      <alignment vertical="center"/>
      <protection locked="0"/>
    </xf>
    <xf numFmtId="3" fontId="24" fillId="40" borderId="18" xfId="0" applyNumberFormat="1" applyFont="1" applyFill="1" applyBorder="1" applyAlignment="1" applyProtection="1">
      <alignment horizontal="center" vertical="center"/>
      <protection/>
    </xf>
    <xf numFmtId="3" fontId="5" fillId="35" borderId="18" xfId="0" applyNumberFormat="1" applyFont="1" applyFill="1" applyBorder="1" applyAlignment="1" applyProtection="1">
      <alignment vertical="center"/>
      <protection/>
    </xf>
    <xf numFmtId="0" fontId="4" fillId="34" borderId="26" xfId="0" applyNumberFormat="1" applyFont="1" applyFill="1" applyBorder="1" applyAlignment="1" applyProtection="1">
      <alignment horizontal="center" vertical="center"/>
      <protection/>
    </xf>
    <xf numFmtId="3" fontId="4" fillId="34" borderId="18" xfId="0" applyNumberFormat="1" applyFont="1" applyFill="1" applyBorder="1" applyAlignment="1" applyProtection="1">
      <alignment vertical="center"/>
      <protection/>
    </xf>
    <xf numFmtId="3" fontId="4" fillId="35" borderId="18" xfId="0" applyNumberFormat="1" applyFont="1" applyFill="1" applyBorder="1" applyAlignment="1" applyProtection="1">
      <alignment vertical="center"/>
      <protection/>
    </xf>
    <xf numFmtId="3" fontId="4" fillId="34" borderId="18" xfId="0" applyNumberFormat="1" applyFont="1" applyFill="1" applyBorder="1" applyAlignment="1" applyProtection="1">
      <alignment horizontal="right" vertical="center"/>
      <protection locked="0"/>
    </xf>
    <xf numFmtId="3" fontId="4" fillId="33" borderId="18" xfId="0" applyNumberFormat="1" applyFont="1" applyFill="1" applyBorder="1" applyAlignment="1" applyProtection="1">
      <alignment horizontal="right" vertical="center"/>
      <protection locked="0"/>
    </xf>
    <xf numFmtId="3" fontId="4" fillId="34" borderId="18" xfId="0" applyNumberFormat="1" applyFont="1" applyFill="1" applyBorder="1" applyAlignment="1" applyProtection="1">
      <alignment horizontal="right" vertical="center"/>
      <protection/>
    </xf>
    <xf numFmtId="3" fontId="4" fillId="34" borderId="18" xfId="42" applyNumberFormat="1" applyFont="1" applyFill="1" applyBorder="1" applyAlignment="1" applyProtection="1">
      <alignment horizontal="right" vertical="center"/>
      <protection/>
    </xf>
    <xf numFmtId="3" fontId="5" fillId="35" borderId="26" xfId="0" applyNumberFormat="1" applyFont="1" applyFill="1" applyBorder="1" applyAlignment="1" applyProtection="1">
      <alignment horizontal="right" vertical="center"/>
      <protection/>
    </xf>
    <xf numFmtId="3" fontId="5" fillId="35" borderId="18" xfId="0" applyNumberFormat="1" applyFont="1" applyFill="1" applyBorder="1" applyAlignment="1" applyProtection="1">
      <alignment horizontal="right" vertical="center"/>
      <protection/>
    </xf>
    <xf numFmtId="3" fontId="4" fillId="35" borderId="18" xfId="0" applyNumberFormat="1" applyFont="1" applyFill="1" applyBorder="1" applyAlignment="1" applyProtection="1">
      <alignment horizontal="right" vertical="center"/>
      <protection/>
    </xf>
    <xf numFmtId="49" fontId="4" fillId="33" borderId="11" xfId="0" applyNumberFormat="1" applyFont="1" applyFill="1" applyBorder="1" applyAlignment="1" applyProtection="1">
      <alignment horizontal="center" vertical="center"/>
      <protection locked="0"/>
    </xf>
    <xf numFmtId="37" fontId="18" fillId="34" borderId="0" xfId="0" applyNumberFormat="1" applyFont="1" applyFill="1" applyAlignment="1" applyProtection="1">
      <alignment horizontal="center" vertical="center"/>
      <protection locked="0"/>
    </xf>
    <xf numFmtId="37" fontId="18" fillId="34" borderId="0" xfId="0" applyNumberFormat="1" applyFont="1" applyFill="1" applyAlignment="1" applyProtection="1">
      <alignment horizontal="left" vertical="center"/>
      <protection locked="0"/>
    </xf>
    <xf numFmtId="0" fontId="18" fillId="37" borderId="11" xfId="0" applyFont="1" applyFill="1" applyBorder="1" applyAlignment="1" applyProtection="1">
      <alignment horizontal="center" vertical="center"/>
      <protection/>
    </xf>
    <xf numFmtId="37" fontId="18" fillId="34" borderId="21" xfId="0" applyNumberFormat="1" applyFont="1" applyFill="1" applyBorder="1" applyAlignment="1" applyProtection="1">
      <alignment horizontal="center" vertical="center"/>
      <protection/>
    </xf>
    <xf numFmtId="0" fontId="35" fillId="0" borderId="0" xfId="0" applyFont="1" applyAlignment="1" applyProtection="1">
      <alignment vertical="center"/>
      <protection/>
    </xf>
    <xf numFmtId="0" fontId="18" fillId="39" borderId="12" xfId="88" applyFont="1" applyFill="1" applyBorder="1" applyAlignment="1" applyProtection="1">
      <alignment vertical="center"/>
      <protection/>
    </xf>
    <xf numFmtId="0" fontId="18" fillId="34" borderId="27" xfId="88" applyFont="1" applyFill="1" applyBorder="1" applyAlignment="1" applyProtection="1">
      <alignment vertical="center"/>
      <protection/>
    </xf>
    <xf numFmtId="0" fontId="4" fillId="39" borderId="16" xfId="88" applyFont="1" applyFill="1" applyBorder="1" applyAlignment="1" applyProtection="1">
      <alignment vertical="center"/>
      <protection/>
    </xf>
    <xf numFmtId="0" fontId="18" fillId="39" borderId="16" xfId="88" applyFont="1" applyFill="1" applyBorder="1" applyAlignment="1" applyProtection="1">
      <alignment vertical="center"/>
      <protection/>
    </xf>
    <xf numFmtId="37" fontId="18" fillId="34" borderId="14" xfId="98" applyNumberFormat="1" applyFont="1" applyFill="1" applyBorder="1" applyAlignment="1" applyProtection="1">
      <alignment horizontal="center" vertical="center"/>
      <protection/>
    </xf>
    <xf numFmtId="37" fontId="18" fillId="34" borderId="10" xfId="98" applyNumberFormat="1" applyFont="1" applyFill="1" applyBorder="1" applyAlignment="1" applyProtection="1">
      <alignment horizontal="center" vertical="center"/>
      <protection/>
    </xf>
    <xf numFmtId="0" fontId="25" fillId="34" borderId="11" xfId="0" applyFont="1" applyFill="1" applyBorder="1" applyAlignment="1" applyProtection="1">
      <alignment horizontal="center" vertical="center"/>
      <protection/>
    </xf>
    <xf numFmtId="3" fontId="25" fillId="34" borderId="11" xfId="0" applyNumberFormat="1" applyFont="1" applyFill="1" applyBorder="1" applyAlignment="1" applyProtection="1">
      <alignment horizontal="center" vertical="center"/>
      <protection/>
    </xf>
    <xf numFmtId="3" fontId="24" fillId="40" borderId="13" xfId="0" applyNumberFormat="1" applyFont="1" applyFill="1" applyBorder="1" applyAlignment="1" applyProtection="1">
      <alignment horizontal="center" vertical="center"/>
      <protection/>
    </xf>
    <xf numFmtId="0" fontId="5" fillId="34" borderId="16" xfId="0"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4" fillId="39" borderId="18" xfId="0" applyNumberFormat="1" applyFont="1" applyFill="1" applyBorder="1" applyAlignment="1" applyProtection="1">
      <alignment vertical="center"/>
      <protection/>
    </xf>
    <xf numFmtId="0" fontId="19" fillId="39" borderId="12" xfId="88" applyFont="1" applyFill="1" applyBorder="1" applyAlignment="1" applyProtection="1">
      <alignment vertical="center"/>
      <protection/>
    </xf>
    <xf numFmtId="190" fontId="19" fillId="39" borderId="26" xfId="88" applyNumberFormat="1" applyFont="1" applyFill="1" applyBorder="1" applyAlignment="1" applyProtection="1">
      <alignment horizontal="center" vertical="center"/>
      <protection/>
    </xf>
    <xf numFmtId="190" fontId="18" fillId="34" borderId="27" xfId="88" applyNumberFormat="1" applyFont="1" applyFill="1" applyBorder="1" applyAlignment="1" applyProtection="1">
      <alignment vertical="center"/>
      <protection/>
    </xf>
    <xf numFmtId="190" fontId="18" fillId="34" borderId="26" xfId="88" applyNumberFormat="1" applyFont="1" applyFill="1" applyBorder="1" applyAlignment="1" applyProtection="1">
      <alignment horizontal="center" vertical="center"/>
      <protection/>
    </xf>
    <xf numFmtId="0" fontId="18" fillId="34" borderId="0" xfId="88" applyFont="1" applyFill="1" applyBorder="1" applyAlignment="1" applyProtection="1">
      <alignment vertical="center"/>
      <protection/>
    </xf>
    <xf numFmtId="0" fontId="18" fillId="34" borderId="23" xfId="88" applyFont="1" applyFill="1" applyBorder="1" applyAlignment="1" applyProtection="1">
      <alignment vertical="center"/>
      <protection/>
    </xf>
    <xf numFmtId="0" fontId="18" fillId="34" borderId="0" xfId="88" applyFont="1" applyFill="1" applyBorder="1" applyAlignment="1" applyProtection="1">
      <alignment horizontal="left" vertical="center"/>
      <protection/>
    </xf>
    <xf numFmtId="0" fontId="35" fillId="0" borderId="0" xfId="0" applyFont="1" applyAlignment="1">
      <alignment vertical="center"/>
    </xf>
    <xf numFmtId="190" fontId="18" fillId="34" borderId="27" xfId="88" applyNumberFormat="1" applyFont="1" applyFill="1" applyBorder="1" applyAlignment="1" applyProtection="1">
      <alignment horizontal="center" vertical="center"/>
      <protection/>
    </xf>
    <xf numFmtId="0" fontId="4" fillId="34" borderId="0" xfId="101" applyFont="1" applyFill="1" applyAlignment="1" applyProtection="1">
      <alignment horizontal="right" vertical="center"/>
      <protection/>
    </xf>
    <xf numFmtId="0" fontId="75" fillId="34" borderId="0" xfId="0" applyFont="1" applyFill="1" applyBorder="1" applyAlignment="1" applyProtection="1">
      <alignment horizontal="center" vertical="center"/>
      <protection/>
    </xf>
    <xf numFmtId="0" fontId="75" fillId="34" borderId="0" xfId="0" applyFont="1" applyFill="1" applyAlignment="1" applyProtection="1">
      <alignment horizontal="center" vertical="center"/>
      <protection/>
    </xf>
    <xf numFmtId="0" fontId="4" fillId="34" borderId="29" xfId="0" applyFont="1" applyFill="1" applyBorder="1" applyAlignment="1" applyProtection="1">
      <alignment vertical="center"/>
      <protection locked="0"/>
    </xf>
    <xf numFmtId="0" fontId="4" fillId="34" borderId="29" xfId="0" applyFont="1" applyFill="1" applyBorder="1" applyAlignment="1" applyProtection="1">
      <alignment vertical="center"/>
      <protection/>
    </xf>
    <xf numFmtId="37" fontId="4" fillId="34" borderId="29" xfId="0" applyNumberFormat="1" applyFont="1" applyFill="1" applyBorder="1" applyAlignment="1" applyProtection="1">
      <alignment vertical="center"/>
      <protection/>
    </xf>
    <xf numFmtId="164" fontId="4" fillId="34" borderId="14" xfId="0" applyNumberFormat="1" applyFont="1" applyFill="1" applyBorder="1" applyAlignment="1" applyProtection="1">
      <alignment vertical="center"/>
      <protection/>
    </xf>
    <xf numFmtId="37" fontId="4" fillId="34" borderId="14" xfId="0" applyNumberFormat="1" applyFont="1" applyFill="1" applyBorder="1" applyAlignment="1" applyProtection="1">
      <alignment vertical="center"/>
      <protection/>
    </xf>
    <xf numFmtId="0" fontId="0" fillId="0" borderId="0" xfId="88">
      <alignment/>
      <protection/>
    </xf>
    <xf numFmtId="37" fontId="4" fillId="34" borderId="13" xfId="88" applyNumberFormat="1" applyFont="1" applyFill="1" applyBorder="1" applyAlignment="1" applyProtection="1">
      <alignment horizontal="center"/>
      <protection/>
    </xf>
    <xf numFmtId="37" fontId="4" fillId="34" borderId="14" xfId="88" applyNumberFormat="1" applyFont="1" applyFill="1" applyBorder="1" applyAlignment="1" applyProtection="1">
      <alignment horizontal="center"/>
      <protection/>
    </xf>
    <xf numFmtId="0" fontId="4" fillId="34" borderId="0" xfId="88" applyFont="1" applyFill="1" applyBorder="1" applyAlignment="1" applyProtection="1">
      <alignment vertical="center"/>
      <protection/>
    </xf>
    <xf numFmtId="0" fontId="4" fillId="34" borderId="27" xfId="88" applyFont="1" applyFill="1" applyBorder="1" applyAlignment="1" applyProtection="1">
      <alignment vertical="center"/>
      <protection/>
    </xf>
    <xf numFmtId="0" fontId="4" fillId="34" borderId="23" xfId="88" applyFont="1" applyFill="1" applyBorder="1" applyAlignment="1" applyProtection="1">
      <alignment vertical="center"/>
      <protection/>
    </xf>
    <xf numFmtId="0" fontId="4" fillId="0" borderId="0" xfId="88" applyFont="1" applyFill="1" applyBorder="1" applyAlignment="1" applyProtection="1">
      <alignment vertical="center"/>
      <protection/>
    </xf>
    <xf numFmtId="0" fontId="18" fillId="41" borderId="27" xfId="98" applyFont="1" applyFill="1" applyBorder="1" applyProtection="1">
      <alignment/>
      <protection/>
    </xf>
    <xf numFmtId="0" fontId="4" fillId="41" borderId="0" xfId="98" applyFont="1" applyFill="1" applyBorder="1" applyProtection="1">
      <alignment/>
      <protection/>
    </xf>
    <xf numFmtId="190" fontId="4" fillId="41" borderId="23" xfId="98" applyNumberFormat="1" applyFont="1" applyFill="1" applyBorder="1" applyAlignment="1" applyProtection="1">
      <alignment horizontal="center"/>
      <protection/>
    </xf>
    <xf numFmtId="0" fontId="4" fillId="41" borderId="26" xfId="98" applyFont="1" applyFill="1" applyBorder="1" applyProtection="1">
      <alignment/>
      <protection/>
    </xf>
    <xf numFmtId="0" fontId="4" fillId="41" borderId="12" xfId="98" applyFont="1" applyFill="1" applyBorder="1" applyProtection="1">
      <alignment/>
      <protection/>
    </xf>
    <xf numFmtId="190" fontId="4" fillId="42" borderId="16" xfId="98" applyNumberFormat="1" applyFont="1" applyFill="1" applyBorder="1" applyAlignment="1" applyProtection="1">
      <alignment horizontal="center"/>
      <protection/>
    </xf>
    <xf numFmtId="0" fontId="4" fillId="0" borderId="0" xfId="98" applyFont="1" applyFill="1" applyBorder="1" applyProtection="1">
      <alignment/>
      <protection/>
    </xf>
    <xf numFmtId="0" fontId="4" fillId="41" borderId="27" xfId="98" applyFont="1" applyFill="1" applyBorder="1" applyProtection="1">
      <alignment/>
      <protection/>
    </xf>
    <xf numFmtId="0" fontId="4" fillId="41" borderId="23" xfId="98" applyFont="1" applyFill="1" applyBorder="1" applyProtection="1">
      <alignment/>
      <protection/>
    </xf>
    <xf numFmtId="183" fontId="4" fillId="41" borderId="23" xfId="98" applyNumberFormat="1" applyFont="1" applyFill="1" applyBorder="1" applyAlignment="1" applyProtection="1">
      <alignment horizontal="center"/>
      <protection/>
    </xf>
    <xf numFmtId="0" fontId="4" fillId="42" borderId="27" xfId="98" applyFont="1" applyFill="1" applyBorder="1" applyProtection="1">
      <alignment/>
      <protection/>
    </xf>
    <xf numFmtId="0" fontId="4" fillId="42" borderId="0" xfId="98" applyFont="1" applyFill="1" applyBorder="1" applyProtection="1">
      <alignment/>
      <protection/>
    </xf>
    <xf numFmtId="0" fontId="4" fillId="42" borderId="26" xfId="98" applyFont="1" applyFill="1" applyBorder="1" applyProtection="1">
      <alignment/>
      <protection/>
    </xf>
    <xf numFmtId="0" fontId="4" fillId="42" borderId="12" xfId="98" applyFont="1" applyFill="1" applyBorder="1" applyProtection="1">
      <alignment/>
      <protection/>
    </xf>
    <xf numFmtId="0" fontId="4" fillId="0" borderId="0" xfId="98" applyFont="1" applyProtection="1">
      <alignment/>
      <protection/>
    </xf>
    <xf numFmtId="190" fontId="4" fillId="41" borderId="16" xfId="98" applyNumberFormat="1" applyFont="1" applyFill="1" applyBorder="1" applyAlignment="1" applyProtection="1">
      <alignment horizontal="center"/>
      <protection/>
    </xf>
    <xf numFmtId="184" fontId="4" fillId="43" borderId="23" xfId="98" applyNumberFormat="1" applyFont="1" applyFill="1" applyBorder="1" applyAlignment="1" applyProtection="1">
      <alignment horizontal="center"/>
      <protection locked="0"/>
    </xf>
    <xf numFmtId="37" fontId="4" fillId="44" borderId="28" xfId="0" applyNumberFormat="1" applyFont="1" applyFill="1" applyBorder="1" applyAlignment="1" applyProtection="1">
      <alignment vertical="center"/>
      <protection/>
    </xf>
    <xf numFmtId="0" fontId="8" fillId="34" borderId="14" xfId="0" applyNumberFormat="1" applyFont="1" applyFill="1" applyBorder="1" applyAlignment="1" applyProtection="1">
      <alignment horizontal="center" vertical="center"/>
      <protection/>
    </xf>
    <xf numFmtId="190" fontId="4" fillId="42" borderId="23" xfId="98" applyNumberFormat="1" applyFont="1" applyFill="1" applyBorder="1" applyAlignment="1" applyProtection="1">
      <alignment horizontal="center"/>
      <protection/>
    </xf>
    <xf numFmtId="0" fontId="4" fillId="42" borderId="26" xfId="0" applyFont="1" applyFill="1" applyBorder="1" applyAlignment="1">
      <alignment vertical="center"/>
    </xf>
    <xf numFmtId="0" fontId="4" fillId="42" borderId="12" xfId="0" applyFont="1" applyFill="1" applyBorder="1" applyAlignment="1">
      <alignment vertical="center"/>
    </xf>
    <xf numFmtId="190" fontId="4" fillId="42" borderId="16" xfId="0" applyNumberFormat="1" applyFont="1" applyFill="1" applyBorder="1" applyAlignment="1">
      <alignment horizontal="center" vertical="center"/>
    </xf>
    <xf numFmtId="0" fontId="4" fillId="34" borderId="26" xfId="0" applyFont="1" applyFill="1" applyBorder="1" applyAlignment="1" applyProtection="1">
      <alignment horizontal="center" vertical="center"/>
      <protection/>
    </xf>
    <xf numFmtId="0" fontId="4" fillId="34" borderId="27" xfId="0" applyFont="1" applyFill="1" applyBorder="1" applyAlignment="1" applyProtection="1">
      <alignment horizontal="center" vertical="center"/>
      <protection/>
    </xf>
    <xf numFmtId="0" fontId="4" fillId="34" borderId="0" xfId="0" applyFont="1" applyFill="1" applyBorder="1" applyAlignment="1" applyProtection="1">
      <alignment horizontal="left" vertical="center"/>
      <protection/>
    </xf>
    <xf numFmtId="0" fontId="4" fillId="0" borderId="0" xfId="452" applyFont="1" applyAlignment="1">
      <alignment horizontal="left" vertical="center"/>
      <protection/>
    </xf>
    <xf numFmtId="0" fontId="76" fillId="0" borderId="0" xfId="0" applyFont="1" applyAlignment="1">
      <alignment/>
    </xf>
    <xf numFmtId="0" fontId="77" fillId="0" borderId="0" xfId="452" applyFont="1">
      <alignment/>
      <protection/>
    </xf>
    <xf numFmtId="185" fontId="78" fillId="0" borderId="0" xfId="452" applyNumberFormat="1" applyFont="1" applyAlignment="1">
      <alignment horizontal="left" vertical="center"/>
      <protection/>
    </xf>
    <xf numFmtId="0" fontId="78" fillId="0" borderId="0" xfId="452" applyNumberFormat="1" applyFont="1" applyAlignment="1">
      <alignment horizontal="left" vertical="center"/>
      <protection/>
    </xf>
    <xf numFmtId="1" fontId="78" fillId="0" borderId="0" xfId="452" applyNumberFormat="1" applyFont="1" applyAlignment="1">
      <alignment horizontal="left" vertical="center"/>
      <protection/>
    </xf>
    <xf numFmtId="0" fontId="79" fillId="0" borderId="0" xfId="452" applyFont="1" applyAlignment="1">
      <alignment horizontal="left" vertical="center"/>
      <protection/>
    </xf>
    <xf numFmtId="0" fontId="4" fillId="41" borderId="0" xfId="0" applyFont="1" applyFill="1" applyAlignment="1" applyProtection="1">
      <alignment vertical="center"/>
      <protection locked="0"/>
    </xf>
    <xf numFmtId="10" fontId="4" fillId="33" borderId="11" xfId="0" applyNumberFormat="1" applyFont="1" applyFill="1" applyBorder="1" applyAlignment="1" applyProtection="1">
      <alignment vertical="center"/>
      <protection locked="0"/>
    </xf>
    <xf numFmtId="0" fontId="4" fillId="34" borderId="13" xfId="0" applyFont="1" applyFill="1" applyBorder="1" applyAlignment="1">
      <alignment horizontal="center" vertical="center"/>
    </xf>
    <xf numFmtId="37" fontId="4" fillId="35" borderId="28" xfId="0" applyNumberFormat="1" applyFont="1" applyFill="1" applyBorder="1" applyAlignment="1" applyProtection="1">
      <alignment horizontal="center" vertical="center"/>
      <protection/>
    </xf>
    <xf numFmtId="177" fontId="4" fillId="35" borderId="28" xfId="0" applyNumberFormat="1" applyFont="1" applyFill="1" applyBorder="1" applyAlignment="1" applyProtection="1">
      <alignment horizontal="center" vertical="center"/>
      <protection/>
    </xf>
    <xf numFmtId="177" fontId="4" fillId="34" borderId="11" xfId="0" applyNumberFormat="1" applyFont="1" applyFill="1" applyBorder="1" applyAlignment="1" applyProtection="1">
      <alignment horizontal="center" vertical="center"/>
      <protection/>
    </xf>
    <xf numFmtId="193" fontId="4" fillId="34" borderId="0" xfId="0" applyNumberFormat="1" applyFont="1" applyFill="1" applyAlignment="1">
      <alignment horizontal="center" vertical="center"/>
    </xf>
    <xf numFmtId="0" fontId="18" fillId="41" borderId="27" xfId="0" applyFont="1" applyFill="1" applyBorder="1" applyAlignment="1" applyProtection="1">
      <alignment vertical="center"/>
      <protection/>
    </xf>
    <xf numFmtId="0" fontId="4" fillId="41" borderId="0" xfId="0" applyFont="1" applyFill="1" applyBorder="1" applyAlignment="1" applyProtection="1">
      <alignment vertical="center"/>
      <protection/>
    </xf>
    <xf numFmtId="0" fontId="18" fillId="41" borderId="0" xfId="0" applyFont="1" applyFill="1" applyBorder="1" applyAlignment="1" applyProtection="1">
      <alignment vertical="center"/>
      <protection/>
    </xf>
    <xf numFmtId="190" fontId="18" fillId="41" borderId="23" xfId="0" applyNumberFormat="1" applyFont="1" applyFill="1" applyBorder="1" applyAlignment="1" applyProtection="1">
      <alignment horizontal="center" vertical="center"/>
      <protection/>
    </xf>
    <xf numFmtId="0" fontId="18" fillId="41" borderId="27" xfId="0" applyFont="1" applyFill="1" applyBorder="1" applyAlignment="1" applyProtection="1">
      <alignment horizontal="left" vertical="center"/>
      <protection/>
    </xf>
    <xf numFmtId="190" fontId="18" fillId="43" borderId="11" xfId="0" applyNumberFormat="1" applyFont="1" applyFill="1" applyBorder="1" applyAlignment="1" applyProtection="1">
      <alignment horizontal="center" vertical="center"/>
      <protection locked="0"/>
    </xf>
    <xf numFmtId="184" fontId="19" fillId="41" borderId="15" xfId="0" applyNumberFormat="1" applyFont="1" applyFill="1" applyBorder="1" applyAlignment="1" applyProtection="1">
      <alignment horizontal="center" vertical="center"/>
      <protection/>
    </xf>
    <xf numFmtId="0" fontId="19" fillId="42" borderId="27" xfId="0" applyFont="1" applyFill="1" applyBorder="1" applyAlignment="1" applyProtection="1">
      <alignment vertical="center"/>
      <protection/>
    </xf>
    <xf numFmtId="0" fontId="4" fillId="42" borderId="0" xfId="0" applyFont="1" applyFill="1" applyBorder="1" applyAlignment="1" applyProtection="1">
      <alignment vertical="center"/>
      <protection/>
    </xf>
    <xf numFmtId="0" fontId="18" fillId="42" borderId="0" xfId="0" applyFont="1" applyFill="1" applyBorder="1" applyAlignment="1" applyProtection="1">
      <alignment vertical="center"/>
      <protection/>
    </xf>
    <xf numFmtId="190" fontId="19" fillId="42" borderId="15" xfId="0" applyNumberFormat="1" applyFont="1" applyFill="1" applyBorder="1" applyAlignment="1" applyProtection="1">
      <alignment horizontal="center" vertical="center"/>
      <protection/>
    </xf>
    <xf numFmtId="37" fontId="18" fillId="34" borderId="26" xfId="0" applyNumberFormat="1" applyFont="1" applyFill="1" applyBorder="1" applyAlignment="1" applyProtection="1">
      <alignment horizontal="left" vertical="center"/>
      <protection/>
    </xf>
    <xf numFmtId="0" fontId="20" fillId="41" borderId="12" xfId="0" applyFont="1" applyFill="1" applyBorder="1" applyAlignment="1">
      <alignment horizontal="left" vertical="center"/>
    </xf>
    <xf numFmtId="190" fontId="19" fillId="42" borderId="16" xfId="0" applyNumberFormat="1" applyFont="1" applyFill="1" applyBorder="1" applyAlignment="1" applyProtection="1">
      <alignment horizontal="center" vertical="center"/>
      <protection locked="0"/>
    </xf>
    <xf numFmtId="0" fontId="4" fillId="34" borderId="23" xfId="0" applyFont="1" applyFill="1" applyBorder="1" applyAlignment="1" applyProtection="1">
      <alignment vertical="center"/>
      <protection/>
    </xf>
    <xf numFmtId="0" fontId="4" fillId="41" borderId="23" xfId="0" applyFont="1" applyFill="1" applyBorder="1" applyAlignment="1" applyProtection="1">
      <alignment vertical="center"/>
      <protection locked="0"/>
    </xf>
    <xf numFmtId="0" fontId="80" fillId="0" borderId="0" xfId="0" applyFont="1" applyAlignment="1" applyProtection="1">
      <alignment/>
      <protection locked="0"/>
    </xf>
    <xf numFmtId="0" fontId="4" fillId="42" borderId="16" xfId="0" applyFont="1" applyFill="1" applyBorder="1" applyAlignment="1" applyProtection="1">
      <alignment vertical="center"/>
      <protection locked="0"/>
    </xf>
    <xf numFmtId="184" fontId="18" fillId="41" borderId="27" xfId="0" applyNumberFormat="1" applyFont="1" applyFill="1" applyBorder="1" applyAlignment="1" applyProtection="1">
      <alignment horizontal="center" vertical="center"/>
      <protection/>
    </xf>
    <xf numFmtId="0" fontId="18" fillId="41" borderId="0" xfId="0" applyFont="1" applyFill="1" applyBorder="1" applyAlignment="1" applyProtection="1">
      <alignment horizontal="left" vertical="center"/>
      <protection/>
    </xf>
    <xf numFmtId="0" fontId="28" fillId="41" borderId="0" xfId="0" applyFont="1" applyFill="1" applyBorder="1" applyAlignment="1" applyProtection="1">
      <alignment horizontal="center" vertical="center"/>
      <protection/>
    </xf>
    <xf numFmtId="0" fontId="0" fillId="41" borderId="23" xfId="0" applyFill="1" applyBorder="1" applyAlignment="1" applyProtection="1">
      <alignment vertical="center"/>
      <protection/>
    </xf>
    <xf numFmtId="184" fontId="18" fillId="42" borderId="26" xfId="0" applyNumberFormat="1" applyFont="1" applyFill="1" applyBorder="1" applyAlignment="1" applyProtection="1">
      <alignment horizontal="center" vertical="center"/>
      <protection/>
    </xf>
    <xf numFmtId="184" fontId="18" fillId="41" borderId="18" xfId="0" applyNumberFormat="1" applyFont="1" applyFill="1" applyBorder="1" applyAlignment="1" applyProtection="1">
      <alignment horizontal="center" vertical="center"/>
      <protection/>
    </xf>
    <xf numFmtId="184" fontId="18" fillId="42" borderId="18" xfId="0" applyNumberFormat="1" applyFont="1" applyFill="1" applyBorder="1" applyAlignment="1" applyProtection="1">
      <alignment horizontal="center" vertical="center"/>
      <protection/>
    </xf>
    <xf numFmtId="0" fontId="18" fillId="41" borderId="12" xfId="0" applyFont="1" applyFill="1" applyBorder="1" applyAlignment="1" applyProtection="1">
      <alignment horizontal="left" vertical="center"/>
      <protection/>
    </xf>
    <xf numFmtId="0" fontId="28" fillId="41" borderId="12" xfId="0" applyFont="1" applyFill="1" applyBorder="1" applyAlignment="1" applyProtection="1">
      <alignment horizontal="center" vertical="center"/>
      <protection/>
    </xf>
    <xf numFmtId="0" fontId="0" fillId="41" borderId="16" xfId="0" applyFill="1" applyBorder="1" applyAlignment="1" applyProtection="1">
      <alignment vertical="center"/>
      <protection/>
    </xf>
    <xf numFmtId="37" fontId="4" fillId="34" borderId="23" xfId="0" applyNumberFormat="1" applyFont="1" applyFill="1" applyBorder="1" applyAlignment="1" applyProtection="1">
      <alignment horizontal="right" vertical="center"/>
      <protection/>
    </xf>
    <xf numFmtId="190" fontId="18" fillId="41" borderId="27" xfId="0" applyNumberFormat="1" applyFont="1" applyFill="1" applyBorder="1" applyAlignment="1" applyProtection="1">
      <alignment horizontal="center" vertical="center"/>
      <protection/>
    </xf>
    <xf numFmtId="0" fontId="18" fillId="41" borderId="23" xfId="0" applyFont="1" applyFill="1" applyBorder="1" applyAlignment="1" applyProtection="1">
      <alignment vertical="center"/>
      <protection/>
    </xf>
    <xf numFmtId="190" fontId="18" fillId="41" borderId="26" xfId="0" applyNumberFormat="1" applyFont="1" applyFill="1" applyBorder="1" applyAlignment="1" applyProtection="1">
      <alignment horizontal="center" vertical="center"/>
      <protection/>
    </xf>
    <xf numFmtId="190" fontId="18" fillId="41" borderId="27" xfId="0" applyNumberFormat="1" applyFont="1" applyFill="1" applyBorder="1" applyAlignment="1" applyProtection="1">
      <alignment vertical="center"/>
      <protection/>
    </xf>
    <xf numFmtId="0" fontId="4" fillId="41" borderId="23" xfId="0" applyFont="1" applyFill="1" applyBorder="1" applyAlignment="1" applyProtection="1">
      <alignment/>
      <protection locked="0"/>
    </xf>
    <xf numFmtId="190" fontId="18" fillId="42" borderId="26" xfId="0" applyNumberFormat="1" applyFont="1" applyFill="1" applyBorder="1" applyAlignment="1" applyProtection="1">
      <alignment horizontal="center" vertical="center"/>
      <protection/>
    </xf>
    <xf numFmtId="0" fontId="18" fillId="42" borderId="12" xfId="0" applyFont="1" applyFill="1" applyBorder="1" applyAlignment="1" applyProtection="1">
      <alignment vertical="center"/>
      <protection/>
    </xf>
    <xf numFmtId="0" fontId="18" fillId="42" borderId="16" xfId="0" applyFont="1" applyFill="1" applyBorder="1" applyAlignment="1" applyProtection="1">
      <alignment vertical="center"/>
      <protection/>
    </xf>
    <xf numFmtId="37" fontId="4" fillId="42" borderId="16" xfId="0" applyNumberFormat="1" applyFont="1" applyFill="1" applyBorder="1" applyAlignment="1" applyProtection="1">
      <alignment horizontal="right" vertical="center"/>
      <protection/>
    </xf>
    <xf numFmtId="0" fontId="4" fillId="41" borderId="27" xfId="0" applyFont="1" applyFill="1" applyBorder="1" applyAlignment="1" applyProtection="1">
      <alignment vertical="center"/>
      <protection/>
    </xf>
    <xf numFmtId="190" fontId="22" fillId="41" borderId="27" xfId="0" applyNumberFormat="1" applyFont="1" applyFill="1" applyBorder="1" applyAlignment="1" applyProtection="1">
      <alignment horizontal="center" vertical="center"/>
      <protection/>
    </xf>
    <xf numFmtId="0" fontId="4" fillId="41" borderId="23" xfId="0" applyFont="1" applyFill="1" applyBorder="1" applyAlignment="1" applyProtection="1">
      <alignment vertical="center"/>
      <protection/>
    </xf>
    <xf numFmtId="190" fontId="22" fillId="41" borderId="27" xfId="0" applyNumberFormat="1" applyFont="1" applyFill="1" applyBorder="1" applyAlignment="1" applyProtection="1">
      <alignment vertical="center"/>
      <protection/>
    </xf>
    <xf numFmtId="0" fontId="22" fillId="41" borderId="0" xfId="0" applyFont="1" applyFill="1" applyBorder="1" applyAlignment="1" applyProtection="1">
      <alignment vertical="center"/>
      <protection/>
    </xf>
    <xf numFmtId="190" fontId="22" fillId="41" borderId="26" xfId="0" applyNumberFormat="1" applyFont="1" applyFill="1" applyBorder="1" applyAlignment="1" applyProtection="1">
      <alignment horizontal="center" vertical="center"/>
      <protection/>
    </xf>
    <xf numFmtId="190" fontId="22" fillId="42" borderId="26" xfId="0" applyNumberFormat="1" applyFont="1" applyFill="1" applyBorder="1" applyAlignment="1" applyProtection="1">
      <alignment horizontal="center" vertical="center"/>
      <protection/>
    </xf>
    <xf numFmtId="0" fontId="4" fillId="42" borderId="16" xfId="0" applyFont="1" applyFill="1" applyBorder="1" applyAlignment="1" applyProtection="1">
      <alignment vertical="center"/>
      <protection/>
    </xf>
    <xf numFmtId="0" fontId="4" fillId="42" borderId="16" xfId="0" applyFont="1" applyFill="1" applyBorder="1" applyAlignment="1" applyProtection="1">
      <alignment/>
      <protection locked="0"/>
    </xf>
    <xf numFmtId="193" fontId="4" fillId="33" borderId="11" xfId="0" applyNumberFormat="1" applyFont="1" applyFill="1" applyBorder="1" applyAlignment="1" applyProtection="1">
      <alignment vertical="center"/>
      <protection locked="0"/>
    </xf>
    <xf numFmtId="37" fontId="4" fillId="34" borderId="12" xfId="88" applyNumberFormat="1" applyFont="1" applyFill="1" applyBorder="1" applyAlignment="1" applyProtection="1">
      <alignment horizontal="left" vertical="center"/>
      <protection/>
    </xf>
    <xf numFmtId="190" fontId="18" fillId="42" borderId="26" xfId="88" applyNumberFormat="1" applyFont="1" applyFill="1" applyBorder="1" applyAlignment="1" applyProtection="1">
      <alignment horizontal="center" vertical="center"/>
      <protection/>
    </xf>
    <xf numFmtId="193" fontId="4" fillId="33" borderId="11" xfId="0" applyNumberFormat="1" applyFont="1" applyFill="1" applyBorder="1" applyAlignment="1" applyProtection="1">
      <alignment vertical="center"/>
      <protection locked="0"/>
    </xf>
    <xf numFmtId="37" fontId="4" fillId="34" borderId="17" xfId="84" applyNumberFormat="1" applyFont="1" applyFill="1" applyBorder="1" applyAlignment="1" applyProtection="1">
      <alignment horizontal="left" vertical="center"/>
      <protection/>
    </xf>
    <xf numFmtId="1" fontId="4" fillId="34" borderId="19" xfId="0" applyNumberFormat="1" applyFont="1" applyFill="1" applyBorder="1" applyAlignment="1" applyProtection="1">
      <alignment horizontal="center" vertical="center"/>
      <protection/>
    </xf>
    <xf numFmtId="37" fontId="4" fillId="34" borderId="19" xfId="0" applyNumberFormat="1" applyFont="1" applyFill="1" applyBorder="1" applyAlignment="1" applyProtection="1">
      <alignment horizontal="center" vertical="center"/>
      <protection/>
    </xf>
    <xf numFmtId="0" fontId="18" fillId="34" borderId="16" xfId="0" applyFont="1" applyFill="1" applyBorder="1" applyAlignment="1" applyProtection="1">
      <alignment vertical="center"/>
      <protection/>
    </xf>
    <xf numFmtId="0" fontId="18" fillId="0" borderId="0" xfId="88" applyFont="1" applyFill="1" applyBorder="1" applyAlignment="1" applyProtection="1">
      <alignment vertical="center"/>
      <protection/>
    </xf>
    <xf numFmtId="190" fontId="19" fillId="0" borderId="0" xfId="88" applyNumberFormat="1" applyFont="1" applyFill="1" applyBorder="1" applyAlignment="1" applyProtection="1">
      <alignment horizontal="center" vertical="center"/>
      <protection/>
    </xf>
    <xf numFmtId="0" fontId="19" fillId="0" borderId="0" xfId="88" applyFont="1" applyFill="1" applyBorder="1" applyAlignment="1" applyProtection="1">
      <alignment vertical="center"/>
      <protection/>
    </xf>
    <xf numFmtId="37" fontId="18" fillId="34" borderId="11" xfId="0" applyNumberFormat="1" applyFont="1" applyFill="1" applyBorder="1" applyAlignment="1" applyProtection="1">
      <alignment horizontal="right" vertical="center"/>
      <protection/>
    </xf>
    <xf numFmtId="192" fontId="18" fillId="34" borderId="11" xfId="0" applyNumberFormat="1" applyFont="1" applyFill="1" applyBorder="1" applyAlignment="1" applyProtection="1">
      <alignment horizontal="right" vertical="center"/>
      <protection/>
    </xf>
    <xf numFmtId="183" fontId="4" fillId="34" borderId="11" xfId="0" applyNumberFormat="1" applyFont="1" applyFill="1" applyBorder="1" applyAlignment="1" applyProtection="1">
      <alignment horizontal="right" vertical="center"/>
      <protection/>
    </xf>
    <xf numFmtId="0" fontId="18" fillId="34" borderId="11" xfId="0" applyFont="1" applyFill="1" applyBorder="1" applyAlignment="1" applyProtection="1">
      <alignment horizontal="right" vertical="center"/>
      <protection/>
    </xf>
    <xf numFmtId="0" fontId="18" fillId="34" borderId="13" xfId="0" applyFont="1" applyFill="1" applyBorder="1" applyAlignment="1" applyProtection="1">
      <alignment horizontal="right" vertical="center"/>
      <protection/>
    </xf>
    <xf numFmtId="37" fontId="18" fillId="34" borderId="28" xfId="0" applyNumberFormat="1" applyFont="1" applyFill="1" applyBorder="1" applyAlignment="1" applyProtection="1">
      <alignment horizontal="right" vertical="center"/>
      <protection/>
    </xf>
    <xf numFmtId="183" fontId="18" fillId="34" borderId="28" xfId="0" applyNumberFormat="1" applyFont="1" applyFill="1" applyBorder="1" applyAlignment="1" applyProtection="1">
      <alignment horizontal="right" vertical="center"/>
      <protection/>
    </xf>
    <xf numFmtId="0" fontId="4" fillId="43" borderId="0" xfId="0" applyFont="1" applyFill="1" applyAlignment="1" applyProtection="1">
      <alignment/>
      <protection locked="0"/>
    </xf>
    <xf numFmtId="37" fontId="18" fillId="34" borderId="0" xfId="0" applyNumberFormat="1" applyFont="1" applyFill="1" applyBorder="1" applyAlignment="1" applyProtection="1">
      <alignment horizontal="fill" vertical="center"/>
      <protection locked="0"/>
    </xf>
    <xf numFmtId="0" fontId="18" fillId="34" borderId="0" xfId="0" applyFont="1" applyFill="1" applyBorder="1" applyAlignment="1" applyProtection="1">
      <alignment vertical="center"/>
      <protection locked="0"/>
    </xf>
    <xf numFmtId="0" fontId="18" fillId="34" borderId="0" xfId="0" applyFont="1" applyFill="1" applyBorder="1" applyAlignment="1" applyProtection="1">
      <alignment horizontal="centerContinuous" vertical="center"/>
      <protection locked="0"/>
    </xf>
    <xf numFmtId="37" fontId="18" fillId="34" borderId="0" xfId="0" applyNumberFormat="1" applyFont="1" applyFill="1" applyBorder="1" applyAlignment="1" applyProtection="1">
      <alignment horizontal="centerContinuous" vertical="center"/>
      <protection/>
    </xf>
    <xf numFmtId="0" fontId="81" fillId="41" borderId="15" xfId="0" applyFont="1" applyFill="1" applyBorder="1" applyAlignment="1" applyProtection="1">
      <alignment horizontal="center" vertical="center"/>
      <protection locked="0"/>
    </xf>
    <xf numFmtId="0" fontId="5" fillId="41" borderId="17" xfId="0" applyFont="1" applyFill="1" applyBorder="1" applyAlignment="1" applyProtection="1">
      <alignment horizontal="centerContinuous" vertical="center"/>
      <protection locked="0"/>
    </xf>
    <xf numFmtId="0" fontId="19" fillId="41" borderId="18" xfId="0" applyFont="1" applyFill="1" applyBorder="1" applyAlignment="1" applyProtection="1">
      <alignment horizontal="centerContinuous" vertical="center"/>
      <protection locked="0"/>
    </xf>
    <xf numFmtId="0" fontId="81" fillId="41" borderId="15" xfId="0" applyFont="1" applyFill="1" applyBorder="1" applyAlignment="1">
      <alignment horizontal="center" vertical="center"/>
    </xf>
    <xf numFmtId="0" fontId="5" fillId="41" borderId="17" xfId="0" applyFont="1" applyFill="1" applyBorder="1" applyAlignment="1">
      <alignment horizontal="centerContinuous" vertical="center"/>
    </xf>
    <xf numFmtId="0" fontId="19" fillId="41" borderId="18" xfId="0" applyFont="1" applyFill="1" applyBorder="1" applyAlignment="1">
      <alignment horizontal="centerContinuous" vertical="center"/>
    </xf>
    <xf numFmtId="37" fontId="4" fillId="33" borderId="18" xfId="0" applyNumberFormat="1" applyFont="1" applyFill="1" applyBorder="1" applyAlignment="1" applyProtection="1">
      <alignment vertical="center"/>
      <protection locked="0"/>
    </xf>
    <xf numFmtId="190" fontId="19" fillId="42" borderId="16" xfId="0" applyNumberFormat="1" applyFont="1" applyFill="1" applyBorder="1" applyAlignment="1" applyProtection="1">
      <alignment horizontal="center" vertical="center"/>
      <protection/>
    </xf>
    <xf numFmtId="0" fontId="0" fillId="0" borderId="14" xfId="0" applyBorder="1" applyAlignment="1">
      <alignment horizontal="center" vertical="center" wrapText="1"/>
    </xf>
    <xf numFmtId="0" fontId="24" fillId="34" borderId="0" xfId="0" applyFont="1" applyFill="1" applyAlignment="1">
      <alignment horizontal="center" vertical="center"/>
    </xf>
    <xf numFmtId="0" fontId="29" fillId="34" borderId="0" xfId="0" applyFont="1" applyFill="1" applyAlignment="1">
      <alignment horizontal="center" vertical="center"/>
    </xf>
    <xf numFmtId="0" fontId="24" fillId="34" borderId="26" xfId="0" applyFont="1" applyFill="1" applyBorder="1" applyAlignment="1">
      <alignment horizontal="center" vertical="center"/>
    </xf>
    <xf numFmtId="0" fontId="29" fillId="34" borderId="12" xfId="0" applyFont="1" applyFill="1" applyBorder="1" applyAlignment="1">
      <alignment horizontal="center" vertical="center"/>
    </xf>
    <xf numFmtId="3" fontId="29" fillId="34" borderId="0" xfId="0" applyNumberFormat="1" applyFont="1" applyFill="1" applyAlignment="1">
      <alignment vertical="center"/>
    </xf>
    <xf numFmtId="175" fontId="0" fillId="34" borderId="0" xfId="42" applyNumberFormat="1" applyFont="1" applyFill="1" applyAlignment="1">
      <alignment vertical="center"/>
    </xf>
    <xf numFmtId="175" fontId="4" fillId="0" borderId="0" xfId="42" applyNumberFormat="1" applyFont="1" applyAlignment="1">
      <alignment vertical="center"/>
    </xf>
    <xf numFmtId="175" fontId="4" fillId="33" borderId="18" xfId="42" applyNumberFormat="1" applyFont="1" applyFill="1" applyBorder="1" applyAlignment="1" applyProtection="1">
      <alignment vertical="center"/>
      <protection locked="0"/>
    </xf>
    <xf numFmtId="175" fontId="4" fillId="33" borderId="11" xfId="42" applyNumberFormat="1" applyFont="1" applyFill="1" applyBorder="1" applyAlignment="1" applyProtection="1">
      <alignment vertical="center"/>
      <protection locked="0"/>
    </xf>
    <xf numFmtId="0" fontId="11" fillId="33" borderId="12" xfId="67" applyFill="1" applyBorder="1" applyAlignment="1" applyProtection="1">
      <alignment vertical="center"/>
      <protection locked="0"/>
    </xf>
    <xf numFmtId="2" fontId="4" fillId="33" borderId="11" xfId="0" applyNumberFormat="1" applyFont="1" applyFill="1" applyBorder="1" applyAlignment="1" applyProtection="1">
      <alignment horizontal="right" vertical="center"/>
      <protection locked="0"/>
    </xf>
    <xf numFmtId="183" fontId="4" fillId="33" borderId="11" xfId="0" applyNumberFormat="1" applyFont="1" applyFill="1" applyBorder="1" applyAlignment="1" applyProtection="1">
      <alignment vertical="center"/>
      <protection locked="0"/>
    </xf>
    <xf numFmtId="37" fontId="4" fillId="37" borderId="0" xfId="0" applyNumberFormat="1" applyFont="1" applyFill="1" applyAlignment="1" applyProtection="1">
      <alignment horizontal="center" vertical="center" wrapText="1"/>
      <protection/>
    </xf>
    <xf numFmtId="0" fontId="0" fillId="37" borderId="12" xfId="0" applyFill="1" applyBorder="1" applyAlignment="1">
      <alignment horizontal="center" vertical="center" wrapText="1"/>
    </xf>
    <xf numFmtId="37" fontId="25" fillId="34" borderId="0" xfId="0" applyNumberFormat="1" applyFont="1" applyFill="1" applyAlignment="1" applyProtection="1">
      <alignment horizontal="center" vertical="center"/>
      <protection/>
    </xf>
    <xf numFmtId="0" fontId="26"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1" fillId="0" borderId="0" xfId="0" applyFont="1" applyAlignment="1">
      <alignment horizontal="center" vertical="center"/>
    </xf>
    <xf numFmtId="0" fontId="4" fillId="34" borderId="0" xfId="0" applyFont="1" applyFill="1" applyBorder="1" applyAlignment="1" applyProtection="1">
      <alignment vertical="center" wrapText="1"/>
      <protection/>
    </xf>
    <xf numFmtId="0" fontId="5" fillId="37" borderId="0" xfId="0" applyFont="1" applyFill="1" applyBorder="1" applyAlignment="1">
      <alignment horizontal="center" vertical="center"/>
    </xf>
    <xf numFmtId="0" fontId="1" fillId="37" borderId="0" xfId="0" applyFont="1" applyFill="1" applyBorder="1" applyAlignment="1">
      <alignment horizontal="center" vertical="center"/>
    </xf>
    <xf numFmtId="0" fontId="4" fillId="37" borderId="13"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4" xfId="0" applyBorder="1" applyAlignment="1">
      <alignment horizontal="center" vertical="center" wrapText="1"/>
    </xf>
    <xf numFmtId="0" fontId="24" fillId="34" borderId="0" xfId="0" applyFont="1" applyFill="1" applyBorder="1" applyAlignment="1">
      <alignment vertical="center"/>
    </xf>
    <xf numFmtId="0" fontId="29" fillId="0" borderId="0" xfId="0" applyFont="1" applyAlignment="1">
      <alignment vertical="center"/>
    </xf>
    <xf numFmtId="0" fontId="4" fillId="0" borderId="0" xfId="450" applyFont="1" applyAlignment="1">
      <alignment horizontal="left" vertical="center" wrapText="1"/>
      <protection/>
    </xf>
    <xf numFmtId="0" fontId="12" fillId="0" borderId="0" xfId="450" applyFont="1" applyAlignment="1">
      <alignment horizontal="left" vertical="center" wrapText="1"/>
      <protection/>
    </xf>
    <xf numFmtId="0" fontId="23" fillId="0" borderId="0" xfId="450" applyFont="1" applyAlignment="1">
      <alignment horizontal="left" vertical="center"/>
      <protection/>
    </xf>
    <xf numFmtId="37" fontId="18" fillId="0" borderId="0" xfId="0" applyNumberFormat="1" applyFont="1" applyAlignment="1" applyProtection="1">
      <alignment horizontal="center" vertical="center"/>
      <protection locked="0"/>
    </xf>
    <xf numFmtId="37" fontId="19" fillId="34" borderId="0" xfId="0" applyNumberFormat="1" applyFont="1" applyFill="1" applyAlignment="1" applyProtection="1">
      <alignment horizontal="center" vertical="center"/>
      <protection/>
    </xf>
    <xf numFmtId="37" fontId="18" fillId="34" borderId="13" xfId="0" applyNumberFormat="1" applyFont="1" applyFill="1" applyBorder="1" applyAlignment="1" applyProtection="1">
      <alignment horizontal="center" vertical="center" wrapText="1"/>
      <protection/>
    </xf>
    <xf numFmtId="0" fontId="20" fillId="0" borderId="14" xfId="0" applyFont="1" applyBorder="1" applyAlignment="1">
      <alignment horizontal="center" vertical="center" wrapText="1"/>
    </xf>
    <xf numFmtId="37" fontId="28" fillId="34" borderId="0" xfId="0" applyNumberFormat="1" applyFont="1" applyFill="1" applyAlignment="1" applyProtection="1">
      <alignment horizontal="center" vertical="center"/>
      <protection/>
    </xf>
    <xf numFmtId="0" fontId="1" fillId="0" borderId="0" xfId="0" applyFont="1" applyAlignment="1">
      <alignment horizontal="center" vertical="center"/>
    </xf>
    <xf numFmtId="37" fontId="18"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0" fillId="0" borderId="0" xfId="0" applyAlignment="1">
      <alignment vertical="center"/>
    </xf>
    <xf numFmtId="37" fontId="18" fillId="34" borderId="18" xfId="0" applyNumberFormat="1" applyFont="1" applyFill="1" applyBorder="1" applyAlignment="1" applyProtection="1">
      <alignment horizontal="fill" vertical="center"/>
      <protection/>
    </xf>
    <xf numFmtId="0" fontId="0" fillId="0" borderId="15" xfId="0" applyBorder="1" applyAlignment="1">
      <alignment vertical="center"/>
    </xf>
    <xf numFmtId="0" fontId="18" fillId="34" borderId="0" xfId="0" applyFont="1" applyFill="1" applyAlignment="1" applyProtection="1">
      <alignment horizontal="center" vertical="center"/>
      <protection/>
    </xf>
    <xf numFmtId="0" fontId="18" fillId="37" borderId="13" xfId="0" applyFont="1" applyFill="1" applyBorder="1" applyAlignment="1" applyProtection="1">
      <alignment horizontal="center" vertical="center" wrapText="1"/>
      <protection/>
    </xf>
    <xf numFmtId="0" fontId="0" fillId="0" borderId="14" xfId="0" applyBorder="1" applyAlignment="1">
      <alignment vertical="center" wrapText="1"/>
    </xf>
    <xf numFmtId="0" fontId="7" fillId="34" borderId="0" xfId="0" applyFont="1" applyFill="1" applyAlignment="1" applyProtection="1">
      <alignment horizontal="center" vertical="center"/>
      <protection/>
    </xf>
    <xf numFmtId="0" fontId="5" fillId="34" borderId="0" xfId="0" applyFont="1" applyFill="1" applyAlignment="1" applyProtection="1">
      <alignment horizontal="center" vertical="center"/>
      <protection/>
    </xf>
    <xf numFmtId="37" fontId="4" fillId="34" borderId="13" xfId="0" applyNumberFormat="1" applyFont="1" applyFill="1" applyBorder="1" applyAlignment="1" applyProtection="1">
      <alignment horizontal="center" vertical="center" wrapText="1"/>
      <protection/>
    </xf>
    <xf numFmtId="37" fontId="4" fillId="34" borderId="13" xfId="0" applyNumberFormat="1" applyFont="1" applyFill="1" applyBorder="1" applyAlignment="1" applyProtection="1">
      <alignment horizontal="center" wrapText="1"/>
      <protection/>
    </xf>
    <xf numFmtId="0" fontId="0" fillId="0" borderId="14" xfId="0" applyBorder="1" applyAlignment="1">
      <alignment horizontal="center" wrapText="1"/>
    </xf>
    <xf numFmtId="37" fontId="4" fillId="34" borderId="18" xfId="0" applyNumberFormat="1" applyFont="1" applyFill="1" applyBorder="1" applyAlignment="1" applyProtection="1">
      <alignment horizontal="center" vertical="center"/>
      <protection/>
    </xf>
    <xf numFmtId="0" fontId="0" fillId="0" borderId="17" xfId="0" applyBorder="1" applyAlignment="1">
      <alignment horizontal="center" vertical="center"/>
    </xf>
    <xf numFmtId="0" fontId="0" fillId="0" borderId="15" xfId="0" applyBorder="1" applyAlignment="1">
      <alignment horizontal="center" vertical="center"/>
    </xf>
    <xf numFmtId="37" fontId="5" fillId="34" borderId="0" xfId="0" applyNumberFormat="1" applyFont="1" applyFill="1" applyAlignment="1" applyProtection="1">
      <alignment horizontal="center"/>
      <protection/>
    </xf>
    <xf numFmtId="0" fontId="4" fillId="34" borderId="26" xfId="0" applyFont="1" applyFill="1" applyBorder="1" applyAlignment="1" applyProtection="1">
      <alignment horizontal="center" vertical="center"/>
      <protection/>
    </xf>
    <xf numFmtId="0" fontId="0" fillId="0" borderId="16" xfId="0" applyBorder="1" applyAlignment="1" applyProtection="1">
      <alignment vertical="center"/>
      <protection/>
    </xf>
    <xf numFmtId="1" fontId="4" fillId="34" borderId="26" xfId="0" applyNumberFormat="1" applyFont="1" applyFill="1" applyBorder="1" applyAlignment="1" applyProtection="1">
      <alignment horizontal="center" vertical="center"/>
      <protection/>
    </xf>
    <xf numFmtId="0" fontId="0" fillId="0" borderId="16" xfId="0" applyBorder="1" applyAlignment="1" applyProtection="1">
      <alignment horizontal="center" vertical="center"/>
      <protection/>
    </xf>
    <xf numFmtId="3" fontId="4" fillId="34" borderId="21" xfId="101" applyNumberFormat="1" applyFont="1" applyFill="1" applyBorder="1" applyAlignment="1" applyProtection="1">
      <alignment horizontal="right" vertical="center"/>
      <protection/>
    </xf>
    <xf numFmtId="0" fontId="0" fillId="0" borderId="20" xfId="101" applyBorder="1" applyAlignment="1">
      <alignment horizontal="right" vertical="center"/>
      <protection/>
    </xf>
    <xf numFmtId="0" fontId="4" fillId="34" borderId="0" xfId="101" applyFont="1" applyFill="1" applyAlignment="1" applyProtection="1">
      <alignment horizontal="right" vertical="center"/>
      <protection/>
    </xf>
    <xf numFmtId="0" fontId="4" fillId="0" borderId="23" xfId="101" applyFont="1" applyBorder="1" applyAlignment="1">
      <alignment horizontal="right" vertical="center"/>
      <protection/>
    </xf>
    <xf numFmtId="0" fontId="28" fillId="34" borderId="19" xfId="88" applyFont="1" applyFill="1" applyBorder="1" applyAlignment="1" applyProtection="1">
      <alignment horizontal="center" vertical="center"/>
      <protection/>
    </xf>
    <xf numFmtId="0" fontId="34" fillId="0" borderId="21" xfId="88" applyFont="1" applyBorder="1" applyAlignment="1" applyProtection="1">
      <alignment horizontal="center" vertical="center"/>
      <protection/>
    </xf>
    <xf numFmtId="0" fontId="0" fillId="0" borderId="20" xfId="88" applyBorder="1" applyAlignment="1" applyProtection="1">
      <alignment vertical="center"/>
      <protection/>
    </xf>
    <xf numFmtId="0" fontId="4" fillId="34" borderId="0" xfId="0" applyFont="1" applyFill="1" applyAlignment="1" applyProtection="1">
      <alignment horizontal="center" vertical="center"/>
      <protection/>
    </xf>
    <xf numFmtId="0" fontId="4" fillId="34" borderId="0" xfId="0" applyNumberFormat="1" applyFont="1" applyFill="1" applyBorder="1" applyAlignment="1" applyProtection="1">
      <alignment horizontal="right" vertical="center"/>
      <protection/>
    </xf>
    <xf numFmtId="0" fontId="0" fillId="0" borderId="0" xfId="0" applyAlignment="1">
      <alignment horizontal="right" vertical="center"/>
    </xf>
    <xf numFmtId="0" fontId="28" fillId="41" borderId="19" xfId="0" applyFont="1" applyFill="1" applyBorder="1" applyAlignment="1" applyProtection="1">
      <alignment horizontal="center" vertical="center"/>
      <protection/>
    </xf>
    <xf numFmtId="0" fontId="0" fillId="0" borderId="21" xfId="0" applyBorder="1" applyAlignment="1">
      <alignment vertical="center"/>
    </xf>
    <xf numFmtId="0" fontId="0" fillId="0" borderId="20" xfId="0" applyBorder="1" applyAlignment="1">
      <alignment vertical="center"/>
    </xf>
    <xf numFmtId="184" fontId="28" fillId="41" borderId="19" xfId="0" applyNumberFormat="1" applyFont="1" applyFill="1" applyBorder="1" applyAlignment="1" applyProtection="1">
      <alignment horizontal="center"/>
      <protection/>
    </xf>
    <xf numFmtId="0" fontId="26" fillId="0" borderId="21" xfId="0" applyFont="1" applyBorder="1" applyAlignment="1">
      <alignment/>
    </xf>
    <xf numFmtId="0" fontId="26" fillId="0" borderId="20" xfId="0" applyFont="1" applyBorder="1" applyAlignment="1">
      <alignment/>
    </xf>
    <xf numFmtId="37" fontId="4" fillId="34" borderId="0" xfId="0" applyNumberFormat="1" applyFont="1" applyFill="1" applyAlignment="1" applyProtection="1">
      <alignment horizontal="center" vertical="center"/>
      <protection/>
    </xf>
    <xf numFmtId="0" fontId="0" fillId="0" borderId="21" xfId="0" applyBorder="1" applyAlignment="1">
      <alignment horizontal="center" vertical="center"/>
    </xf>
    <xf numFmtId="0" fontId="0" fillId="0" borderId="20" xfId="0" applyBorder="1" applyAlignment="1">
      <alignment/>
    </xf>
    <xf numFmtId="0" fontId="20" fillId="0" borderId="21" xfId="0" applyFont="1" applyBorder="1" applyAlignment="1">
      <alignment horizontal="center" vertical="center"/>
    </xf>
    <xf numFmtId="0" fontId="4" fillId="34" borderId="18" xfId="0" applyFont="1" applyFill="1" applyBorder="1" applyAlignment="1">
      <alignment horizontal="center" vertical="center"/>
    </xf>
    <xf numFmtId="0" fontId="4" fillId="34" borderId="15" xfId="0" applyFont="1" applyFill="1" applyBorder="1" applyAlignment="1">
      <alignment horizontal="center" vertical="center"/>
    </xf>
    <xf numFmtId="37" fontId="4" fillId="41" borderId="0" xfId="0" applyNumberFormat="1" applyFont="1" applyFill="1" applyAlignment="1" applyProtection="1">
      <alignment horizontal="center" vertical="center"/>
      <protection/>
    </xf>
    <xf numFmtId="0" fontId="23" fillId="41" borderId="19" xfId="98" applyFont="1" applyFill="1" applyBorder="1" applyAlignment="1" applyProtection="1">
      <alignment horizontal="center"/>
      <protection/>
    </xf>
    <xf numFmtId="0" fontId="23" fillId="41" borderId="21" xfId="98" applyFont="1" applyFill="1" applyBorder="1" applyAlignment="1" applyProtection="1">
      <alignment horizontal="center"/>
      <protection/>
    </xf>
    <xf numFmtId="0" fontId="23" fillId="41" borderId="20" xfId="98" applyFont="1" applyFill="1" applyBorder="1" applyAlignment="1" applyProtection="1">
      <alignment horizontal="center"/>
      <protection/>
    </xf>
    <xf numFmtId="0" fontId="0" fillId="0" borderId="21" xfId="98" applyBorder="1" applyAlignment="1" applyProtection="1">
      <alignment horizontal="center"/>
      <protection/>
    </xf>
    <xf numFmtId="0" fontId="0" fillId="0" borderId="20" xfId="98" applyBorder="1" applyAlignment="1" applyProtection="1">
      <alignment horizontal="center"/>
      <protection/>
    </xf>
    <xf numFmtId="37" fontId="4" fillId="34" borderId="12" xfId="0" applyNumberFormat="1" applyFont="1" applyFill="1" applyBorder="1" applyAlignment="1" applyProtection="1">
      <alignment horizontal="center" vertical="center"/>
      <protection locked="0"/>
    </xf>
    <xf numFmtId="0" fontId="0" fillId="0" borderId="21" xfId="0" applyBorder="1" applyAlignment="1">
      <alignment horizontal="center"/>
    </xf>
    <xf numFmtId="0" fontId="0" fillId="0" borderId="20" xfId="0" applyBorder="1" applyAlignment="1">
      <alignment horizontal="center"/>
    </xf>
    <xf numFmtId="37" fontId="23" fillId="34" borderId="0" xfId="0" applyNumberFormat="1" applyFont="1" applyFill="1" applyAlignment="1" applyProtection="1">
      <alignment horizontal="center" vertical="center"/>
      <protection/>
    </xf>
    <xf numFmtId="0" fontId="14"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left" wrapText="1"/>
    </xf>
    <xf numFmtId="0" fontId="8" fillId="0" borderId="0" xfId="0" applyFont="1" applyAlignment="1">
      <alignment vertical="top" wrapText="1"/>
    </xf>
    <xf numFmtId="0" fontId="8" fillId="0" borderId="0" xfId="0" applyFont="1" applyAlignment="1">
      <alignment horizontal="center"/>
    </xf>
  </cellXfs>
  <cellStyles count="4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4" xfId="51"/>
    <cellStyle name="Comma 4 2" xfId="52"/>
    <cellStyle name="Comma 5" xfId="53"/>
    <cellStyle name="Comma 6" xfId="54"/>
    <cellStyle name="Comma 7" xfId="55"/>
    <cellStyle name="Comma 7 2" xfId="56"/>
    <cellStyle name="Comma 7 3" xfId="57"/>
    <cellStyle name="Currency" xfId="58"/>
    <cellStyle name="Currency [0]" xfId="59"/>
    <cellStyle name="Explanatory Text" xfId="60"/>
    <cellStyle name="Followed Hyperlink" xfId="61"/>
    <cellStyle name="Good" xfId="62"/>
    <cellStyle name="Heading 1" xfId="63"/>
    <cellStyle name="Heading 2" xfId="64"/>
    <cellStyle name="Heading 3" xfId="65"/>
    <cellStyle name="Heading 4" xfId="66"/>
    <cellStyle name="Hyperlink" xfId="67"/>
    <cellStyle name="Hyperlink 2" xfId="68"/>
    <cellStyle name="Hyperlink 2 2" xfId="69"/>
    <cellStyle name="Hyperlink 3" xfId="70"/>
    <cellStyle name="Hyperlink 3 2" xfId="71"/>
    <cellStyle name="Hyperlink 3 3" xfId="72"/>
    <cellStyle name="Hyperlink 4 2" xfId="73"/>
    <cellStyle name="Hyperlink 7" xfId="74"/>
    <cellStyle name="Hyperlink 7 2" xfId="75"/>
    <cellStyle name="Hyperlink 8" xfId="76"/>
    <cellStyle name="Hyperlink 8 2" xfId="77"/>
    <cellStyle name="Input" xfId="78"/>
    <cellStyle name="Linked Cell" xfId="79"/>
    <cellStyle name="Neutral" xfId="80"/>
    <cellStyle name="Normal 10" xfId="81"/>
    <cellStyle name="Normal 10 2" xfId="82"/>
    <cellStyle name="Normal 10 2 2" xfId="83"/>
    <cellStyle name="Normal 10 2 2 2" xfId="84"/>
    <cellStyle name="Normal 10 2 2 3" xfId="85"/>
    <cellStyle name="Normal 10 3" xfId="86"/>
    <cellStyle name="Normal 10 4" xfId="87"/>
    <cellStyle name="Normal 10 5" xfId="88"/>
    <cellStyle name="Normal 10 6" xfId="89"/>
    <cellStyle name="Normal 10 7" xfId="90"/>
    <cellStyle name="Normal 11" xfId="91"/>
    <cellStyle name="Normal 11 2" xfId="92"/>
    <cellStyle name="Normal 11 2 2" xfId="93"/>
    <cellStyle name="Normal 11 3" xfId="94"/>
    <cellStyle name="Normal 11 4" xfId="95"/>
    <cellStyle name="Normal 11 5" xfId="96"/>
    <cellStyle name="Normal 12" xfId="97"/>
    <cellStyle name="Normal 12 10" xfId="98"/>
    <cellStyle name="Normal 12 11" xfId="99"/>
    <cellStyle name="Normal 12 12" xfId="100"/>
    <cellStyle name="Normal 12 2" xfId="101"/>
    <cellStyle name="Normal 12 2 2" xfId="102"/>
    <cellStyle name="Normal 12 3" xfId="103"/>
    <cellStyle name="Normal 12 4" xfId="104"/>
    <cellStyle name="Normal 12 5" xfId="105"/>
    <cellStyle name="Normal 12 6" xfId="106"/>
    <cellStyle name="Normal 12 7" xfId="107"/>
    <cellStyle name="Normal 12 8" xfId="108"/>
    <cellStyle name="Normal 12 9" xfId="109"/>
    <cellStyle name="Normal 13" xfId="110"/>
    <cellStyle name="Normal 13 10" xfId="111"/>
    <cellStyle name="Normal 13 11" xfId="112"/>
    <cellStyle name="Normal 13 12" xfId="113"/>
    <cellStyle name="Normal 13 2" xfId="114"/>
    <cellStyle name="Normal 13 2 2" xfId="115"/>
    <cellStyle name="Normal 13 3" xfId="116"/>
    <cellStyle name="Normal 13 4" xfId="117"/>
    <cellStyle name="Normal 13 5" xfId="118"/>
    <cellStyle name="Normal 13 6" xfId="119"/>
    <cellStyle name="Normal 13 7" xfId="120"/>
    <cellStyle name="Normal 13 8" xfId="121"/>
    <cellStyle name="Normal 13 9" xfId="122"/>
    <cellStyle name="Normal 14" xfId="123"/>
    <cellStyle name="Normal 14 2" xfId="124"/>
    <cellStyle name="Normal 14 3" xfId="125"/>
    <cellStyle name="Normal 14 4" xfId="126"/>
    <cellStyle name="Normal 14 5" xfId="127"/>
    <cellStyle name="Normal 14 6" xfId="128"/>
    <cellStyle name="Normal 14 7" xfId="129"/>
    <cellStyle name="Normal 15" xfId="130"/>
    <cellStyle name="Normal 15 2" xfId="131"/>
    <cellStyle name="Normal 15 3" xfId="132"/>
    <cellStyle name="Normal 15 4" xfId="133"/>
    <cellStyle name="Normal 16" xfId="134"/>
    <cellStyle name="Normal 16 2" xfId="135"/>
    <cellStyle name="Normal 16 3" xfId="136"/>
    <cellStyle name="Normal 16 4" xfId="137"/>
    <cellStyle name="Normal 17" xfId="138"/>
    <cellStyle name="Normal 17 2" xfId="139"/>
    <cellStyle name="Normal 17 3" xfId="140"/>
    <cellStyle name="Normal 17 4" xfId="141"/>
    <cellStyle name="Normal 18" xfId="142"/>
    <cellStyle name="Normal 18 2" xfId="143"/>
    <cellStyle name="Normal 18 2 2" xfId="144"/>
    <cellStyle name="Normal 18 2 3" xfId="145"/>
    <cellStyle name="Normal 18 3" xfId="146"/>
    <cellStyle name="Normal 18 4" xfId="147"/>
    <cellStyle name="Normal 18 5" xfId="148"/>
    <cellStyle name="Normal 18 6" xfId="149"/>
    <cellStyle name="Normal 18 7" xfId="150"/>
    <cellStyle name="Normal 18 8" xfId="151"/>
    <cellStyle name="Normal 19" xfId="152"/>
    <cellStyle name="Normal 19 2" xfId="153"/>
    <cellStyle name="Normal 19 2 2" xfId="154"/>
    <cellStyle name="Normal 19 2 3" xfId="155"/>
    <cellStyle name="Normal 19 3" xfId="156"/>
    <cellStyle name="Normal 19 4" xfId="157"/>
    <cellStyle name="Normal 19 5" xfId="158"/>
    <cellStyle name="Normal 19 6" xfId="159"/>
    <cellStyle name="Normal 19 7" xfId="160"/>
    <cellStyle name="Normal 2" xfId="161"/>
    <cellStyle name="Normal 2 10" xfId="162"/>
    <cellStyle name="Normal 2 10 10" xfId="163"/>
    <cellStyle name="Normal 2 10 11" xfId="164"/>
    <cellStyle name="Normal 2 10 2" xfId="165"/>
    <cellStyle name="Normal 2 10 2 2" xfId="166"/>
    <cellStyle name="Normal 2 10 3" xfId="167"/>
    <cellStyle name="Normal 2 10 3 2" xfId="168"/>
    <cellStyle name="Normal 2 10 4" xfId="169"/>
    <cellStyle name="Normal 2 10 4 2" xfId="170"/>
    <cellStyle name="Normal 2 10 5" xfId="171"/>
    <cellStyle name="Normal 2 10 5 2" xfId="172"/>
    <cellStyle name="Normal 2 10 6" xfId="173"/>
    <cellStyle name="Normal 2 10 6 2" xfId="174"/>
    <cellStyle name="Normal 2 10 7" xfId="175"/>
    <cellStyle name="Normal 2 10 7 2" xfId="176"/>
    <cellStyle name="Normal 2 10 8" xfId="177"/>
    <cellStyle name="Normal 2 10 8 2" xfId="178"/>
    <cellStyle name="Normal 2 10 9" xfId="179"/>
    <cellStyle name="Normal 2 11" xfId="180"/>
    <cellStyle name="Normal 2 11 10" xfId="181"/>
    <cellStyle name="Normal 2 11 11" xfId="182"/>
    <cellStyle name="Normal 2 11 2" xfId="183"/>
    <cellStyle name="Normal 2 11 2 2" xfId="184"/>
    <cellStyle name="Normal 2 11 3" xfId="185"/>
    <cellStyle name="Normal 2 11 3 2" xfId="186"/>
    <cellStyle name="Normal 2 11 4" xfId="187"/>
    <cellStyle name="Normal 2 11 4 2" xfId="188"/>
    <cellStyle name="Normal 2 11 5" xfId="189"/>
    <cellStyle name="Normal 2 11 5 2" xfId="190"/>
    <cellStyle name="Normal 2 11 6" xfId="191"/>
    <cellStyle name="Normal 2 11 6 2" xfId="192"/>
    <cellStyle name="Normal 2 11 7" xfId="193"/>
    <cellStyle name="Normal 2 11 7 2" xfId="194"/>
    <cellStyle name="Normal 2 11 8" xfId="195"/>
    <cellStyle name="Normal 2 11 8 2" xfId="196"/>
    <cellStyle name="Normal 2 11 9" xfId="197"/>
    <cellStyle name="Normal 2 12" xfId="198"/>
    <cellStyle name="Normal 2 13" xfId="199"/>
    <cellStyle name="Normal 2 14" xfId="200"/>
    <cellStyle name="Normal 2 15" xfId="201"/>
    <cellStyle name="Normal 2 16" xfId="202"/>
    <cellStyle name="Normal 2 2" xfId="203"/>
    <cellStyle name="Normal 2 2 10" xfId="204"/>
    <cellStyle name="Normal 2 2 10 2" xfId="205"/>
    <cellStyle name="Normal 2 2 11" xfId="206"/>
    <cellStyle name="Normal 2 2 11 2" xfId="207"/>
    <cellStyle name="Normal 2 2 12" xfId="208"/>
    <cellStyle name="Normal 2 2 12 2" xfId="209"/>
    <cellStyle name="Normal 2 2 12 2 2" xfId="210"/>
    <cellStyle name="Normal 2 2 12 2 3" xfId="211"/>
    <cellStyle name="Normal 2 2 12 3" xfId="212"/>
    <cellStyle name="Normal 2 2 12 4" xfId="213"/>
    <cellStyle name="Normal 2 2 13" xfId="214"/>
    <cellStyle name="Normal 2 2 13 2" xfId="215"/>
    <cellStyle name="Normal 2 2 13 2 2" xfId="216"/>
    <cellStyle name="Normal 2 2 13 2 3" xfId="217"/>
    <cellStyle name="Normal 2 2 13 3" xfId="218"/>
    <cellStyle name="Normal 2 2 13 4" xfId="219"/>
    <cellStyle name="Normal 2 2 14" xfId="220"/>
    <cellStyle name="Normal 2 2 14 2" xfId="221"/>
    <cellStyle name="Normal 2 2 15" xfId="222"/>
    <cellStyle name="Normal 2 2 15 2" xfId="223"/>
    <cellStyle name="Normal 2 2 16" xfId="224"/>
    <cellStyle name="Normal 2 2 16 2" xfId="225"/>
    <cellStyle name="Normal 2 2 16 3" xfId="226"/>
    <cellStyle name="Normal 2 2 17" xfId="227"/>
    <cellStyle name="Normal 2 2 18" xfId="228"/>
    <cellStyle name="Normal 2 2 19" xfId="229"/>
    <cellStyle name="Normal 2 2 2" xfId="230"/>
    <cellStyle name="Normal 2 2 2 2" xfId="231"/>
    <cellStyle name="Normal 2 2 2 2 2" xfId="232"/>
    <cellStyle name="Normal 2 2 2 2 3" xfId="233"/>
    <cellStyle name="Normal 2 2 2 3" xfId="234"/>
    <cellStyle name="Normal 2 2 2 3 2" xfId="235"/>
    <cellStyle name="Normal 2 2 2 4" xfId="236"/>
    <cellStyle name="Normal 2 2 2 4 2" xfId="237"/>
    <cellStyle name="Normal 2 2 2 5" xfId="238"/>
    <cellStyle name="Normal 2 2 2 5 2" xfId="239"/>
    <cellStyle name="Normal 2 2 2 6" xfId="240"/>
    <cellStyle name="Normal 2 2 2 6 2" xfId="241"/>
    <cellStyle name="Normal 2 2 2 7" xfId="242"/>
    <cellStyle name="Normal 2 2 2 8" xfId="243"/>
    <cellStyle name="Normal 2 2 20" xfId="244"/>
    <cellStyle name="Normal 2 2 21" xfId="245"/>
    <cellStyle name="Normal 2 2 3" xfId="246"/>
    <cellStyle name="Normal 2 2 3 2" xfId="247"/>
    <cellStyle name="Normal 2 2 4" xfId="248"/>
    <cellStyle name="Normal 2 2 4 2" xfId="249"/>
    <cellStyle name="Normal 2 2 5" xfId="250"/>
    <cellStyle name="Normal 2 2 5 2" xfId="251"/>
    <cellStyle name="Normal 2 2 6" xfId="252"/>
    <cellStyle name="Normal 2 2 6 2" xfId="253"/>
    <cellStyle name="Normal 2 2 7" xfId="254"/>
    <cellStyle name="Normal 2 2 7 2" xfId="255"/>
    <cellStyle name="Normal 2 2 8" xfId="256"/>
    <cellStyle name="Normal 2 2 8 2" xfId="257"/>
    <cellStyle name="Normal 2 2 9" xfId="258"/>
    <cellStyle name="Normal 2 2 9 2" xfId="259"/>
    <cellStyle name="Normal 2 3" xfId="260"/>
    <cellStyle name="Normal 2 3 10" xfId="261"/>
    <cellStyle name="Normal 2 3 11" xfId="262"/>
    <cellStyle name="Normal 2 3 12" xfId="263"/>
    <cellStyle name="Normal 2 3 13" xfId="264"/>
    <cellStyle name="Normal 2 3 14" xfId="265"/>
    <cellStyle name="Normal 2 3 15" xfId="266"/>
    <cellStyle name="Normal 2 3 2" xfId="267"/>
    <cellStyle name="Normal 2 3 2 2" xfId="268"/>
    <cellStyle name="Normal 2 3 2 2 2" xfId="269"/>
    <cellStyle name="Normal 2 3 2 2 3" xfId="270"/>
    <cellStyle name="Normal 2 3 2 3" xfId="271"/>
    <cellStyle name="Normal 2 3 2 4" xfId="272"/>
    <cellStyle name="Normal 2 3 2 5" xfId="273"/>
    <cellStyle name="Normal 2 3 3" xfId="274"/>
    <cellStyle name="Normal 2 3 3 2" xfId="275"/>
    <cellStyle name="Normal 2 3 3 3" xfId="276"/>
    <cellStyle name="Normal 2 3 4" xfId="277"/>
    <cellStyle name="Normal 2 3 5" xfId="278"/>
    <cellStyle name="Normal 2 3 6" xfId="279"/>
    <cellStyle name="Normal 2 3 7" xfId="280"/>
    <cellStyle name="Normal 2 3 8" xfId="281"/>
    <cellStyle name="Normal 2 3 9" xfId="282"/>
    <cellStyle name="Normal 2 4" xfId="283"/>
    <cellStyle name="Normal 2 4 10" xfId="284"/>
    <cellStyle name="Normal 2 4 11" xfId="285"/>
    <cellStyle name="Normal 2 4 12" xfId="286"/>
    <cellStyle name="Normal 2 4 13" xfId="287"/>
    <cellStyle name="Normal 2 4 2" xfId="288"/>
    <cellStyle name="Normal 2 4 2 2" xfId="289"/>
    <cellStyle name="Normal 2 4 2 2 2" xfId="290"/>
    <cellStyle name="Normal 2 4 2 2 3" xfId="291"/>
    <cellStyle name="Normal 2 4 2 3" xfId="292"/>
    <cellStyle name="Normal 2 4 2 4" xfId="293"/>
    <cellStyle name="Normal 2 4 2 5" xfId="294"/>
    <cellStyle name="Normal 2 4 3" xfId="295"/>
    <cellStyle name="Normal 2 4 3 2" xfId="296"/>
    <cellStyle name="Normal 2 4 3 3" xfId="297"/>
    <cellStyle name="Normal 2 4 4" xfId="298"/>
    <cellStyle name="Normal 2 4 5" xfId="299"/>
    <cellStyle name="Normal 2 4 6" xfId="300"/>
    <cellStyle name="Normal 2 4 7" xfId="301"/>
    <cellStyle name="Normal 2 4 8" xfId="302"/>
    <cellStyle name="Normal 2 4 9" xfId="303"/>
    <cellStyle name="Normal 2 5" xfId="304"/>
    <cellStyle name="Normal 2 5 10" xfId="305"/>
    <cellStyle name="Normal 2 5 11" xfId="306"/>
    <cellStyle name="Normal 2 5 12" xfId="307"/>
    <cellStyle name="Normal 2 5 12 2" xfId="308"/>
    <cellStyle name="Normal 2 5 12 3" xfId="309"/>
    <cellStyle name="Normal 2 5 2" xfId="310"/>
    <cellStyle name="Normal 2 5 2 2" xfId="311"/>
    <cellStyle name="Normal 2 5 3" xfId="312"/>
    <cellStyle name="Normal 2 5 3 2" xfId="313"/>
    <cellStyle name="Normal 2 5 4" xfId="314"/>
    <cellStyle name="Normal 2 5 5" xfId="315"/>
    <cellStyle name="Normal 2 5 6" xfId="316"/>
    <cellStyle name="Normal 2 5 7" xfId="317"/>
    <cellStyle name="Normal 2 5 8" xfId="318"/>
    <cellStyle name="Normal 2 5 9" xfId="319"/>
    <cellStyle name="Normal 2 6" xfId="320"/>
    <cellStyle name="Normal 2 6 10" xfId="321"/>
    <cellStyle name="Normal 2 6 11" xfId="322"/>
    <cellStyle name="Normal 2 6 12" xfId="323"/>
    <cellStyle name="Normal 2 6 2" xfId="324"/>
    <cellStyle name="Normal 2 6 2 2" xfId="325"/>
    <cellStyle name="Normal 2 6 3" xfId="326"/>
    <cellStyle name="Normal 2 6 3 2" xfId="327"/>
    <cellStyle name="Normal 2 6 4" xfId="328"/>
    <cellStyle name="Normal 2 6 5" xfId="329"/>
    <cellStyle name="Normal 2 6 6" xfId="330"/>
    <cellStyle name="Normal 2 6 7" xfId="331"/>
    <cellStyle name="Normal 2 6 8" xfId="332"/>
    <cellStyle name="Normal 2 6 9" xfId="333"/>
    <cellStyle name="Normal 2 7" xfId="334"/>
    <cellStyle name="Normal 2 7 10" xfId="335"/>
    <cellStyle name="Normal 2 7 2" xfId="336"/>
    <cellStyle name="Normal 2 7 2 2" xfId="337"/>
    <cellStyle name="Normal 2 7 2 3" xfId="338"/>
    <cellStyle name="Normal 2 7 3" xfId="339"/>
    <cellStyle name="Normal 2 7 3 2" xfId="340"/>
    <cellStyle name="Normal 2 7 4" xfId="341"/>
    <cellStyle name="Normal 2 7 4 2" xfId="342"/>
    <cellStyle name="Normal 2 7 5" xfId="343"/>
    <cellStyle name="Normal 2 7 5 2" xfId="344"/>
    <cellStyle name="Normal 2 7 6" xfId="345"/>
    <cellStyle name="Normal 2 7 6 2" xfId="346"/>
    <cellStyle name="Normal 2 7 7" xfId="347"/>
    <cellStyle name="Normal 2 7 7 2" xfId="348"/>
    <cellStyle name="Normal 2 7 8" xfId="349"/>
    <cellStyle name="Normal 2 7 8 2" xfId="350"/>
    <cellStyle name="Normal 2 7 9" xfId="351"/>
    <cellStyle name="Normal 2 8" xfId="352"/>
    <cellStyle name="Normal 2 8 10" xfId="353"/>
    <cellStyle name="Normal 2 8 11" xfId="354"/>
    <cellStyle name="Normal 2 8 2" xfId="355"/>
    <cellStyle name="Normal 2 8 2 2" xfId="356"/>
    <cellStyle name="Normal 2 8 3" xfId="357"/>
    <cellStyle name="Normal 2 8 3 2" xfId="358"/>
    <cellStyle name="Normal 2 8 4" xfId="359"/>
    <cellStyle name="Normal 2 8 4 2" xfId="360"/>
    <cellStyle name="Normal 2 8 5" xfId="361"/>
    <cellStyle name="Normal 2 8 5 2" xfId="362"/>
    <cellStyle name="Normal 2 8 6" xfId="363"/>
    <cellStyle name="Normal 2 8 6 2" xfId="364"/>
    <cellStyle name="Normal 2 8 7" xfId="365"/>
    <cellStyle name="Normal 2 8 7 2" xfId="366"/>
    <cellStyle name="Normal 2 8 8" xfId="367"/>
    <cellStyle name="Normal 2 8 8 2" xfId="368"/>
    <cellStyle name="Normal 2 8 9" xfId="369"/>
    <cellStyle name="Normal 2 9" xfId="370"/>
    <cellStyle name="Normal 2 9 10" xfId="371"/>
    <cellStyle name="Normal 2 9 11" xfId="372"/>
    <cellStyle name="Normal 2 9 2" xfId="373"/>
    <cellStyle name="Normal 2 9 2 2" xfId="374"/>
    <cellStyle name="Normal 2 9 3" xfId="375"/>
    <cellStyle name="Normal 2 9 3 2" xfId="376"/>
    <cellStyle name="Normal 2 9 4" xfId="377"/>
    <cellStyle name="Normal 2 9 4 2" xfId="378"/>
    <cellStyle name="Normal 2 9 5" xfId="379"/>
    <cellStyle name="Normal 2 9 5 2" xfId="380"/>
    <cellStyle name="Normal 2 9 6" xfId="381"/>
    <cellStyle name="Normal 2 9 6 2" xfId="382"/>
    <cellStyle name="Normal 2 9 7" xfId="383"/>
    <cellStyle name="Normal 2 9 7 2" xfId="384"/>
    <cellStyle name="Normal 2 9 8" xfId="385"/>
    <cellStyle name="Normal 2 9 8 2" xfId="386"/>
    <cellStyle name="Normal 2 9 9" xfId="387"/>
    <cellStyle name="Normal 20" xfId="388"/>
    <cellStyle name="Normal 20 2" xfId="389"/>
    <cellStyle name="Normal 20 3" xfId="390"/>
    <cellStyle name="Normal 21" xfId="391"/>
    <cellStyle name="Normal 21 2" xfId="392"/>
    <cellStyle name="Normal 22" xfId="393"/>
    <cellStyle name="Normal 22 2" xfId="394"/>
    <cellStyle name="Normal 22 3" xfId="395"/>
    <cellStyle name="Normal 23" xfId="396"/>
    <cellStyle name="Normal 23 2" xfId="397"/>
    <cellStyle name="Normal 23 3" xfId="398"/>
    <cellStyle name="Normal 24" xfId="399"/>
    <cellStyle name="Normal 24 2" xfId="400"/>
    <cellStyle name="Normal 24 3" xfId="401"/>
    <cellStyle name="Normal 25" xfId="402"/>
    <cellStyle name="Normal 25 2" xfId="403"/>
    <cellStyle name="Normal 25 3" xfId="404"/>
    <cellStyle name="Normal 26" xfId="405"/>
    <cellStyle name="Normal 3" xfId="406"/>
    <cellStyle name="Normal 3 2" xfId="407"/>
    <cellStyle name="Normal 3 2 2" xfId="408"/>
    <cellStyle name="Normal 3 2 2 2" xfId="409"/>
    <cellStyle name="Normal 3 2 2 3" xfId="410"/>
    <cellStyle name="Normal 3 2 3" xfId="411"/>
    <cellStyle name="Normal 3 2 4" xfId="412"/>
    <cellStyle name="Normal 3 2 5" xfId="413"/>
    <cellStyle name="Normal 3 3" xfId="414"/>
    <cellStyle name="Normal 3 3 2" xfId="415"/>
    <cellStyle name="Normal 3 3 2 2" xfId="416"/>
    <cellStyle name="Normal 3 3 2 3" xfId="417"/>
    <cellStyle name="Normal 3 3 3" xfId="418"/>
    <cellStyle name="Normal 3 3 4" xfId="419"/>
    <cellStyle name="Normal 3 4" xfId="420"/>
    <cellStyle name="Normal 3 5" xfId="421"/>
    <cellStyle name="Normal 3 6" xfId="422"/>
    <cellStyle name="Normal 3 7" xfId="423"/>
    <cellStyle name="Normal 3 8" xfId="424"/>
    <cellStyle name="Normal 3 9" xfId="425"/>
    <cellStyle name="Normal 4" xfId="426"/>
    <cellStyle name="Normal 4 2" xfId="427"/>
    <cellStyle name="Normal 4 2 2" xfId="428"/>
    <cellStyle name="Normal 4 2 2 2" xfId="429"/>
    <cellStyle name="Normal 4 2 3" xfId="430"/>
    <cellStyle name="Normal 4 2 4" xfId="431"/>
    <cellStyle name="Normal 4 3" xfId="432"/>
    <cellStyle name="Normal 4 3 2" xfId="433"/>
    <cellStyle name="Normal 4 3 3" xfId="434"/>
    <cellStyle name="Normal 4 4" xfId="435"/>
    <cellStyle name="Normal 4 5" xfId="436"/>
    <cellStyle name="Normal 4 6" xfId="437"/>
    <cellStyle name="Normal 5" xfId="438"/>
    <cellStyle name="Normal 5 2" xfId="439"/>
    <cellStyle name="Normal 5 3" xfId="440"/>
    <cellStyle name="Normal 5 3 2" xfId="441"/>
    <cellStyle name="Normal 5 3 3" xfId="442"/>
    <cellStyle name="Normal 5 4" xfId="443"/>
    <cellStyle name="Normal 5 5" xfId="444"/>
    <cellStyle name="Normal 6" xfId="445"/>
    <cellStyle name="Normal 6 2" xfId="446"/>
    <cellStyle name="Normal 6 3" xfId="447"/>
    <cellStyle name="Normal 6 4" xfId="448"/>
    <cellStyle name="Normal 6 5" xfId="449"/>
    <cellStyle name="Normal 7" xfId="450"/>
    <cellStyle name="Normal 7 2" xfId="451"/>
    <cellStyle name="Normal 7 2 2" xfId="452"/>
    <cellStyle name="Normal 7 2 2 2" xfId="453"/>
    <cellStyle name="Normal 7 2 3" xfId="454"/>
    <cellStyle name="Normal 7 2 4" xfId="455"/>
    <cellStyle name="Normal 7 2 5" xfId="456"/>
    <cellStyle name="Normal 7 3" xfId="457"/>
    <cellStyle name="Normal 7 4" xfId="458"/>
    <cellStyle name="Normal 7 4 2" xfId="459"/>
    <cellStyle name="Normal 7 4 3" xfId="460"/>
    <cellStyle name="Normal 7 5" xfId="461"/>
    <cellStyle name="Normal 7 5 2" xfId="462"/>
    <cellStyle name="Normal 7 5 3" xfId="463"/>
    <cellStyle name="Normal 7 5 4" xfId="464"/>
    <cellStyle name="Normal 7 6" xfId="465"/>
    <cellStyle name="Normal 7 7" xfId="466"/>
    <cellStyle name="Normal 8" xfId="467"/>
    <cellStyle name="Normal 8 2" xfId="468"/>
    <cellStyle name="Normal 9" xfId="469"/>
    <cellStyle name="Normal 9 2" xfId="470"/>
    <cellStyle name="Normal 9 2 2" xfId="471"/>
    <cellStyle name="Normal 9 3" xfId="472"/>
    <cellStyle name="Normal 9 4" xfId="473"/>
    <cellStyle name="Normal 9 5" xfId="474"/>
    <cellStyle name="Normal 9 6" xfId="475"/>
    <cellStyle name="Normal_debt" xfId="476"/>
    <cellStyle name="Normal_lpform" xfId="477"/>
    <cellStyle name="Normal_Township 07" xfId="478"/>
    <cellStyle name="Note" xfId="479"/>
    <cellStyle name="Output" xfId="480"/>
    <cellStyle name="Percent" xfId="481"/>
    <cellStyle name="Title" xfId="482"/>
    <cellStyle name="Total" xfId="483"/>
    <cellStyle name="Warning Text" xfId="484"/>
  </cellStyles>
  <dxfs count="310">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hyperlink" Target="mailto:budget1@lvpf-cpa.com"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117"/>
  <sheetViews>
    <sheetView view="pageBreakPreview" zoomScale="99" zoomScaleSheetLayoutView="99" zoomScalePageLayoutView="0" workbookViewId="0" topLeftCell="A25">
      <selection activeCell="A53" sqref="A53"/>
    </sheetView>
  </sheetViews>
  <sheetFormatPr defaultColWidth="8.796875" defaultRowHeight="15"/>
  <cols>
    <col min="1" max="1" width="15.796875" style="48" customWidth="1"/>
    <col min="2" max="2" width="20.796875" style="48" customWidth="1"/>
    <col min="3" max="3" width="8.796875" style="48" customWidth="1"/>
    <col min="4" max="5" width="13.296875" style="48" customWidth="1"/>
    <col min="6" max="6" width="10.796875" style="48" customWidth="1"/>
    <col min="7" max="7" width="1.796875" style="48" customWidth="1"/>
    <col min="8" max="8" width="18.69921875" style="48" customWidth="1"/>
    <col min="9" max="16384" width="8.8984375" style="48" customWidth="1"/>
  </cols>
  <sheetData>
    <row r="1" spans="1:9" ht="15.75">
      <c r="A1" s="554" t="s">
        <v>234</v>
      </c>
      <c r="B1" s="555"/>
      <c r="C1" s="555"/>
      <c r="D1" s="555"/>
      <c r="E1" s="555"/>
      <c r="F1" s="555"/>
      <c r="G1" s="51"/>
      <c r="H1" s="51"/>
      <c r="I1" s="51"/>
    </row>
    <row r="2" spans="1:9" ht="15.75">
      <c r="A2" s="50" t="s">
        <v>235</v>
      </c>
      <c r="B2" s="51"/>
      <c r="C2" s="360" t="s">
        <v>324</v>
      </c>
      <c r="D2" s="52"/>
      <c r="E2" s="53"/>
      <c r="F2" s="54"/>
      <c r="G2" s="51"/>
      <c r="H2" s="51"/>
      <c r="I2" s="51"/>
    </row>
    <row r="3" spans="1:9" ht="15.75">
      <c r="A3" s="50"/>
      <c r="B3" s="51"/>
      <c r="C3" s="51"/>
      <c r="D3" s="51"/>
      <c r="E3" s="55"/>
      <c r="F3" s="54"/>
      <c r="G3" s="51"/>
      <c r="H3" s="51"/>
      <c r="I3" s="51"/>
    </row>
    <row r="4" spans="1:9" ht="15.75">
      <c r="A4" s="50" t="s">
        <v>236</v>
      </c>
      <c r="B4" s="51"/>
      <c r="C4" s="56">
        <v>2014</v>
      </c>
      <c r="D4" s="57"/>
      <c r="E4" s="55"/>
      <c r="F4" s="54"/>
      <c r="G4" s="51"/>
      <c r="H4" s="51"/>
      <c r="I4" s="51"/>
    </row>
    <row r="5" spans="1:9" ht="15.75">
      <c r="A5" s="51"/>
      <c r="B5" s="51"/>
      <c r="C5" s="51"/>
      <c r="D5" s="51"/>
      <c r="E5" s="51"/>
      <c r="F5" s="51"/>
      <c r="G5" s="51"/>
      <c r="H5" s="51"/>
      <c r="I5" s="51"/>
    </row>
    <row r="6" spans="1:9" ht="18.75" customHeight="1">
      <c r="A6" s="58" t="s">
        <v>276</v>
      </c>
      <c r="B6" s="59"/>
      <c r="C6" s="59"/>
      <c r="D6" s="59"/>
      <c r="E6" s="59"/>
      <c r="F6" s="59"/>
      <c r="G6" s="51"/>
      <c r="H6" s="556" t="s">
        <v>310</v>
      </c>
      <c r="I6" s="556"/>
    </row>
    <row r="7" spans="1:9" ht="15.75">
      <c r="A7" s="58" t="s">
        <v>275</v>
      </c>
      <c r="B7" s="59"/>
      <c r="C7" s="59"/>
      <c r="D7" s="59"/>
      <c r="E7" s="59"/>
      <c r="F7" s="59"/>
      <c r="G7" s="51"/>
      <c r="H7" s="556"/>
      <c r="I7" s="556"/>
    </row>
    <row r="8" spans="1:9" ht="15.75">
      <c r="A8" s="58"/>
      <c r="B8" s="59"/>
      <c r="C8" s="59"/>
      <c r="D8" s="59"/>
      <c r="E8" s="59"/>
      <c r="F8" s="59"/>
      <c r="G8" s="51"/>
      <c r="H8" s="556"/>
      <c r="I8" s="556"/>
    </row>
    <row r="9" spans="1:9" ht="15.75">
      <c r="A9" s="552" t="s">
        <v>30</v>
      </c>
      <c r="B9" s="553"/>
      <c r="C9" s="553"/>
      <c r="D9" s="553"/>
      <c r="E9" s="553"/>
      <c r="F9" s="553"/>
      <c r="G9" s="51"/>
      <c r="H9" s="556"/>
      <c r="I9" s="556"/>
    </row>
    <row r="10" spans="1:9" ht="15.75">
      <c r="A10" s="51"/>
      <c r="B10" s="51"/>
      <c r="C10" s="51"/>
      <c r="D10" s="51"/>
      <c r="E10" s="51"/>
      <c r="F10" s="51"/>
      <c r="G10" s="51"/>
      <c r="H10" s="556"/>
      <c r="I10" s="556"/>
    </row>
    <row r="11" spans="1:9" ht="15.75">
      <c r="A11" s="60" t="str">
        <f>CONCATENATE("The input for the following comes directly from the ",C4-1," Budget:")</f>
        <v>The input for the following comes directly from the 2013 Budget:</v>
      </c>
      <c r="B11" s="61"/>
      <c r="C11" s="61"/>
      <c r="D11" s="61"/>
      <c r="E11" s="51"/>
      <c r="F11" s="51"/>
      <c r="G11" s="51"/>
      <c r="H11" s="556"/>
      <c r="I11" s="556"/>
    </row>
    <row r="12" spans="1:9" ht="15.75">
      <c r="A12" s="62" t="s">
        <v>237</v>
      </c>
      <c r="B12" s="61"/>
      <c r="C12" s="61"/>
      <c r="D12" s="61"/>
      <c r="E12" s="51"/>
      <c r="F12" s="51"/>
      <c r="G12" s="51"/>
      <c r="H12" s="54"/>
      <c r="I12" s="452"/>
    </row>
    <row r="13" spans="1:9" ht="15.75">
      <c r="A13" s="62" t="s">
        <v>258</v>
      </c>
      <c r="B13" s="61"/>
      <c r="C13" s="61"/>
      <c r="D13" s="61"/>
      <c r="E13" s="51"/>
      <c r="F13" s="51"/>
      <c r="G13" s="51"/>
      <c r="H13" s="51"/>
      <c r="I13" s="51"/>
    </row>
    <row r="14" spans="1:9" ht="15.75">
      <c r="A14" s="51"/>
      <c r="B14" s="51"/>
      <c r="C14" s="63"/>
      <c r="D14" s="64">
        <f>C4-1</f>
        <v>2013</v>
      </c>
      <c r="E14" s="65" t="str">
        <f>CONCATENATE("",C4-2,"")</f>
        <v>2012</v>
      </c>
      <c r="F14" s="66">
        <f>C4-2</f>
        <v>2012</v>
      </c>
      <c r="H14" s="211" t="s">
        <v>311</v>
      </c>
      <c r="I14" s="206" t="s">
        <v>91</v>
      </c>
    </row>
    <row r="15" spans="1:9" ht="15.75">
      <c r="A15" s="50" t="s">
        <v>238</v>
      </c>
      <c r="B15" s="51"/>
      <c r="C15" s="67" t="s">
        <v>45</v>
      </c>
      <c r="D15" s="68" t="s">
        <v>257</v>
      </c>
      <c r="E15" s="68" t="s">
        <v>43</v>
      </c>
      <c r="F15" s="68" t="s">
        <v>36</v>
      </c>
      <c r="H15" s="217" t="str">
        <f>CONCATENATE("",E14," Ad Valorem Tax")</f>
        <v>2012 Ad Valorem Tax</v>
      </c>
      <c r="I15" s="453">
        <v>0</v>
      </c>
    </row>
    <row r="16" spans="1:8" ht="15.75">
      <c r="A16" s="51"/>
      <c r="B16" s="69" t="s">
        <v>46</v>
      </c>
      <c r="C16" s="207" t="s">
        <v>200</v>
      </c>
      <c r="D16" s="71">
        <v>3429119</v>
      </c>
      <c r="E16" s="72">
        <v>2369147</v>
      </c>
      <c r="F16" s="73">
        <v>37.585</v>
      </c>
      <c r="H16" s="219">
        <f>IF($I$15&gt;0,ROUND(E16-(E16*$I$15),0),0)</f>
        <v>0</v>
      </c>
    </row>
    <row r="17" spans="1:8" ht="15.75">
      <c r="A17" s="51"/>
      <c r="B17" s="69" t="s">
        <v>101</v>
      </c>
      <c r="C17" s="207" t="s">
        <v>239</v>
      </c>
      <c r="D17" s="71"/>
      <c r="E17" s="72"/>
      <c r="F17" s="73"/>
      <c r="H17" s="219">
        <f aca="true" t="shared" si="0" ref="H17:H34">IF($I$15&gt;0,ROUND(E17-(E17*$I$15),0),0)</f>
        <v>0</v>
      </c>
    </row>
    <row r="18" spans="1:8" ht="15.75">
      <c r="A18" s="50"/>
      <c r="B18" s="74" t="s">
        <v>106</v>
      </c>
      <c r="C18" s="206" t="s">
        <v>200</v>
      </c>
      <c r="D18" s="71">
        <v>2247616</v>
      </c>
      <c r="E18" s="71">
        <v>1470996</v>
      </c>
      <c r="F18" s="75">
        <v>23.336</v>
      </c>
      <c r="H18" s="219">
        <f t="shared" si="0"/>
        <v>0</v>
      </c>
    </row>
    <row r="19" spans="1:8" ht="15.75">
      <c r="A19" s="51"/>
      <c r="B19" s="76" t="s">
        <v>325</v>
      </c>
      <c r="C19" s="376" t="s">
        <v>356</v>
      </c>
      <c r="D19" s="71">
        <v>130000</v>
      </c>
      <c r="E19" s="78">
        <v>65286</v>
      </c>
      <c r="F19" s="73">
        <v>1.036</v>
      </c>
      <c r="H19" s="219">
        <f t="shared" si="0"/>
        <v>0</v>
      </c>
    </row>
    <row r="20" spans="1:8" ht="15.75">
      <c r="A20" s="51"/>
      <c r="B20" s="76" t="s">
        <v>326</v>
      </c>
      <c r="C20" s="376" t="s">
        <v>357</v>
      </c>
      <c r="D20" s="71">
        <v>24000</v>
      </c>
      <c r="E20" s="78">
        <v>21087</v>
      </c>
      <c r="F20" s="73">
        <v>0.335</v>
      </c>
      <c r="H20" s="219">
        <f t="shared" si="0"/>
        <v>0</v>
      </c>
    </row>
    <row r="21" spans="1:8" ht="15.75">
      <c r="A21" s="51"/>
      <c r="B21" s="76" t="s">
        <v>327</v>
      </c>
      <c r="C21" s="376" t="s">
        <v>358</v>
      </c>
      <c r="D21" s="71">
        <v>21000</v>
      </c>
      <c r="E21" s="78">
        <v>18485</v>
      </c>
      <c r="F21" s="73">
        <v>0.294</v>
      </c>
      <c r="H21" s="219">
        <f t="shared" si="0"/>
        <v>0</v>
      </c>
    </row>
    <row r="22" spans="1:8" ht="15.75">
      <c r="A22" s="51"/>
      <c r="B22" s="76" t="s">
        <v>328</v>
      </c>
      <c r="C22" s="376" t="s">
        <v>359</v>
      </c>
      <c r="D22" s="71">
        <v>321088</v>
      </c>
      <c r="E22" s="78">
        <v>80774</v>
      </c>
      <c r="F22" s="73">
        <v>1.282</v>
      </c>
      <c r="H22" s="219">
        <f t="shared" si="0"/>
        <v>0</v>
      </c>
    </row>
    <row r="23" spans="1:8" ht="15.75">
      <c r="A23" s="51"/>
      <c r="B23" s="76" t="s">
        <v>97</v>
      </c>
      <c r="C23" s="376" t="s">
        <v>360</v>
      </c>
      <c r="D23" s="71">
        <v>1075194</v>
      </c>
      <c r="E23" s="78">
        <v>641199</v>
      </c>
      <c r="F23" s="73">
        <v>10.172</v>
      </c>
      <c r="H23" s="219">
        <f t="shared" si="0"/>
        <v>0</v>
      </c>
    </row>
    <row r="24" spans="1:8" ht="15.75">
      <c r="A24" s="51"/>
      <c r="B24" s="76" t="s">
        <v>329</v>
      </c>
      <c r="C24" s="376" t="s">
        <v>361</v>
      </c>
      <c r="D24" s="71">
        <v>103191</v>
      </c>
      <c r="E24" s="78">
        <v>92653</v>
      </c>
      <c r="F24" s="73">
        <v>1.47</v>
      </c>
      <c r="H24" s="219">
        <f t="shared" si="0"/>
        <v>0</v>
      </c>
    </row>
    <row r="25" spans="1:8" ht="15.75">
      <c r="A25" s="51"/>
      <c r="B25" s="76" t="s">
        <v>330</v>
      </c>
      <c r="C25" s="376" t="s">
        <v>362</v>
      </c>
      <c r="D25" s="71">
        <v>139537</v>
      </c>
      <c r="E25" s="78">
        <v>123537</v>
      </c>
      <c r="F25" s="73">
        <v>1.96</v>
      </c>
      <c r="H25" s="219">
        <f t="shared" si="0"/>
        <v>0</v>
      </c>
    </row>
    <row r="26" spans="1:8" ht="15.75">
      <c r="A26" s="51"/>
      <c r="B26" s="76" t="s">
        <v>331</v>
      </c>
      <c r="C26" s="376" t="s">
        <v>363</v>
      </c>
      <c r="D26" s="71">
        <v>854340</v>
      </c>
      <c r="E26" s="78">
        <v>355130</v>
      </c>
      <c r="F26" s="73">
        <v>5.634</v>
      </c>
      <c r="H26" s="219">
        <f t="shared" si="0"/>
        <v>0</v>
      </c>
    </row>
    <row r="27" spans="1:8" ht="15.75">
      <c r="A27" s="51"/>
      <c r="B27" s="76" t="s">
        <v>67</v>
      </c>
      <c r="C27" s="376" t="s">
        <v>364</v>
      </c>
      <c r="D27" s="71">
        <v>46335</v>
      </c>
      <c r="E27" s="78">
        <v>41898</v>
      </c>
      <c r="F27" s="73">
        <v>0.665</v>
      </c>
      <c r="H27" s="219">
        <f t="shared" si="0"/>
        <v>0</v>
      </c>
    </row>
    <row r="28" spans="1:8" ht="15.75">
      <c r="A28" s="51"/>
      <c r="B28" s="76" t="s">
        <v>104</v>
      </c>
      <c r="C28" s="376" t="s">
        <v>364</v>
      </c>
      <c r="D28" s="71">
        <v>50935</v>
      </c>
      <c r="E28" s="78">
        <v>46309</v>
      </c>
      <c r="F28" s="73">
        <v>0.735</v>
      </c>
      <c r="H28" s="219">
        <f t="shared" si="0"/>
        <v>0</v>
      </c>
    </row>
    <row r="29" spans="1:8" ht="15.75">
      <c r="A29" s="51"/>
      <c r="B29" s="76" t="s">
        <v>332</v>
      </c>
      <c r="C29" s="376" t="s">
        <v>365</v>
      </c>
      <c r="D29" s="71">
        <v>40500</v>
      </c>
      <c r="E29" s="78">
        <v>5787</v>
      </c>
      <c r="F29" s="73">
        <v>0.092</v>
      </c>
      <c r="H29" s="219">
        <f t="shared" si="0"/>
        <v>0</v>
      </c>
    </row>
    <row r="30" spans="1:8" ht="15.75">
      <c r="A30" s="51"/>
      <c r="B30" s="76" t="s">
        <v>333</v>
      </c>
      <c r="C30" s="376" t="s">
        <v>366</v>
      </c>
      <c r="D30" s="71">
        <v>49000</v>
      </c>
      <c r="E30" s="78">
        <v>43579</v>
      </c>
      <c r="F30" s="73">
        <v>0.692</v>
      </c>
      <c r="H30" s="219">
        <f t="shared" si="0"/>
        <v>0</v>
      </c>
    </row>
    <row r="31" spans="1:8" ht="15.75">
      <c r="A31" s="51"/>
      <c r="B31" s="76" t="s">
        <v>103</v>
      </c>
      <c r="C31" s="376" t="s">
        <v>367</v>
      </c>
      <c r="D31" s="71">
        <v>77524</v>
      </c>
      <c r="E31" s="78"/>
      <c r="F31" s="73"/>
      <c r="H31" s="219">
        <f t="shared" si="0"/>
        <v>0</v>
      </c>
    </row>
    <row r="32" spans="1:8" ht="15.75">
      <c r="A32" s="51"/>
      <c r="B32" s="76" t="s">
        <v>334</v>
      </c>
      <c r="C32" s="376" t="s">
        <v>368</v>
      </c>
      <c r="D32" s="71">
        <v>335000</v>
      </c>
      <c r="E32" s="78">
        <v>272767</v>
      </c>
      <c r="F32" s="73">
        <v>4.328</v>
      </c>
      <c r="H32" s="219">
        <f t="shared" si="0"/>
        <v>0</v>
      </c>
    </row>
    <row r="33" spans="1:8" ht="15.75">
      <c r="A33" s="51"/>
      <c r="B33" s="76"/>
      <c r="C33" s="376"/>
      <c r="D33" s="71"/>
      <c r="E33" s="78"/>
      <c r="F33" s="73"/>
      <c r="H33" s="219">
        <f t="shared" si="0"/>
        <v>0</v>
      </c>
    </row>
    <row r="34" spans="1:8" ht="15.75">
      <c r="A34" s="51"/>
      <c r="B34" s="76"/>
      <c r="C34" s="376"/>
      <c r="D34" s="71"/>
      <c r="E34" s="78"/>
      <c r="F34" s="73"/>
      <c r="H34" s="219">
        <f t="shared" si="0"/>
        <v>0</v>
      </c>
    </row>
    <row r="35" spans="1:6" ht="15.75">
      <c r="A35" s="79" t="str">
        <f>CONCATENATE("Total Tax Levy Funds Levy Amounts and Levy Rates for ",C4-1," Budget")</f>
        <v>Total Tax Levy Funds Levy Amounts and Levy Rates for 2013 Budget</v>
      </c>
      <c r="B35" s="80"/>
      <c r="C35" s="80"/>
      <c r="D35" s="81"/>
      <c r="E35" s="82">
        <f>SUM(E16:E34)</f>
        <v>5648634</v>
      </c>
      <c r="F35" s="83">
        <f>SUM(F16:F34)</f>
        <v>89.61599999999999</v>
      </c>
    </row>
    <row r="36" spans="1:6" ht="15.75">
      <c r="A36" s="50" t="s">
        <v>22</v>
      </c>
      <c r="B36" s="51"/>
      <c r="C36" s="51"/>
      <c r="D36" s="51"/>
      <c r="E36" s="51"/>
      <c r="F36" s="51"/>
    </row>
    <row r="37" spans="1:6" ht="15.75">
      <c r="A37" s="51"/>
      <c r="B37" s="73" t="s">
        <v>335</v>
      </c>
      <c r="C37" s="51"/>
      <c r="D37" s="71">
        <v>67090</v>
      </c>
      <c r="E37" s="51"/>
      <c r="F37" s="51"/>
    </row>
    <row r="38" spans="1:6" ht="15.75">
      <c r="A38" s="51"/>
      <c r="B38" s="73" t="s">
        <v>336</v>
      </c>
      <c r="C38" s="51"/>
      <c r="D38" s="71">
        <v>153986</v>
      </c>
      <c r="E38" s="51"/>
      <c r="F38" s="51"/>
    </row>
    <row r="39" spans="1:6" ht="15.75">
      <c r="A39" s="51"/>
      <c r="B39" s="73" t="s">
        <v>337</v>
      </c>
      <c r="C39" s="51"/>
      <c r="D39" s="71">
        <v>57977</v>
      </c>
      <c r="E39" s="51"/>
      <c r="F39" s="51"/>
    </row>
    <row r="40" spans="1:6" ht="15.75">
      <c r="A40" s="51"/>
      <c r="B40" s="73" t="s">
        <v>338</v>
      </c>
      <c r="C40" s="51"/>
      <c r="D40" s="71">
        <v>43091</v>
      </c>
      <c r="E40" s="51"/>
      <c r="F40" s="51"/>
    </row>
    <row r="41" spans="1:6" ht="15.75">
      <c r="A41" s="51"/>
      <c r="B41" s="73" t="s">
        <v>339</v>
      </c>
      <c r="C41" s="51"/>
      <c r="D41" s="71">
        <v>16140</v>
      </c>
      <c r="E41" s="51"/>
      <c r="F41" s="51"/>
    </row>
    <row r="42" spans="1:6" ht="15.75">
      <c r="A42" s="51"/>
      <c r="B42" s="73" t="s">
        <v>340</v>
      </c>
      <c r="C42" s="51"/>
      <c r="D42" s="71">
        <v>5652</v>
      </c>
      <c r="E42" s="51"/>
      <c r="F42" s="51"/>
    </row>
    <row r="43" spans="1:6" ht="15.75">
      <c r="A43" s="51"/>
      <c r="B43" s="73" t="s">
        <v>341</v>
      </c>
      <c r="C43" s="51"/>
      <c r="D43" s="71">
        <v>54367</v>
      </c>
      <c r="E43" s="51"/>
      <c r="F43" s="51"/>
    </row>
    <row r="44" spans="1:6" ht="15.75">
      <c r="A44" s="51"/>
      <c r="B44" s="73" t="s">
        <v>342</v>
      </c>
      <c r="C44" s="51"/>
      <c r="D44" s="71">
        <v>50000</v>
      </c>
      <c r="E44" s="51"/>
      <c r="F44" s="51"/>
    </row>
    <row r="45" spans="1:6" ht="15.75">
      <c r="A45" s="51"/>
      <c r="B45" s="73" t="s">
        <v>343</v>
      </c>
      <c r="C45" s="51"/>
      <c r="D45" s="71">
        <v>51300</v>
      </c>
      <c r="E45" s="51"/>
      <c r="F45" s="51"/>
    </row>
    <row r="46" spans="1:6" ht="15.75">
      <c r="A46" s="51"/>
      <c r="B46" s="73" t="s">
        <v>344</v>
      </c>
      <c r="C46" s="51"/>
      <c r="D46" s="71">
        <v>36537</v>
      </c>
      <c r="E46" s="51"/>
      <c r="F46" s="51"/>
    </row>
    <row r="47" spans="1:6" ht="15.75">
      <c r="A47" s="51"/>
      <c r="B47" s="73" t="s">
        <v>345</v>
      </c>
      <c r="C47" s="51"/>
      <c r="D47" s="71">
        <v>150862</v>
      </c>
      <c r="E47" s="51"/>
      <c r="F47" s="51"/>
    </row>
    <row r="48" spans="1:6" ht="15.75">
      <c r="A48" s="51"/>
      <c r="B48" s="73" t="s">
        <v>346</v>
      </c>
      <c r="C48" s="51"/>
      <c r="D48" s="71">
        <v>28220</v>
      </c>
      <c r="E48" s="51"/>
      <c r="F48" s="51"/>
    </row>
    <row r="49" spans="1:6" ht="15.75">
      <c r="A49" s="51"/>
      <c r="B49" s="73" t="s">
        <v>107</v>
      </c>
      <c r="C49" s="51"/>
      <c r="D49" s="71">
        <v>553000</v>
      </c>
      <c r="E49" s="51"/>
      <c r="F49" s="51"/>
    </row>
    <row r="50" spans="1:6" ht="15.75">
      <c r="A50" s="51"/>
      <c r="B50" s="73"/>
      <c r="C50" s="51"/>
      <c r="D50" s="71"/>
      <c r="E50" s="51"/>
      <c r="F50" s="51"/>
    </row>
    <row r="51" spans="1:6" ht="15.75">
      <c r="A51" s="79" t="str">
        <f>CONCATENATE("Total Expenditures for ",C4-1," Budgeted Year")</f>
        <v>Total Expenditures for 2013 Budgeted Year</v>
      </c>
      <c r="B51" s="84"/>
      <c r="C51" s="85"/>
      <c r="D51" s="86">
        <f>SUM(D16:D34,D37:D50)</f>
        <v>10212601</v>
      </c>
      <c r="E51" s="51"/>
      <c r="F51" s="51"/>
    </row>
    <row r="52" spans="1:6" ht="15.75">
      <c r="A52" s="87"/>
      <c r="B52" s="88"/>
      <c r="C52" s="51"/>
      <c r="D52" s="89"/>
      <c r="E52" s="51"/>
      <c r="F52" s="51"/>
    </row>
    <row r="53" spans="1:6" ht="15.75">
      <c r="A53" s="51" t="s">
        <v>10</v>
      </c>
      <c r="B53" s="88"/>
      <c r="C53" s="51"/>
      <c r="D53" s="51"/>
      <c r="E53" s="51"/>
      <c r="F53" s="51"/>
    </row>
    <row r="54" spans="1:6" ht="15.75">
      <c r="A54" s="51">
        <v>1</v>
      </c>
      <c r="B54" s="73" t="s">
        <v>347</v>
      </c>
      <c r="C54" s="51"/>
      <c r="D54" s="51"/>
      <c r="E54" s="51"/>
      <c r="F54" s="51"/>
    </row>
    <row r="55" spans="1:6" ht="15.75">
      <c r="A55" s="51">
        <v>2</v>
      </c>
      <c r="B55" s="73" t="s">
        <v>348</v>
      </c>
      <c r="C55" s="51"/>
      <c r="D55" s="51"/>
      <c r="E55" s="51"/>
      <c r="F55" s="51"/>
    </row>
    <row r="56" spans="1:6" ht="15.75">
      <c r="A56" s="51">
        <v>3</v>
      </c>
      <c r="B56" s="73" t="s">
        <v>349</v>
      </c>
      <c r="C56" s="51"/>
      <c r="D56" s="51"/>
      <c r="E56" s="51"/>
      <c r="F56" s="51"/>
    </row>
    <row r="57" spans="1:6" ht="15.75">
      <c r="A57" s="51">
        <v>4</v>
      </c>
      <c r="B57" s="73" t="s">
        <v>350</v>
      </c>
      <c r="C57" s="51"/>
      <c r="D57" s="51"/>
      <c r="E57" s="51"/>
      <c r="F57" s="51"/>
    </row>
    <row r="58" spans="1:6" ht="15.75">
      <c r="A58" s="51">
        <v>5</v>
      </c>
      <c r="B58" s="73" t="s">
        <v>351</v>
      </c>
      <c r="C58" s="51"/>
      <c r="D58" s="51"/>
      <c r="E58" s="51"/>
      <c r="F58" s="51"/>
    </row>
    <row r="59" spans="1:6" ht="15.75">
      <c r="A59" s="51" t="s">
        <v>19</v>
      </c>
      <c r="B59" s="88"/>
      <c r="C59" s="51"/>
      <c r="D59" s="51"/>
      <c r="E59" s="51"/>
      <c r="F59" s="51"/>
    </row>
    <row r="60" spans="1:6" ht="15.75">
      <c r="A60" s="51">
        <v>1</v>
      </c>
      <c r="B60" s="73" t="s">
        <v>352</v>
      </c>
      <c r="C60" s="51"/>
      <c r="D60" s="51"/>
      <c r="E60" s="51"/>
      <c r="F60" s="51"/>
    </row>
    <row r="61" spans="1:6" ht="15.75">
      <c r="A61" s="51">
        <v>2</v>
      </c>
      <c r="B61" s="73" t="s">
        <v>353</v>
      </c>
      <c r="C61" s="51"/>
      <c r="D61" s="51"/>
      <c r="E61" s="51"/>
      <c r="F61" s="51"/>
    </row>
    <row r="62" spans="1:6" ht="15.75">
      <c r="A62" s="51">
        <v>3</v>
      </c>
      <c r="B62" s="73" t="s">
        <v>354</v>
      </c>
      <c r="C62" s="51"/>
      <c r="D62" s="51"/>
      <c r="E62" s="51"/>
      <c r="F62" s="51"/>
    </row>
    <row r="63" spans="1:6" ht="15.75">
      <c r="A63" s="51">
        <v>4</v>
      </c>
      <c r="B63" s="73" t="s">
        <v>355</v>
      </c>
      <c r="C63" s="51"/>
      <c r="D63" s="51"/>
      <c r="E63" s="51"/>
      <c r="F63" s="51"/>
    </row>
    <row r="64" spans="1:6" ht="15.75">
      <c r="A64" s="51">
        <v>5</v>
      </c>
      <c r="B64" s="73"/>
      <c r="C64" s="51"/>
      <c r="D64" s="51"/>
      <c r="E64" s="51"/>
      <c r="F64" s="51"/>
    </row>
    <row r="65" spans="1:6" ht="15.75">
      <c r="A65" s="51" t="s">
        <v>20</v>
      </c>
      <c r="B65" s="88"/>
      <c r="C65" s="51"/>
      <c r="D65" s="51"/>
      <c r="E65" s="51"/>
      <c r="F65" s="51"/>
    </row>
    <row r="66" spans="1:6" ht="15.75">
      <c r="A66" s="51">
        <v>1</v>
      </c>
      <c r="B66" s="73"/>
      <c r="C66" s="51"/>
      <c r="D66" s="51"/>
      <c r="E66" s="51"/>
      <c r="F66" s="51"/>
    </row>
    <row r="67" spans="1:6" ht="15.75">
      <c r="A67" s="51">
        <v>2</v>
      </c>
      <c r="B67" s="73"/>
      <c r="C67" s="51"/>
      <c r="D67" s="51"/>
      <c r="E67" s="51"/>
      <c r="F67" s="51"/>
    </row>
    <row r="68" spans="1:6" ht="15.75">
      <c r="A68" s="51">
        <v>3</v>
      </c>
      <c r="B68" s="73"/>
      <c r="C68" s="51"/>
      <c r="D68" s="51"/>
      <c r="E68" s="51"/>
      <c r="F68" s="51"/>
    </row>
    <row r="69" spans="1:6" ht="15.75">
      <c r="A69" s="51">
        <v>4</v>
      </c>
      <c r="B69" s="73"/>
      <c r="C69" s="51"/>
      <c r="D69" s="51"/>
      <c r="E69" s="51"/>
      <c r="F69" s="51"/>
    </row>
    <row r="70" spans="1:6" ht="15.75">
      <c r="A70" s="51">
        <v>5</v>
      </c>
      <c r="B70" s="73"/>
      <c r="C70" s="51"/>
      <c r="D70" s="51"/>
      <c r="E70" s="51"/>
      <c r="F70" s="51"/>
    </row>
    <row r="71" spans="1:6" ht="15.75">
      <c r="A71" s="51" t="s">
        <v>21</v>
      </c>
      <c r="B71" s="88"/>
      <c r="C71" s="51"/>
      <c r="D71" s="51"/>
      <c r="E71" s="51"/>
      <c r="F71" s="51"/>
    </row>
    <row r="72" spans="1:6" ht="15.75">
      <c r="A72" s="51">
        <v>1</v>
      </c>
      <c r="B72" s="73"/>
      <c r="C72" s="51"/>
      <c r="D72" s="51"/>
      <c r="E72" s="51"/>
      <c r="F72" s="51"/>
    </row>
    <row r="73" spans="1:6" ht="15.75">
      <c r="A73" s="51">
        <v>2</v>
      </c>
      <c r="B73" s="73"/>
      <c r="C73" s="51"/>
      <c r="D73" s="51"/>
      <c r="E73" s="51"/>
      <c r="F73" s="51"/>
    </row>
    <row r="74" spans="1:6" ht="15.75">
      <c r="A74" s="51">
        <v>3</v>
      </c>
      <c r="B74" s="73"/>
      <c r="C74" s="51"/>
      <c r="D74" s="51"/>
      <c r="E74" s="51"/>
      <c r="F74" s="51"/>
    </row>
    <row r="75" spans="1:6" ht="15.75">
      <c r="A75" s="51">
        <v>4</v>
      </c>
      <c r="B75" s="73"/>
      <c r="C75" s="51"/>
      <c r="D75" s="51"/>
      <c r="E75" s="51"/>
      <c r="F75" s="51"/>
    </row>
    <row r="76" spans="1:6" ht="15.75">
      <c r="A76" s="51">
        <v>5</v>
      </c>
      <c r="B76" s="73"/>
      <c r="C76" s="51"/>
      <c r="D76" s="51"/>
      <c r="E76" s="51"/>
      <c r="F76" s="51"/>
    </row>
    <row r="77" spans="1:6" ht="15.75">
      <c r="A77" s="79" t="str">
        <f>CONCATENATE("County's Final Assessed Valuation for ",C4-1," (November 1,",C4-2," Abstract):")</f>
        <v>County's Final Assessed Valuation for 2013 (November 1,2012 Abstract):</v>
      </c>
      <c r="B77" s="80"/>
      <c r="C77" s="80"/>
      <c r="D77" s="80"/>
      <c r="E77" s="85"/>
      <c r="F77" s="78">
        <v>63035572</v>
      </c>
    </row>
    <row r="78" spans="1:6" ht="15.75">
      <c r="A78" s="50"/>
      <c r="B78" s="51"/>
      <c r="C78" s="51"/>
      <c r="D78" s="51"/>
      <c r="E78" s="51"/>
      <c r="F78" s="51"/>
    </row>
    <row r="79" spans="1:6" ht="15.75">
      <c r="A79" s="51"/>
      <c r="B79" s="51"/>
      <c r="C79" s="51"/>
      <c r="D79" s="51"/>
      <c r="E79" s="51"/>
      <c r="F79" s="51"/>
    </row>
    <row r="80" spans="1:6" ht="15.75">
      <c r="A80" s="90" t="str">
        <f>CONCATENATE("From the ",C4-1," Budget:")</f>
        <v>From the 2013 Budget:</v>
      </c>
      <c r="B80" s="61"/>
      <c r="C80" s="51"/>
      <c r="D80" s="550" t="str">
        <f>CONCATENATE("",C4-3," Tax Rate (",C4-2," Column)")</f>
        <v>2011 Tax Rate (2012 Column)</v>
      </c>
      <c r="E80" s="91"/>
      <c r="F80" s="51"/>
    </row>
    <row r="81" spans="1:6" ht="15.75">
      <c r="A81" s="90" t="s">
        <v>44</v>
      </c>
      <c r="B81" s="92"/>
      <c r="C81" s="51"/>
      <c r="D81" s="551"/>
      <c r="E81" s="91"/>
      <c r="F81" s="51"/>
    </row>
    <row r="82" spans="1:6" ht="15.75">
      <c r="A82" s="51"/>
      <c r="B82" s="93" t="str">
        <f aca="true" t="shared" si="1" ref="B82:B99">B16</f>
        <v>General</v>
      </c>
      <c r="C82" s="51"/>
      <c r="D82" s="73">
        <v>27.917</v>
      </c>
      <c r="E82" s="91"/>
      <c r="F82" s="51"/>
    </row>
    <row r="83" spans="1:6" ht="15.75">
      <c r="A83" s="51"/>
      <c r="B83" s="93" t="str">
        <f t="shared" si="1"/>
        <v>Debt Service</v>
      </c>
      <c r="C83" s="51"/>
      <c r="D83" s="73"/>
      <c r="E83" s="91"/>
      <c r="F83" s="51"/>
    </row>
    <row r="84" spans="1:6" ht="15.75">
      <c r="A84" s="51"/>
      <c r="B84" s="93" t="str">
        <f t="shared" si="1"/>
        <v>Road &amp; Bridge</v>
      </c>
      <c r="C84" s="51"/>
      <c r="D84" s="73">
        <v>25.882</v>
      </c>
      <c r="E84" s="91"/>
      <c r="F84" s="51"/>
    </row>
    <row r="85" spans="1:6" ht="15.75">
      <c r="A85" s="51"/>
      <c r="B85" s="93" t="str">
        <f t="shared" si="1"/>
        <v>Special bridge</v>
      </c>
      <c r="C85" s="51"/>
      <c r="D85" s="73">
        <v>1.655</v>
      </c>
      <c r="E85" s="91"/>
      <c r="F85" s="51"/>
    </row>
    <row r="86" spans="1:6" ht="15.75">
      <c r="A86" s="51"/>
      <c r="B86" s="93" t="str">
        <f t="shared" si="1"/>
        <v>Fair Building</v>
      </c>
      <c r="C86" s="51"/>
      <c r="D86" s="73">
        <v>0.358</v>
      </c>
      <c r="E86" s="91"/>
      <c r="F86" s="51"/>
    </row>
    <row r="87" spans="1:6" ht="15.75">
      <c r="A87" s="51"/>
      <c r="B87" s="93" t="str">
        <f t="shared" si="1"/>
        <v>Conservation</v>
      </c>
      <c r="C87" s="51"/>
      <c r="D87" s="73">
        <v>0.345</v>
      </c>
      <c r="E87" s="91"/>
      <c r="F87" s="51"/>
    </row>
    <row r="88" spans="1:6" ht="15.75">
      <c r="A88" s="51"/>
      <c r="B88" s="93" t="str">
        <f t="shared" si="1"/>
        <v>Noxious Weed</v>
      </c>
      <c r="C88" s="51"/>
      <c r="D88" s="73">
        <v>2.476</v>
      </c>
      <c r="E88" s="91"/>
      <c r="F88" s="51"/>
    </row>
    <row r="89" spans="1:6" ht="15.75">
      <c r="A89" s="51"/>
      <c r="B89" s="93" t="str">
        <f t="shared" si="1"/>
        <v>Ambulance</v>
      </c>
      <c r="C89" s="51"/>
      <c r="D89" s="73">
        <v>10.371</v>
      </c>
      <c r="E89" s="91"/>
      <c r="F89" s="51"/>
    </row>
    <row r="90" spans="1:6" ht="15.75">
      <c r="A90" s="51"/>
      <c r="B90" s="93" t="str">
        <f t="shared" si="1"/>
        <v>Services for the Elderly</v>
      </c>
      <c r="C90" s="51"/>
      <c r="D90" s="73">
        <v>1.195</v>
      </c>
      <c r="E90" s="91"/>
      <c r="F90" s="51"/>
    </row>
    <row r="91" spans="1:6" ht="15.75">
      <c r="A91" s="51"/>
      <c r="B91" s="93" t="str">
        <f t="shared" si="1"/>
        <v>Hospital Maintenance</v>
      </c>
      <c r="C91" s="51"/>
      <c r="D91" s="73">
        <v>2.001</v>
      </c>
      <c r="E91" s="91"/>
      <c r="F91" s="51"/>
    </row>
    <row r="92" spans="1:6" ht="15.75">
      <c r="A92" s="51"/>
      <c r="B92" s="93" t="str">
        <f t="shared" si="1"/>
        <v>County Health</v>
      </c>
      <c r="C92" s="51"/>
      <c r="D92" s="73">
        <v>6.211</v>
      </c>
      <c r="E92" s="91"/>
      <c r="F92" s="51"/>
    </row>
    <row r="93" spans="1:6" ht="15.75">
      <c r="A93" s="51"/>
      <c r="B93" s="93" t="str">
        <f t="shared" si="1"/>
        <v>Mental Health</v>
      </c>
      <c r="C93" s="51"/>
      <c r="D93" s="73">
        <v>0.755</v>
      </c>
      <c r="E93" s="91"/>
      <c r="F93" s="51"/>
    </row>
    <row r="94" spans="1:6" ht="15.75">
      <c r="A94" s="51"/>
      <c r="B94" s="93" t="str">
        <f t="shared" si="1"/>
        <v>Mental Retardation</v>
      </c>
      <c r="C94" s="51"/>
      <c r="D94" s="73">
        <v>0.826</v>
      </c>
      <c r="E94" s="91"/>
      <c r="F94" s="51"/>
    </row>
    <row r="95" spans="1:6" ht="15.75">
      <c r="A95" s="51"/>
      <c r="B95" s="93" t="str">
        <f t="shared" si="1"/>
        <v>Election Expense</v>
      </c>
      <c r="C95" s="51"/>
      <c r="D95" s="73">
        <v>0.419</v>
      </c>
      <c r="E95" s="91"/>
      <c r="F95" s="51"/>
    </row>
    <row r="96" spans="1:6" ht="15.75">
      <c r="A96" s="51"/>
      <c r="B96" s="93" t="str">
        <f t="shared" si="1"/>
        <v>Historical Museum</v>
      </c>
      <c r="C96" s="51"/>
      <c r="D96" s="73">
        <v>0.809</v>
      </c>
      <c r="E96" s="91"/>
      <c r="F96" s="51"/>
    </row>
    <row r="97" spans="1:6" ht="15.75">
      <c r="A97" s="51"/>
      <c r="B97" s="93" t="str">
        <f t="shared" si="1"/>
        <v>Employee Benefits</v>
      </c>
      <c r="C97" s="51"/>
      <c r="D97" s="73"/>
      <c r="E97" s="91"/>
      <c r="F97" s="51"/>
    </row>
    <row r="98" spans="1:6" ht="15.75">
      <c r="A98" s="51"/>
      <c r="B98" s="93" t="str">
        <f t="shared" si="1"/>
        <v>Special Reappraisal</v>
      </c>
      <c r="C98" s="51"/>
      <c r="D98" s="73">
        <v>4.934</v>
      </c>
      <c r="E98" s="91"/>
      <c r="F98" s="51"/>
    </row>
    <row r="99" spans="1:6" ht="15.75">
      <c r="A99" s="51"/>
      <c r="B99" s="93">
        <f t="shared" si="1"/>
        <v>0</v>
      </c>
      <c r="C99" s="51"/>
      <c r="D99" s="73"/>
      <c r="E99" s="91"/>
      <c r="F99" s="51"/>
    </row>
    <row r="100" spans="1:6" ht="15.75">
      <c r="A100" s="51"/>
      <c r="B100" s="93"/>
      <c r="C100" s="51"/>
      <c r="D100" s="73"/>
      <c r="E100" s="91"/>
      <c r="F100" s="51"/>
    </row>
    <row r="101" spans="1:6" ht="15.75">
      <c r="A101" s="51"/>
      <c r="B101" s="93"/>
      <c r="C101" s="51"/>
      <c r="D101" s="73"/>
      <c r="E101" s="91"/>
      <c r="F101" s="51"/>
    </row>
    <row r="102" spans="1:6" ht="15.75">
      <c r="A102" s="51"/>
      <c r="B102" s="93"/>
      <c r="C102" s="51"/>
      <c r="D102" s="73"/>
      <c r="E102" s="91"/>
      <c r="F102" s="51"/>
    </row>
    <row r="103" spans="1:6" ht="15.75">
      <c r="A103" s="51"/>
      <c r="B103" s="93"/>
      <c r="C103" s="51"/>
      <c r="D103" s="73"/>
      <c r="E103" s="91"/>
      <c r="F103" s="51"/>
    </row>
    <row r="104" spans="1:6" ht="15.75">
      <c r="A104" s="51"/>
      <c r="B104" s="93"/>
      <c r="C104" s="51"/>
      <c r="D104" s="73"/>
      <c r="E104" s="91"/>
      <c r="F104" s="51"/>
    </row>
    <row r="105" spans="1:6" ht="15.75">
      <c r="A105" s="51"/>
      <c r="B105" s="93"/>
      <c r="C105" s="51"/>
      <c r="D105" s="73"/>
      <c r="E105" s="91"/>
      <c r="F105" s="51"/>
    </row>
    <row r="106" spans="1:6" ht="15.75">
      <c r="A106" s="51"/>
      <c r="B106" s="93">
        <f>B34</f>
        <v>0</v>
      </c>
      <c r="C106" s="51"/>
      <c r="D106" s="73"/>
      <c r="E106" s="91"/>
      <c r="F106" s="51"/>
    </row>
    <row r="107" spans="1:6" ht="15.75">
      <c r="A107" s="80" t="s">
        <v>47</v>
      </c>
      <c r="B107" s="80"/>
      <c r="C107" s="85"/>
      <c r="D107" s="83">
        <f>SUM(D82:D106)</f>
        <v>86.15399999999998</v>
      </c>
      <c r="E107" s="91"/>
      <c r="F107" s="51"/>
    </row>
    <row r="108" spans="1:6" ht="15.75">
      <c r="A108" s="51"/>
      <c r="B108" s="51"/>
      <c r="C108" s="51"/>
      <c r="D108" s="51"/>
      <c r="E108" s="51"/>
      <c r="F108" s="51"/>
    </row>
    <row r="109" spans="1:6" ht="15.75">
      <c r="A109" s="94" t="str">
        <f>CONCATENATE("Total Tax Levied (",C4-2," budget column)")</f>
        <v>Total Tax Levied (2012 budget column)</v>
      </c>
      <c r="B109" s="95"/>
      <c r="C109" s="80"/>
      <c r="D109" s="80"/>
      <c r="E109" s="85"/>
      <c r="F109" s="78">
        <v>5021483</v>
      </c>
    </row>
    <row r="110" spans="1:6" ht="15.75">
      <c r="A110" s="96" t="str">
        <f>CONCATENATE("Assessed Valuation  (",C4-2," budget column)")</f>
        <v>Assessed Valuation  (2012 budget column)</v>
      </c>
      <c r="B110" s="97"/>
      <c r="C110" s="98"/>
      <c r="D110" s="98"/>
      <c r="E110" s="81"/>
      <c r="F110" s="78">
        <v>58289622</v>
      </c>
    </row>
    <row r="111" spans="1:6" ht="15.75">
      <c r="A111" s="87"/>
      <c r="B111" s="54"/>
      <c r="C111" s="54"/>
      <c r="D111" s="54"/>
      <c r="E111" s="54"/>
      <c r="F111" s="99"/>
    </row>
    <row r="112" spans="1:6" ht="15.75">
      <c r="A112" s="100" t="str">
        <f>CONCATENATE("From the ",C4-1," Budget, Budget Summary Page:")</f>
        <v>From the 2013 Budget, Budget Summary Page:</v>
      </c>
      <c r="B112" s="101"/>
      <c r="C112" s="91"/>
      <c r="D112" s="91"/>
      <c r="E112" s="91"/>
      <c r="F112" s="91"/>
    </row>
    <row r="113" spans="1:6" ht="15.75">
      <c r="A113" s="102" t="s">
        <v>0</v>
      </c>
      <c r="B113" s="102"/>
      <c r="C113" s="103"/>
      <c r="D113" s="104">
        <f>C4-3</f>
        <v>2011</v>
      </c>
      <c r="E113" s="105">
        <f>C4-2</f>
        <v>2012</v>
      </c>
      <c r="F113" s="91"/>
    </row>
    <row r="114" spans="1:6" ht="15.75">
      <c r="A114" s="106" t="s">
        <v>1</v>
      </c>
      <c r="B114" s="106"/>
      <c r="C114" s="107"/>
      <c r="D114" s="71"/>
      <c r="E114" s="71"/>
      <c r="F114" s="91"/>
    </row>
    <row r="115" spans="1:6" s="109" customFormat="1" ht="15.75">
      <c r="A115" s="108" t="s">
        <v>2</v>
      </c>
      <c r="B115" s="108"/>
      <c r="C115" s="107"/>
      <c r="D115" s="71"/>
      <c r="E115" s="71"/>
      <c r="F115" s="103"/>
    </row>
    <row r="116" spans="1:6" s="109" customFormat="1" ht="15.75">
      <c r="A116" s="108" t="s">
        <v>3</v>
      </c>
      <c r="B116" s="108"/>
      <c r="C116" s="107"/>
      <c r="D116" s="71"/>
      <c r="E116" s="71"/>
      <c r="F116" s="103"/>
    </row>
    <row r="117" spans="1:6" s="109" customFormat="1" ht="15.75">
      <c r="A117" s="108" t="s">
        <v>4</v>
      </c>
      <c r="B117" s="108"/>
      <c r="C117" s="107"/>
      <c r="D117" s="71">
        <v>13946764</v>
      </c>
      <c r="E117" s="71">
        <v>13371879</v>
      </c>
      <c r="F117" s="103"/>
    </row>
    <row r="118" s="109" customFormat="1" ht="15.75"/>
  </sheetData>
  <sheetProtection/>
  <mergeCells count="4">
    <mergeCell ref="D80:D81"/>
    <mergeCell ref="A9:F9"/>
    <mergeCell ref="A1:F1"/>
    <mergeCell ref="H6:I11"/>
  </mergeCells>
  <printOptions/>
  <pageMargins left="0.5" right="0.5" top="1" bottom="0.5" header="0.5" footer="0.25"/>
  <pageSetup blackAndWhite="1" fitToHeight="3" horizontalDpi="120" verticalDpi="120" orientation="portrait" scale="74" r:id="rId1"/>
  <rowBreaks count="2" manualBreakCount="2">
    <brk id="51" max="5" man="1"/>
    <brk id="107" max="5" man="1"/>
  </rowBreaks>
</worksheet>
</file>

<file path=xl/worksheets/sheet10.xml><?xml version="1.0" encoding="utf-8"?>
<worksheet xmlns="http://schemas.openxmlformats.org/spreadsheetml/2006/main" xmlns:r="http://schemas.openxmlformats.org/officeDocument/2006/relationships">
  <dimension ref="B1:K116"/>
  <sheetViews>
    <sheetView view="pageBreakPreview" zoomScale="99" zoomScaleSheetLayoutView="99" zoomScalePageLayoutView="0" workbookViewId="0" topLeftCell="A93">
      <selection activeCell="E111" sqref="E111"/>
    </sheetView>
  </sheetViews>
  <sheetFormatPr defaultColWidth="8.796875" defaultRowHeight="15"/>
  <cols>
    <col min="1" max="1" width="2.3984375" style="48" customWidth="1"/>
    <col min="2" max="2" width="31.09765625" style="48" customWidth="1"/>
    <col min="3" max="4" width="15.796875" style="48" customWidth="1"/>
    <col min="5" max="5" width="16.19921875" style="48" customWidth="1"/>
    <col min="6" max="6" width="7.3984375" style="48" customWidth="1"/>
    <col min="7" max="7" width="10.19921875" style="48" customWidth="1"/>
    <col min="8" max="8" width="8.8984375" style="48" customWidth="1"/>
    <col min="9" max="9" width="5" style="48" customWidth="1"/>
    <col min="10" max="10" width="10" style="48" customWidth="1"/>
    <col min="11" max="16384" width="8.8984375" style="48" customWidth="1"/>
  </cols>
  <sheetData>
    <row r="1" spans="2:5" ht="15.75">
      <c r="B1" s="182" t="str">
        <f>inputPrYr!C2</f>
        <v>MITCHELL COUNTY</v>
      </c>
      <c r="C1" s="51"/>
      <c r="D1" s="51"/>
      <c r="E1" s="240">
        <f>inputPrYr!C4</f>
        <v>2014</v>
      </c>
    </row>
    <row r="2" spans="2:5" ht="15.75">
      <c r="B2" s="51"/>
      <c r="C2" s="51"/>
      <c r="D2" s="51"/>
      <c r="E2" s="194"/>
    </row>
    <row r="3" spans="2:5" ht="15.75">
      <c r="B3" s="118" t="s">
        <v>155</v>
      </c>
      <c r="C3" s="51"/>
      <c r="D3" s="51"/>
      <c r="E3" s="254"/>
    </row>
    <row r="4" spans="2:5" ht="15.75">
      <c r="B4" s="255" t="s">
        <v>75</v>
      </c>
      <c r="C4" s="511" t="s">
        <v>317</v>
      </c>
      <c r="D4" s="512" t="s">
        <v>318</v>
      </c>
      <c r="E4" s="178" t="s">
        <v>319</v>
      </c>
    </row>
    <row r="5" spans="2:5" ht="15.75">
      <c r="B5" s="393" t="str">
        <f>inputPrYr!B16</f>
        <v>General</v>
      </c>
      <c r="C5" s="366" t="str">
        <f>CONCATENATE("Actual for ",E1-2,"")</f>
        <v>Actual for 2012</v>
      </c>
      <c r="D5" s="366" t="str">
        <f>CONCATENATE("Estimate for ",E1-1,"")</f>
        <v>Estimate for 2013</v>
      </c>
      <c r="E5" s="256" t="str">
        <f>CONCATENATE("Year for ",E1,"")</f>
        <v>Year for 2014</v>
      </c>
    </row>
    <row r="6" spans="2:5" ht="15.75">
      <c r="B6" s="257" t="s">
        <v>197</v>
      </c>
      <c r="C6" s="363">
        <v>770326</v>
      </c>
      <c r="D6" s="367">
        <f>C97</f>
        <v>316629</v>
      </c>
      <c r="E6" s="219">
        <f>D97</f>
        <v>171090</v>
      </c>
    </row>
    <row r="7" spans="2:5" ht="15.75">
      <c r="B7" s="244" t="s">
        <v>199</v>
      </c>
      <c r="C7" s="259"/>
      <c r="D7" s="259"/>
      <c r="E7" s="93"/>
    </row>
    <row r="8" spans="2:5" ht="15.75">
      <c r="B8" s="257" t="s">
        <v>76</v>
      </c>
      <c r="C8" s="363">
        <v>1626934</v>
      </c>
      <c r="D8" s="367">
        <v>2237613</v>
      </c>
      <c r="E8" s="180" t="s">
        <v>62</v>
      </c>
    </row>
    <row r="9" spans="2:5" ht="15.75">
      <c r="B9" s="257" t="s">
        <v>77</v>
      </c>
      <c r="C9" s="363">
        <v>53009</v>
      </c>
      <c r="D9" s="363">
        <v>6000</v>
      </c>
      <c r="E9" s="260">
        <v>6000</v>
      </c>
    </row>
    <row r="10" spans="2:5" ht="15.75">
      <c r="B10" s="257" t="s">
        <v>78</v>
      </c>
      <c r="C10" s="363">
        <v>278723</v>
      </c>
      <c r="D10" s="363">
        <v>218703</v>
      </c>
      <c r="E10" s="219">
        <f>mvalloc!E7</f>
        <v>298746</v>
      </c>
    </row>
    <row r="11" spans="2:5" ht="15.75">
      <c r="B11" s="257" t="s">
        <v>79</v>
      </c>
      <c r="C11" s="363"/>
      <c r="D11" s="363">
        <v>3230</v>
      </c>
      <c r="E11" s="219">
        <f>mvalloc!F7</f>
        <v>4140</v>
      </c>
    </row>
    <row r="12" spans="2:5" ht="15.75">
      <c r="B12" s="259" t="s">
        <v>179</v>
      </c>
      <c r="C12" s="363"/>
      <c r="D12" s="363">
        <v>25362</v>
      </c>
      <c r="E12" s="219">
        <f>mvalloc!G7</f>
        <v>33953</v>
      </c>
    </row>
    <row r="13" spans="2:5" ht="15.75">
      <c r="B13" s="257" t="s">
        <v>181</v>
      </c>
      <c r="C13" s="363">
        <v>32478</v>
      </c>
      <c r="D13" s="363">
        <v>29910</v>
      </c>
      <c r="E13" s="219">
        <f>inputOth!E11</f>
        <v>25155</v>
      </c>
    </row>
    <row r="14" spans="2:5" ht="15.75">
      <c r="B14" s="257" t="s">
        <v>243</v>
      </c>
      <c r="C14" s="363"/>
      <c r="D14" s="363"/>
      <c r="E14" s="219">
        <f>inputOth!E18</f>
        <v>0</v>
      </c>
    </row>
    <row r="15" spans="2:5" ht="15.75">
      <c r="B15" s="257" t="s">
        <v>244</v>
      </c>
      <c r="C15" s="363"/>
      <c r="D15" s="363"/>
      <c r="E15" s="219">
        <f>inputOth!E19</f>
        <v>0</v>
      </c>
    </row>
    <row r="16" spans="2:5" ht="15.75">
      <c r="B16" s="261" t="s">
        <v>82</v>
      </c>
      <c r="C16" s="363"/>
      <c r="D16" s="363"/>
      <c r="E16" s="260"/>
    </row>
    <row r="17" spans="2:5" ht="15.75">
      <c r="B17" s="261" t="s">
        <v>80</v>
      </c>
      <c r="C17" s="363"/>
      <c r="D17" s="363"/>
      <c r="E17" s="260"/>
    </row>
    <row r="18" spans="2:5" ht="15.75">
      <c r="B18" s="261" t="s">
        <v>279</v>
      </c>
      <c r="C18" s="363"/>
      <c r="D18" s="363"/>
      <c r="E18" s="260"/>
    </row>
    <row r="19" spans="2:5" ht="15.75">
      <c r="B19" s="262" t="s">
        <v>280</v>
      </c>
      <c r="C19" s="363">
        <v>552759</v>
      </c>
      <c r="D19" s="363">
        <v>548000</v>
      </c>
      <c r="E19" s="260">
        <v>545000</v>
      </c>
    </row>
    <row r="20" spans="2:5" ht="15.75">
      <c r="B20" s="262" t="s">
        <v>369</v>
      </c>
      <c r="C20" s="363">
        <v>70710</v>
      </c>
      <c r="D20" s="363">
        <v>37000</v>
      </c>
      <c r="E20" s="260">
        <v>37000</v>
      </c>
    </row>
    <row r="21" spans="2:5" ht="15.75">
      <c r="B21" s="262" t="s">
        <v>370</v>
      </c>
      <c r="C21" s="363">
        <v>80743</v>
      </c>
      <c r="D21" s="363">
        <v>62000</v>
      </c>
      <c r="E21" s="260">
        <v>62000</v>
      </c>
    </row>
    <row r="22" spans="2:5" ht="15.75">
      <c r="B22" s="261" t="s">
        <v>371</v>
      </c>
      <c r="C22" s="363">
        <v>41856</v>
      </c>
      <c r="D22" s="363">
        <v>30000</v>
      </c>
      <c r="E22" s="260">
        <v>30000</v>
      </c>
    </row>
    <row r="23" spans="2:5" ht="15.75">
      <c r="B23" s="261" t="s">
        <v>372</v>
      </c>
      <c r="C23" s="363">
        <v>3113</v>
      </c>
      <c r="D23" s="363">
        <v>2500</v>
      </c>
      <c r="E23" s="260">
        <v>2500</v>
      </c>
    </row>
    <row r="24" spans="2:5" ht="15.75">
      <c r="B24" s="261" t="s">
        <v>373</v>
      </c>
      <c r="C24" s="545">
        <v>-85416</v>
      </c>
      <c r="D24" s="545">
        <v>-122000</v>
      </c>
      <c r="E24" s="546">
        <v>-210911</v>
      </c>
    </row>
    <row r="25" spans="2:5" ht="15.75">
      <c r="B25" s="261" t="s">
        <v>374</v>
      </c>
      <c r="C25" s="363">
        <v>74151</v>
      </c>
      <c r="D25" s="363">
        <v>75213</v>
      </c>
      <c r="E25" s="260">
        <v>72000</v>
      </c>
    </row>
    <row r="26" spans="2:5" ht="15.75">
      <c r="B26" s="261" t="s">
        <v>491</v>
      </c>
      <c r="C26" s="363">
        <v>50780</v>
      </c>
      <c r="D26" s="363"/>
      <c r="E26" s="260"/>
    </row>
    <row r="27" spans="2:5" ht="15.75">
      <c r="B27" s="261" t="s">
        <v>375</v>
      </c>
      <c r="C27" s="363"/>
      <c r="D27" s="363"/>
      <c r="E27" s="260"/>
    </row>
    <row r="28" spans="2:5" ht="15.75">
      <c r="B28" s="261"/>
      <c r="C28" s="363"/>
      <c r="D28" s="363"/>
      <c r="E28" s="260"/>
    </row>
    <row r="29" spans="2:5" ht="15.75">
      <c r="B29" s="261"/>
      <c r="C29" s="363"/>
      <c r="D29" s="363"/>
      <c r="E29" s="260"/>
    </row>
    <row r="30" spans="2:5" ht="15.75">
      <c r="B30" s="261"/>
      <c r="C30" s="363"/>
      <c r="D30" s="363"/>
      <c r="E30" s="260"/>
    </row>
    <row r="31" spans="2:5" ht="15.75">
      <c r="B31" s="261"/>
      <c r="C31" s="363"/>
      <c r="D31" s="363"/>
      <c r="E31" s="260"/>
    </row>
    <row r="32" spans="2:5" ht="15.75">
      <c r="B32" s="261"/>
      <c r="C32" s="363"/>
      <c r="D32" s="363"/>
      <c r="E32" s="260"/>
    </row>
    <row r="33" spans="2:5" ht="15.75">
      <c r="B33" s="261"/>
      <c r="C33" s="363"/>
      <c r="D33" s="363"/>
      <c r="E33" s="260"/>
    </row>
    <row r="34" spans="2:5" ht="15.75">
      <c r="B34" s="261"/>
      <c r="C34" s="363"/>
      <c r="D34" s="363"/>
      <c r="E34" s="260"/>
    </row>
    <row r="35" spans="2:5" ht="15.75">
      <c r="B35" s="261"/>
      <c r="C35" s="363"/>
      <c r="D35" s="363"/>
      <c r="E35" s="260"/>
    </row>
    <row r="36" spans="2:5" ht="15.75">
      <c r="B36" s="261"/>
      <c r="C36" s="363"/>
      <c r="D36" s="363"/>
      <c r="E36" s="260"/>
    </row>
    <row r="37" spans="2:5" ht="15.75">
      <c r="B37" s="261"/>
      <c r="C37" s="363"/>
      <c r="D37" s="363"/>
      <c r="E37" s="260"/>
    </row>
    <row r="38" spans="2:5" ht="15.75">
      <c r="B38" s="261"/>
      <c r="C38" s="363"/>
      <c r="D38" s="363"/>
      <c r="E38" s="260"/>
    </row>
    <row r="39" spans="2:5" ht="15.75">
      <c r="B39" s="261"/>
      <c r="C39" s="363"/>
      <c r="D39" s="363"/>
      <c r="E39" s="260"/>
    </row>
    <row r="40" spans="2:5" ht="15.75">
      <c r="B40" s="261"/>
      <c r="C40" s="363"/>
      <c r="D40" s="363"/>
      <c r="E40" s="260"/>
    </row>
    <row r="41" spans="2:5" ht="15.75">
      <c r="B41" s="261"/>
      <c r="C41" s="363"/>
      <c r="D41" s="363"/>
      <c r="E41" s="260"/>
    </row>
    <row r="42" spans="2:5" ht="15.75">
      <c r="B42" s="261"/>
      <c r="C42" s="363"/>
      <c r="D42" s="363"/>
      <c r="E42" s="260"/>
    </row>
    <row r="43" spans="2:5" ht="15.75">
      <c r="B43" s="261"/>
      <c r="C43" s="363"/>
      <c r="D43" s="363"/>
      <c r="E43" s="260"/>
    </row>
    <row r="44" spans="2:5" ht="15.75">
      <c r="B44" s="261"/>
      <c r="C44" s="363"/>
      <c r="D44" s="363"/>
      <c r="E44" s="260"/>
    </row>
    <row r="45" spans="2:5" ht="15.75">
      <c r="B45" s="261"/>
      <c r="C45" s="363"/>
      <c r="D45" s="363"/>
      <c r="E45" s="260"/>
    </row>
    <row r="46" spans="2:5" ht="15.75">
      <c r="B46" s="261"/>
      <c r="C46" s="363"/>
      <c r="D46" s="363"/>
      <c r="E46" s="260"/>
    </row>
    <row r="47" spans="2:5" ht="15.75">
      <c r="B47" s="261"/>
      <c r="C47" s="363"/>
      <c r="D47" s="363"/>
      <c r="E47" s="260"/>
    </row>
    <row r="48" spans="2:5" ht="15.75">
      <c r="B48" s="261"/>
      <c r="C48" s="363"/>
      <c r="D48" s="363"/>
      <c r="E48" s="260"/>
    </row>
    <row r="49" spans="2:5" ht="15.75">
      <c r="B49" s="261"/>
      <c r="C49" s="363"/>
      <c r="D49" s="363"/>
      <c r="E49" s="260"/>
    </row>
    <row r="50" spans="2:5" ht="15.75">
      <c r="B50" s="261" t="s">
        <v>81</v>
      </c>
      <c r="C50" s="363"/>
      <c r="D50" s="363"/>
      <c r="E50" s="260"/>
    </row>
    <row r="51" spans="2:5" ht="15.75">
      <c r="B51" s="262" t="s">
        <v>83</v>
      </c>
      <c r="C51" s="363">
        <v>31217</v>
      </c>
      <c r="D51" s="363">
        <v>29000</v>
      </c>
      <c r="E51" s="260">
        <v>25000</v>
      </c>
    </row>
    <row r="52" spans="2:5" ht="15.75">
      <c r="B52" s="263" t="s">
        <v>37</v>
      </c>
      <c r="C52" s="363">
        <v>31184</v>
      </c>
      <c r="D52" s="363">
        <v>73117</v>
      </c>
      <c r="E52" s="260">
        <v>15000</v>
      </c>
    </row>
    <row r="53" spans="2:5" ht="15.75">
      <c r="B53" s="263" t="s">
        <v>282</v>
      </c>
      <c r="C53" s="364">
        <f>IF(C54*0.1&lt;C52,"Exceed 10% Rule","")</f>
      </c>
      <c r="D53" s="364">
        <f>IF(D54*0.1&lt;D52,"Exceed 10% Rule","")</f>
      </c>
      <c r="E53" s="297">
        <f>IF(E54*0.1+E103&lt;E52,"Exceed 10% Rule","")</f>
      </c>
    </row>
    <row r="54" spans="2:5" ht="15.75">
      <c r="B54" s="265" t="s">
        <v>84</v>
      </c>
      <c r="C54" s="365">
        <f>SUM(C8:C52)</f>
        <v>2842241</v>
      </c>
      <c r="D54" s="365">
        <f>SUM(D8:D52)</f>
        <v>3255648</v>
      </c>
      <c r="E54" s="305">
        <f>SUM(E9:E52)</f>
        <v>945583</v>
      </c>
    </row>
    <row r="55" spans="2:5" ht="15.75">
      <c r="B55" s="265" t="s">
        <v>85</v>
      </c>
      <c r="C55" s="365">
        <f>C6+C54</f>
        <v>3612567</v>
      </c>
      <c r="D55" s="365">
        <f>D6+D54</f>
        <v>3572277</v>
      </c>
      <c r="E55" s="305">
        <f>E6+E54</f>
        <v>1116673</v>
      </c>
    </row>
    <row r="56" spans="2:5" ht="15.75">
      <c r="B56" s="51"/>
      <c r="C56" s="182"/>
      <c r="D56" s="182"/>
      <c r="E56" s="182"/>
    </row>
    <row r="57" spans="2:5" ht="15.75">
      <c r="B57" s="601" t="s">
        <v>206</v>
      </c>
      <c r="C57" s="601"/>
      <c r="D57" s="601"/>
      <c r="E57" s="601"/>
    </row>
    <row r="58" spans="2:5" ht="15.75">
      <c r="B58" s="182" t="str">
        <f>inputPrYr!C2</f>
        <v>MITCHELL COUNTY</v>
      </c>
      <c r="C58" s="182"/>
      <c r="D58" s="182"/>
      <c r="E58" s="240">
        <f>inputPrYr!C4</f>
        <v>2014</v>
      </c>
    </row>
    <row r="59" spans="2:5" ht="15.75">
      <c r="B59" s="51"/>
      <c r="C59" s="182"/>
      <c r="D59" s="182"/>
      <c r="E59" s="194"/>
    </row>
    <row r="60" spans="2:5" ht="15.75">
      <c r="B60" s="267" t="s">
        <v>153</v>
      </c>
      <c r="C60" s="268"/>
      <c r="D60" s="268"/>
      <c r="E60" s="268"/>
    </row>
    <row r="61" spans="2:5" ht="15.75">
      <c r="B61" s="51" t="s">
        <v>75</v>
      </c>
      <c r="C61" s="511" t="s">
        <v>317</v>
      </c>
      <c r="D61" s="512" t="s">
        <v>318</v>
      </c>
      <c r="E61" s="178" t="s">
        <v>319</v>
      </c>
    </row>
    <row r="62" spans="2:5" ht="15.75">
      <c r="B62" s="80" t="s">
        <v>87</v>
      </c>
      <c r="C62" s="366" t="str">
        <f>CONCATENATE("Actual for ",E58-2,"")</f>
        <v>Actual for 2012</v>
      </c>
      <c r="D62" s="366" t="str">
        <f>CONCATENATE("Estimate for ",E58-1,"")</f>
        <v>Estimate for 2013</v>
      </c>
      <c r="E62" s="256" t="str">
        <f>CONCATENATE("Year for ",E58,"")</f>
        <v>Year for 2014</v>
      </c>
    </row>
    <row r="63" spans="2:5" ht="15.75">
      <c r="B63" s="265" t="s">
        <v>85</v>
      </c>
      <c r="C63" s="367">
        <f>C55</f>
        <v>3612567</v>
      </c>
      <c r="D63" s="367">
        <f>D55</f>
        <v>3572277</v>
      </c>
      <c r="E63" s="219">
        <f>E55</f>
        <v>1116673</v>
      </c>
    </row>
    <row r="64" spans="2:5" ht="15.75">
      <c r="B64" s="257" t="s">
        <v>88</v>
      </c>
      <c r="C64" s="367"/>
      <c r="D64" s="367"/>
      <c r="E64" s="219"/>
    </row>
    <row r="65" spans="2:5" ht="15.75">
      <c r="B65" s="259" t="str">
        <f>'gen-detail'!A7</f>
        <v>County Commission</v>
      </c>
      <c r="C65" s="367">
        <f>'gen-detail'!B13</f>
        <v>95629</v>
      </c>
      <c r="D65" s="367">
        <f>'gen-detail'!C13</f>
        <v>107936</v>
      </c>
      <c r="E65" s="219">
        <f>'gen-detail'!D13</f>
        <v>107936</v>
      </c>
    </row>
    <row r="66" spans="2:5" ht="15.75">
      <c r="B66" s="259" t="str">
        <f>'gen-detail'!A14</f>
        <v>County Clerk</v>
      </c>
      <c r="C66" s="367">
        <f>'gen-detail'!B20</f>
        <v>189038</v>
      </c>
      <c r="D66" s="367">
        <f>'gen-detail'!C20</f>
        <v>206820</v>
      </c>
      <c r="E66" s="219">
        <f>'gen-detail'!D20</f>
        <v>219013</v>
      </c>
    </row>
    <row r="67" spans="2:5" ht="15.75">
      <c r="B67" s="259" t="str">
        <f>'gen-detail'!A21</f>
        <v>County Treasurer</v>
      </c>
      <c r="C67" s="367">
        <f>'gen-detail'!B27</f>
        <v>204440</v>
      </c>
      <c r="D67" s="367">
        <f>'gen-detail'!C27</f>
        <v>242764</v>
      </c>
      <c r="E67" s="219">
        <f>'gen-detail'!D27</f>
        <v>294925</v>
      </c>
    </row>
    <row r="68" spans="2:5" ht="15.75">
      <c r="B68" s="259" t="str">
        <f>'gen-detail'!A28</f>
        <v>County Attorney/Counselor</v>
      </c>
      <c r="C68" s="367">
        <f>'gen-detail'!B34</f>
        <v>198377</v>
      </c>
      <c r="D68" s="367">
        <f>'gen-detail'!C34</f>
        <v>194636</v>
      </c>
      <c r="E68" s="219">
        <f>'gen-detail'!D34</f>
        <v>244460</v>
      </c>
    </row>
    <row r="69" spans="2:5" ht="15.75">
      <c r="B69" s="259" t="str">
        <f>'gen-detail'!A35</f>
        <v>Register of Deeds</v>
      </c>
      <c r="C69" s="367">
        <f>'gen-detail'!B42</f>
        <v>105865</v>
      </c>
      <c r="D69" s="367">
        <f>'gen-detail'!C42</f>
        <v>135045</v>
      </c>
      <c r="E69" s="219">
        <f>'gen-detail'!D42</f>
        <v>161670</v>
      </c>
    </row>
    <row r="70" spans="2:5" ht="15.75">
      <c r="B70" s="259" t="str">
        <f>'gen-detail'!A43</f>
        <v>Sheriff &amp; Jail</v>
      </c>
      <c r="C70" s="367">
        <f>'gen-detail'!B50</f>
        <v>1328438</v>
      </c>
      <c r="D70" s="367">
        <f>'gen-detail'!C50</f>
        <v>1330005</v>
      </c>
      <c r="E70" s="219">
        <f>'gen-detail'!D50</f>
        <v>1554840</v>
      </c>
    </row>
    <row r="71" spans="2:5" ht="15.75">
      <c r="B71" s="259" t="str">
        <f>'gen-detail'!A51</f>
        <v>Clerk of District Court</v>
      </c>
      <c r="C71" s="367">
        <f>'gen-detail'!B56</f>
        <v>79269</v>
      </c>
      <c r="D71" s="367">
        <f>'gen-detail'!C56</f>
        <v>113743</v>
      </c>
      <c r="E71" s="219">
        <f>'gen-detail'!D56</f>
        <v>120900</v>
      </c>
    </row>
    <row r="72" spans="2:5" ht="15.75">
      <c r="B72" s="259" t="str">
        <f>'gen-detail'!A68</f>
        <v>Courthouse ( General Expense )</v>
      </c>
      <c r="C72" s="367">
        <f>'gen-detail'!B77</f>
        <v>395309</v>
      </c>
      <c r="D72" s="367">
        <f>'gen-detail'!C77</f>
        <v>379287</v>
      </c>
      <c r="E72" s="219">
        <f>'gen-detail'!D77</f>
        <v>380428</v>
      </c>
    </row>
    <row r="73" spans="2:5" ht="15.75">
      <c r="B73" s="259" t="str">
        <f>'gen-detail'!A78</f>
        <v>Communication Center- Dispatch</v>
      </c>
      <c r="C73" s="367">
        <f>'gen-detail'!B85</f>
        <v>322523</v>
      </c>
      <c r="D73" s="367">
        <f>'gen-detail'!C85</f>
        <v>322093</v>
      </c>
      <c r="E73" s="219">
        <f>'gen-detail'!D85</f>
        <v>334518</v>
      </c>
    </row>
    <row r="74" spans="2:5" ht="15.75">
      <c r="B74" s="259" t="str">
        <f>'gen-detail'!A86</f>
        <v>Emergency Management</v>
      </c>
      <c r="C74" s="367">
        <f>'gen-detail'!B93</f>
        <v>73797</v>
      </c>
      <c r="D74" s="367">
        <f>'gen-detail'!C93</f>
        <v>86333</v>
      </c>
      <c r="E74" s="219">
        <f>'gen-detail'!D93</f>
        <v>96246</v>
      </c>
    </row>
    <row r="75" spans="2:5" ht="15.75">
      <c r="B75" s="259" t="str">
        <f>'gen-detail'!A94</f>
        <v>Miscellaneous</v>
      </c>
      <c r="C75" s="367">
        <f>'gen-detail'!B96</f>
        <v>0</v>
      </c>
      <c r="D75" s="367">
        <f>'gen-detail'!C96</f>
        <v>0</v>
      </c>
      <c r="E75" s="219">
        <f>'gen-detail'!D96</f>
        <v>0</v>
      </c>
    </row>
    <row r="76" spans="2:5" ht="15.75">
      <c r="B76" s="259" t="str">
        <f>'gen-detail'!A97</f>
        <v>Abandoned Cemeteries</v>
      </c>
      <c r="C76" s="367">
        <f>'gen-detail'!B99</f>
        <v>0</v>
      </c>
      <c r="D76" s="367">
        <f>'gen-detail'!C99</f>
        <v>0</v>
      </c>
      <c r="E76" s="219">
        <f>'gen-detail'!D99</f>
        <v>0</v>
      </c>
    </row>
    <row r="77" spans="2:5" ht="15.75">
      <c r="B77" s="259" t="str">
        <f>'gen-detail'!A100</f>
        <v>Juvenile Detention</v>
      </c>
      <c r="C77" s="367">
        <f>'gen-detail'!B102</f>
        <v>11687</v>
      </c>
      <c r="D77" s="367">
        <f>'gen-detail'!C102</f>
        <v>10000</v>
      </c>
      <c r="E77" s="219">
        <f>'gen-detail'!D102</f>
        <v>10000</v>
      </c>
    </row>
    <row r="78" spans="2:5" ht="15.75">
      <c r="B78" s="259" t="str">
        <f>'gen-detail'!A103</f>
        <v>CASA</v>
      </c>
      <c r="C78" s="367">
        <f>'gen-detail'!B105</f>
        <v>10000</v>
      </c>
      <c r="D78" s="367">
        <f>'gen-detail'!C105</f>
        <v>10000</v>
      </c>
      <c r="E78" s="219">
        <f>'gen-detail'!D105</f>
        <v>12000</v>
      </c>
    </row>
    <row r="79" spans="2:5" ht="15.75">
      <c r="B79" s="259" t="str">
        <f>'gen-detail'!A106</f>
        <v>Senior Care Act</v>
      </c>
      <c r="C79" s="367">
        <f>'gen-detail'!B108</f>
        <v>5162</v>
      </c>
      <c r="D79" s="367">
        <f>'gen-detail'!C108</f>
        <v>5144</v>
      </c>
      <c r="E79" s="219">
        <f>'gen-detail'!D108</f>
        <v>5144</v>
      </c>
    </row>
    <row r="80" spans="2:5" ht="15.75">
      <c r="B80" s="259" t="str">
        <f>'gen-detail'!A119</f>
        <v>Economic Development</v>
      </c>
      <c r="C80" s="367">
        <f>'gen-detail'!B121</f>
        <v>27241</v>
      </c>
      <c r="D80" s="367">
        <f>'gen-detail'!C121</f>
        <v>27241</v>
      </c>
      <c r="E80" s="219">
        <f>'gen-detail'!D121</f>
        <v>27241</v>
      </c>
    </row>
    <row r="81" spans="2:5" ht="15.75">
      <c r="B81" s="259" t="str">
        <f>'gen-detail'!A122</f>
        <v>Sales Tax Receipts- R &amp; B</v>
      </c>
      <c r="C81" s="367">
        <f>'gen-detail'!B124</f>
        <v>120000</v>
      </c>
      <c r="D81" s="367">
        <f>'gen-detail'!C124</f>
        <v>120000</v>
      </c>
      <c r="E81" s="219">
        <f>'gen-detail'!D124</f>
        <v>120000</v>
      </c>
    </row>
    <row r="82" spans="2:5" ht="15.75">
      <c r="B82" s="259" t="str">
        <f>'gen-detail'!A125</f>
        <v>Transfer to Ambulance Fund</v>
      </c>
      <c r="C82" s="367">
        <f>'gen-detail'!B127</f>
        <v>110140</v>
      </c>
      <c r="D82" s="367">
        <f>'gen-detail'!C127</f>
        <v>110140</v>
      </c>
      <c r="E82" s="219">
        <f>'gen-detail'!D127</f>
        <v>110140</v>
      </c>
    </row>
    <row r="83" spans="2:5" ht="15.75">
      <c r="B83" s="259" t="str">
        <f>'gen-detail'!A128</f>
        <v>Transfer to Courthouse Technology Fund</v>
      </c>
      <c r="C83" s="367">
        <f>'gen-detail'!B130</f>
        <v>4000</v>
      </c>
      <c r="D83" s="367">
        <f>'gen-detail'!C130</f>
        <v>0</v>
      </c>
      <c r="E83" s="219">
        <f>'gen-detail'!D130</f>
        <v>0</v>
      </c>
    </row>
    <row r="84" spans="2:5" ht="15.75">
      <c r="B84" s="259" t="str">
        <f>'gen-detail'!A131</f>
        <v>Jail Building Improvements</v>
      </c>
      <c r="C84" s="367">
        <f>'gen-detail'!B136</f>
        <v>15023</v>
      </c>
      <c r="D84" s="367">
        <f>'gen-detail'!C136</f>
        <v>0</v>
      </c>
      <c r="E84" s="219">
        <f>'gen-detail'!D136</f>
        <v>0</v>
      </c>
    </row>
    <row r="85" spans="2:5" ht="15.75">
      <c r="B85" s="259" t="str">
        <f>'gen-detail'!A137</f>
        <v>GIS</v>
      </c>
      <c r="C85" s="367">
        <f>'gen-detail'!B143</f>
        <v>0</v>
      </c>
      <c r="D85" s="367">
        <f>'gen-detail'!C143</f>
        <v>0</v>
      </c>
      <c r="E85" s="219">
        <f>'gen-detail'!D143</f>
        <v>67305</v>
      </c>
    </row>
    <row r="86" spans="2:5" ht="15.75">
      <c r="B86" s="270" t="s">
        <v>23</v>
      </c>
      <c r="C86" s="394">
        <f>SUM(C65:C85)</f>
        <v>3295938</v>
      </c>
      <c r="D86" s="394">
        <f>SUM(D65:D85)</f>
        <v>3401187</v>
      </c>
      <c r="E86" s="301">
        <f>SUM(E65:E85)</f>
        <v>3866766</v>
      </c>
    </row>
    <row r="87" spans="2:5" ht="15.75">
      <c r="B87" s="271"/>
      <c r="C87" s="363"/>
      <c r="D87" s="363"/>
      <c r="E87" s="78"/>
    </row>
    <row r="88" spans="2:10" ht="15.75">
      <c r="B88" s="271"/>
      <c r="C88" s="363"/>
      <c r="D88" s="363"/>
      <c r="E88" s="78"/>
      <c r="G88" s="604" t="str">
        <f>CONCATENATE("Desired Carryover Into ",E1+1,"")</f>
        <v>Desired Carryover Into 2015</v>
      </c>
      <c r="H88" s="605"/>
      <c r="I88" s="605"/>
      <c r="J88" s="606"/>
    </row>
    <row r="89" spans="2:10" ht="15.75">
      <c r="B89" s="271"/>
      <c r="C89" s="363"/>
      <c r="D89" s="363"/>
      <c r="E89" s="78"/>
      <c r="G89" s="459"/>
      <c r="H89" s="460"/>
      <c r="I89" s="461"/>
      <c r="J89" s="462"/>
    </row>
    <row r="90" spans="2:10" ht="15.75">
      <c r="B90" s="271"/>
      <c r="C90" s="363"/>
      <c r="D90" s="363"/>
      <c r="E90" s="78"/>
      <c r="G90" s="463" t="s">
        <v>287</v>
      </c>
      <c r="H90" s="461"/>
      <c r="I90" s="461"/>
      <c r="J90" s="464">
        <v>0</v>
      </c>
    </row>
    <row r="91" spans="2:10" ht="15.75">
      <c r="B91" s="271"/>
      <c r="C91" s="363"/>
      <c r="D91" s="363"/>
      <c r="E91" s="78"/>
      <c r="G91" s="459" t="s">
        <v>288</v>
      </c>
      <c r="H91" s="460"/>
      <c r="I91" s="460"/>
      <c r="J91" s="465">
        <f>IF(J90=0,"",ROUND((J90+E103-G103)/inputOth!E6*1000,3)-G108)</f>
      </c>
    </row>
    <row r="92" spans="2:10" ht="15.75">
      <c r="B92" s="271"/>
      <c r="C92" s="363"/>
      <c r="D92" s="363"/>
      <c r="E92" s="78"/>
      <c r="G92" s="466" t="str">
        <f>CONCATENATE("",E1," Tot Exp/Non-Appr Must Be:")</f>
        <v>2014 Tot Exp/Non-Appr Must Be:</v>
      </c>
      <c r="H92" s="467"/>
      <c r="I92" s="468"/>
      <c r="J92" s="469">
        <f>IF(J90&gt;0,IF(E100&lt;E55,IF(J90=G103,E100,((J90-G103)*(1-D102))+E55),E100+(J90-G103)),0)</f>
        <v>0</v>
      </c>
    </row>
    <row r="93" spans="2:10" ht="15.75">
      <c r="B93" s="263" t="s">
        <v>39</v>
      </c>
      <c r="C93" s="363"/>
      <c r="D93" s="363"/>
      <c r="E93" s="86"/>
      <c r="G93" s="470" t="s">
        <v>315</v>
      </c>
      <c r="H93" s="471"/>
      <c r="I93" s="471"/>
      <c r="J93" s="472">
        <f>IF(J90&gt;0,J92-E100,0)</f>
        <v>0</v>
      </c>
    </row>
    <row r="94" spans="2:5" ht="15.75">
      <c r="B94" s="263" t="s">
        <v>37</v>
      </c>
      <c r="C94" s="363"/>
      <c r="D94" s="363"/>
      <c r="E94" s="78"/>
    </row>
    <row r="95" spans="2:10" ht="15.75">
      <c r="B95" s="263" t="s">
        <v>281</v>
      </c>
      <c r="C95" s="364">
        <f>IF(C96*0.1&lt;C94,"Exceed 10% Rule","")</f>
      </c>
      <c r="D95" s="364">
        <f>IF(D96*0.1&lt;D94,"Exceed 10% Rule","")</f>
      </c>
      <c r="E95" s="297">
        <f>IF(E96*0.1&lt;E94,"Exceed 10% Rule","")</f>
      </c>
      <c r="G95" s="598" t="str">
        <f>CONCATENATE("Projected Carryover Into ",E1+1,"")</f>
        <v>Projected Carryover Into 2015</v>
      </c>
      <c r="H95" s="599"/>
      <c r="I95" s="599"/>
      <c r="J95" s="600"/>
    </row>
    <row r="96" spans="2:10" ht="15.75">
      <c r="B96" s="265" t="s">
        <v>89</v>
      </c>
      <c r="C96" s="365">
        <f>SUM(C86:C94)</f>
        <v>3295938</v>
      </c>
      <c r="D96" s="365">
        <f>SUM(D86:D94)</f>
        <v>3401187</v>
      </c>
      <c r="E96" s="305">
        <f>SUM(E86:E94)</f>
        <v>3866766</v>
      </c>
      <c r="G96" s="416"/>
      <c r="H96" s="415"/>
      <c r="I96" s="415"/>
      <c r="J96" s="417"/>
    </row>
    <row r="97" spans="2:10" ht="15.75">
      <c r="B97" s="114" t="s">
        <v>198</v>
      </c>
      <c r="C97" s="368">
        <f>C55-C96</f>
        <v>316629</v>
      </c>
      <c r="D97" s="368">
        <f>D55-D96</f>
        <v>171090</v>
      </c>
      <c r="E97" s="180" t="s">
        <v>62</v>
      </c>
      <c r="G97" s="403">
        <f>D97</f>
        <v>171090</v>
      </c>
      <c r="H97" s="401" t="str">
        <f>CONCATENATE("",E1-1," Ending Cash Balance (est.)")</f>
        <v>2013 Ending Cash Balance (est.)</v>
      </c>
      <c r="I97" s="400"/>
      <c r="J97" s="417"/>
    </row>
    <row r="98" spans="2:10" ht="15.75">
      <c r="B98" s="241" t="str">
        <f>CONCATENATE("",E$1-2,"/",E$1-1," Budget Authority Amount:")</f>
        <v>2012/2013 Budget Authority Amount:</v>
      </c>
      <c r="C98" s="233">
        <f>inputOth!$B32</f>
        <v>3371323</v>
      </c>
      <c r="D98" s="233">
        <f>inputPrYr!$D16</f>
        <v>3429119</v>
      </c>
      <c r="E98" s="180" t="s">
        <v>62</v>
      </c>
      <c r="F98" s="273"/>
      <c r="G98" s="403">
        <f>E54</f>
        <v>945583</v>
      </c>
      <c r="H98" s="399" t="str">
        <f>CONCATENATE("",E1," Non-AV Receipts (est.)")</f>
        <v>2014 Non-AV Receipts (est.)</v>
      </c>
      <c r="I98" s="400"/>
      <c r="J98" s="417"/>
    </row>
    <row r="99" spans="2:11" ht="15.75">
      <c r="B99" s="241"/>
      <c r="C99" s="594" t="s">
        <v>284</v>
      </c>
      <c r="D99" s="595"/>
      <c r="E99" s="78"/>
      <c r="F99" s="402">
        <f>IF(E96/0.95-E96&lt;E99,"Exceeds 5%","")</f>
      </c>
      <c r="G99" s="398">
        <f>IF(E102&gt;0,E101,E103)</f>
        <v>2750093</v>
      </c>
      <c r="H99" s="399" t="str">
        <f>CONCATENATE("",E1," Ad Valorem Tax (est.)")</f>
        <v>2014 Ad Valorem Tax (est.)</v>
      </c>
      <c r="I99" s="400"/>
      <c r="J99" s="417"/>
      <c r="K99" s="475" t="str">
        <f>IF(G99=E103,"","Note: Does not include Delinquent Taxes")</f>
        <v>Note: Does not include Delinquent Taxes</v>
      </c>
    </row>
    <row r="100" spans="2:10" ht="15.75">
      <c r="B100" s="406" t="str">
        <f>CONCATENATE(C115,"     ",D115)</f>
        <v>     </v>
      </c>
      <c r="C100" s="596" t="s">
        <v>285</v>
      </c>
      <c r="D100" s="597"/>
      <c r="E100" s="219">
        <f>E96+E99</f>
        <v>3866766</v>
      </c>
      <c r="G100" s="403">
        <f>SUM(G97:G99)</f>
        <v>3866766</v>
      </c>
      <c r="H100" s="399" t="str">
        <f>CONCATENATE("Total ",E1," Resources Available")</f>
        <v>Total 2014 Resources Available</v>
      </c>
      <c r="I100" s="400"/>
      <c r="J100" s="417"/>
    </row>
    <row r="101" spans="2:10" ht="15.75">
      <c r="B101" s="406" t="str">
        <f>CONCATENATE(C116,"     ",D116)</f>
        <v>     </v>
      </c>
      <c r="C101" s="274"/>
      <c r="D101" s="194" t="s">
        <v>90</v>
      </c>
      <c r="E101" s="86">
        <f>IF(E100-E55&gt;0,E100-E55,0)</f>
        <v>2750093</v>
      </c>
      <c r="G101" s="397"/>
      <c r="H101" s="399"/>
      <c r="I101" s="399"/>
      <c r="J101" s="417"/>
    </row>
    <row r="102" spans="2:10" ht="15.75">
      <c r="B102" s="241"/>
      <c r="C102" s="404" t="s">
        <v>286</v>
      </c>
      <c r="D102" s="458">
        <f>inputOth!$E$23</f>
        <v>0.03</v>
      </c>
      <c r="E102" s="219">
        <f>IF(D102&gt;0,(E101*D102),0)</f>
        <v>82502.79</v>
      </c>
      <c r="G102" s="398">
        <f>C96*0.05+C96</f>
        <v>3460734.9</v>
      </c>
      <c r="H102" s="399" t="str">
        <f>CONCATENATE("Less ",E1-2," Expenditures + 5%")</f>
        <v>Less 2012 Expenditures + 5%</v>
      </c>
      <c r="I102" s="400"/>
      <c r="J102" s="417"/>
    </row>
    <row r="103" spans="2:10" ht="15.75">
      <c r="B103" s="51"/>
      <c r="C103" s="602" t="str">
        <f>CONCATENATE("Amount of  ",$E$1-1," Ad Valorem Tax")</f>
        <v>Amount of  2013 Ad Valorem Tax</v>
      </c>
      <c r="D103" s="603"/>
      <c r="E103" s="301">
        <f>E101+E102</f>
        <v>2832595.79</v>
      </c>
      <c r="G103" s="396">
        <f>G100-G102</f>
        <v>406031.1000000001</v>
      </c>
      <c r="H103" s="395" t="str">
        <f>CONCATENATE("Projected ",E1," Carryover (est.)")</f>
        <v>Projected 2014 Carryover (est.)</v>
      </c>
      <c r="I103" s="385"/>
      <c r="J103" s="384"/>
    </row>
    <row r="104" spans="2:10" ht="15.75">
      <c r="B104" s="51"/>
      <c r="C104" s="51"/>
      <c r="D104" s="51"/>
      <c r="E104" s="51"/>
      <c r="G104" s="412"/>
      <c r="H104" s="412"/>
      <c r="I104" s="412"/>
      <c r="J104" s="412"/>
    </row>
    <row r="105" spans="2:10" ht="15.75">
      <c r="B105" s="601" t="s">
        <v>207</v>
      </c>
      <c r="C105" s="601"/>
      <c r="D105" s="601"/>
      <c r="E105" s="601"/>
      <c r="G105" s="607" t="s">
        <v>316</v>
      </c>
      <c r="H105" s="608"/>
      <c r="I105" s="608"/>
      <c r="J105" s="609"/>
    </row>
    <row r="106" spans="7:10" ht="15.75">
      <c r="G106" s="477"/>
      <c r="H106" s="478"/>
      <c r="I106" s="479"/>
      <c r="J106" s="480"/>
    </row>
    <row r="107" spans="7:10" ht="15.75">
      <c r="G107" s="481">
        <f>summ!H16</f>
        <v>41.769</v>
      </c>
      <c r="H107" s="478" t="str">
        <f>CONCATENATE("",E1," Fund Mill Rate")</f>
        <v>2014 Fund Mill Rate</v>
      </c>
      <c r="I107" s="479"/>
      <c r="J107" s="480"/>
    </row>
    <row r="108" spans="7:10" ht="15.75">
      <c r="G108" s="482">
        <f>summ!E16</f>
        <v>37.585</v>
      </c>
      <c r="H108" s="478" t="str">
        <f>CONCATENATE("",E1-1," Fund Mill Rate")</f>
        <v>2013 Fund Mill Rate</v>
      </c>
      <c r="I108" s="479"/>
      <c r="J108" s="480"/>
    </row>
    <row r="109" spans="7:10" ht="15.75">
      <c r="G109" s="483">
        <f>summ!H53</f>
        <v>96.518</v>
      </c>
      <c r="H109" s="478" t="str">
        <f>CONCATENATE("Total ",E1," Mill Rate")</f>
        <v>Total 2014 Mill Rate</v>
      </c>
      <c r="I109" s="479"/>
      <c r="J109" s="480"/>
    </row>
    <row r="110" spans="7:10" ht="15.75">
      <c r="G110" s="482">
        <f>summ!E53</f>
        <v>89.61599999999999</v>
      </c>
      <c r="H110" s="484" t="str">
        <f>CONCATENATE("Total ",E1-1," Mill Rate")</f>
        <v>Total 2013 Mill Rate</v>
      </c>
      <c r="I110" s="485"/>
      <c r="J110" s="486"/>
    </row>
    <row r="111" spans="7:10" ht="15.75">
      <c r="G111" s="516"/>
      <c r="H111" s="418"/>
      <c r="I111" s="514"/>
      <c r="J111" s="515"/>
    </row>
    <row r="112" spans="7:9" ht="15.75">
      <c r="G112" s="534" t="s">
        <v>323</v>
      </c>
      <c r="H112" s="533"/>
      <c r="I112" s="532" t="str">
        <f>cert!E63</f>
        <v>Yes</v>
      </c>
    </row>
    <row r="115" spans="3:4" ht="15.75" hidden="1">
      <c r="C115" s="48">
        <f>IF(C96&gt;C98,"See Tab A","")</f>
      </c>
      <c r="D115" s="48">
        <f>IF(D96&gt;D98,"See Tab C","")</f>
      </c>
    </row>
    <row r="116" spans="3:4" ht="15.75" hidden="1">
      <c r="C116" s="48">
        <f>IF(C97&lt;0,"See Tab B","")</f>
      </c>
      <c r="D116" s="48">
        <f>IF(D97&lt;0,"See Tab D","")</f>
      </c>
    </row>
  </sheetData>
  <sheetProtection/>
  <mergeCells count="8">
    <mergeCell ref="C99:D99"/>
    <mergeCell ref="C100:D100"/>
    <mergeCell ref="G95:J95"/>
    <mergeCell ref="B57:E57"/>
    <mergeCell ref="B105:E105"/>
    <mergeCell ref="C103:D103"/>
    <mergeCell ref="G88:J88"/>
    <mergeCell ref="G105:J105"/>
  </mergeCells>
  <conditionalFormatting sqref="E94">
    <cfRule type="cellIs" priority="2" dxfId="309" operator="greaterThan" stopIfTrue="1">
      <formula>$E$96*0.1</formula>
    </cfRule>
  </conditionalFormatting>
  <conditionalFormatting sqref="E99">
    <cfRule type="cellIs" priority="3" dxfId="309" operator="greaterThan" stopIfTrue="1">
      <formula>$E$96/0.95-$E$96</formula>
    </cfRule>
  </conditionalFormatting>
  <conditionalFormatting sqref="D94">
    <cfRule type="cellIs" priority="4" dxfId="2" operator="greaterThan" stopIfTrue="1">
      <formula>$D$96*0.1</formula>
    </cfRule>
  </conditionalFormatting>
  <conditionalFormatting sqref="C94">
    <cfRule type="cellIs" priority="5" dxfId="2" operator="greaterThan" stopIfTrue="1">
      <formula>$C$96*0.1</formula>
    </cfRule>
  </conditionalFormatting>
  <conditionalFormatting sqref="C97">
    <cfRule type="cellIs" priority="6" dxfId="2" operator="lessThan" stopIfTrue="1">
      <formula>0</formula>
    </cfRule>
  </conditionalFormatting>
  <conditionalFormatting sqref="D96">
    <cfRule type="cellIs" priority="7" dxfId="2" operator="greaterThan" stopIfTrue="1">
      <formula>$D$98</formula>
    </cfRule>
  </conditionalFormatting>
  <conditionalFormatting sqref="C96">
    <cfRule type="cellIs" priority="8" dxfId="2" operator="greaterThan" stopIfTrue="1">
      <formula>$C$98</formula>
    </cfRule>
  </conditionalFormatting>
  <conditionalFormatting sqref="D52">
    <cfRule type="cellIs" priority="9" dxfId="2" operator="greaterThan" stopIfTrue="1">
      <formula>$D$54*0.1</formula>
    </cfRule>
  </conditionalFormatting>
  <conditionalFormatting sqref="C52">
    <cfRule type="cellIs" priority="10" dxfId="2" operator="greaterThan" stopIfTrue="1">
      <formula>$C$54*0.1</formula>
    </cfRule>
  </conditionalFormatting>
  <conditionalFormatting sqref="E52">
    <cfRule type="cellIs" priority="11" dxfId="309" operator="greaterThan" stopIfTrue="1">
      <formula>$E$54*0.1+E103</formula>
    </cfRule>
  </conditionalFormatting>
  <conditionalFormatting sqref="D97">
    <cfRule type="cellIs" priority="1" dxfId="0" operator="lessThan" stopIfTrue="1">
      <formula>0</formula>
    </cfRule>
  </conditionalFormatting>
  <printOptions/>
  <pageMargins left="1" right="0.5" top="0.81" bottom="0.36" header="0.5" footer="0"/>
  <pageSetup blackAndWhite="1" fitToHeight="2" horizontalDpi="120" verticalDpi="120" orientation="portrait" scale="65" r:id="rId1"/>
  <headerFooter alignWithMargins="0">
    <oddHeader>&amp;RState of Kansas
County
</oddHeader>
  </headerFooter>
  <rowBreaks count="1" manualBreakCount="1">
    <brk id="57" max="255" man="1"/>
  </rowBreaks>
  <colBreaks count="1" manualBreakCount="1">
    <brk id="5" max="65535" man="1"/>
  </colBreaks>
</worksheet>
</file>

<file path=xl/worksheets/sheet11.xml><?xml version="1.0" encoding="utf-8"?>
<worksheet xmlns="http://schemas.openxmlformats.org/spreadsheetml/2006/main" xmlns:r="http://schemas.openxmlformats.org/officeDocument/2006/relationships">
  <dimension ref="A1:D256"/>
  <sheetViews>
    <sheetView view="pageBreakPreview" zoomScale="98" zoomScaleSheetLayoutView="98" zoomScalePageLayoutView="0" workbookViewId="0" topLeftCell="A25">
      <selection activeCell="C43" sqref="C43"/>
    </sheetView>
  </sheetViews>
  <sheetFormatPr defaultColWidth="8.796875" defaultRowHeight="15"/>
  <cols>
    <col min="1" max="1" width="30.796875" style="48" customWidth="1"/>
    <col min="2" max="3" width="15.796875" style="48" customWidth="1"/>
    <col min="4" max="4" width="16.09765625" style="48" customWidth="1"/>
    <col min="5" max="16384" width="8.8984375" style="48" customWidth="1"/>
  </cols>
  <sheetData>
    <row r="1" spans="1:4" ht="15.75">
      <c r="A1" s="182" t="str">
        <f>inputPrYr!C2</f>
        <v>MITCHELL COUNTY</v>
      </c>
      <c r="B1" s="51"/>
      <c r="C1" s="255"/>
      <c r="D1" s="51">
        <f>inputPrYr!C4</f>
        <v>2014</v>
      </c>
    </row>
    <row r="2" spans="1:4" ht="15.75">
      <c r="A2" s="51"/>
      <c r="B2" s="51"/>
      <c r="C2" s="51"/>
      <c r="D2" s="255"/>
    </row>
    <row r="3" spans="1:4" ht="15.75">
      <c r="A3" s="118" t="s">
        <v>154</v>
      </c>
      <c r="B3" s="268"/>
      <c r="C3" s="268"/>
      <c r="D3" s="268"/>
    </row>
    <row r="4" spans="1:4" ht="15.75">
      <c r="A4" s="255" t="s">
        <v>75</v>
      </c>
      <c r="B4" s="511" t="s">
        <v>317</v>
      </c>
      <c r="C4" s="512" t="s">
        <v>318</v>
      </c>
      <c r="D4" s="178" t="s">
        <v>319</v>
      </c>
    </row>
    <row r="5" spans="1:4" ht="15.75">
      <c r="A5" s="391" t="s">
        <v>283</v>
      </c>
      <c r="B5" s="366" t="str">
        <f>CONCATENATE("Actual for ",D1-2,"")</f>
        <v>Actual for 2012</v>
      </c>
      <c r="C5" s="366" t="str">
        <f>CONCATENATE("Estimate for ",D1-1,"")</f>
        <v>Estimate for 2013</v>
      </c>
      <c r="D5" s="256" t="str">
        <f>CONCATENATE("Year for ",D1,"")</f>
        <v>Year for 2014</v>
      </c>
    </row>
    <row r="6" spans="1:4" ht="15.75">
      <c r="A6" s="216" t="s">
        <v>88</v>
      </c>
      <c r="B6" s="93"/>
      <c r="C6" s="93"/>
      <c r="D6" s="93"/>
    </row>
    <row r="7" spans="1:4" ht="15.75">
      <c r="A7" s="277" t="s">
        <v>99</v>
      </c>
      <c r="B7" s="93"/>
      <c r="C7" s="93"/>
      <c r="D7" s="93"/>
    </row>
    <row r="8" spans="1:4" ht="15.75">
      <c r="A8" s="76" t="s">
        <v>93</v>
      </c>
      <c r="B8" s="260">
        <v>51094</v>
      </c>
      <c r="C8" s="260">
        <v>52036</v>
      </c>
      <c r="D8" s="260">
        <v>52036</v>
      </c>
    </row>
    <row r="9" spans="1:4" ht="15.75">
      <c r="A9" s="76" t="s">
        <v>94</v>
      </c>
      <c r="B9" s="260">
        <v>10996</v>
      </c>
      <c r="C9" s="260">
        <v>10000</v>
      </c>
      <c r="D9" s="260">
        <v>10000</v>
      </c>
    </row>
    <row r="10" spans="1:4" ht="15.75">
      <c r="A10" s="76" t="s">
        <v>95</v>
      </c>
      <c r="B10" s="260">
        <v>822</v>
      </c>
      <c r="C10" s="260"/>
      <c r="D10" s="260"/>
    </row>
    <row r="11" spans="1:4" ht="15.75">
      <c r="A11" s="76" t="s">
        <v>96</v>
      </c>
      <c r="B11" s="260">
        <v>0</v>
      </c>
      <c r="C11" s="260"/>
      <c r="D11" s="260"/>
    </row>
    <row r="12" spans="1:4" ht="15.75">
      <c r="A12" s="247" t="s">
        <v>376</v>
      </c>
      <c r="B12" s="260">
        <v>32717</v>
      </c>
      <c r="C12" s="260">
        <v>45900</v>
      </c>
      <c r="D12" s="260">
        <v>45900</v>
      </c>
    </row>
    <row r="13" spans="1:4" ht="15.75">
      <c r="A13" s="255" t="s">
        <v>47</v>
      </c>
      <c r="B13" s="278">
        <f>SUM(B8:B12)</f>
        <v>95629</v>
      </c>
      <c r="C13" s="278">
        <f>SUM(C8:C12)</f>
        <v>107936</v>
      </c>
      <c r="D13" s="278">
        <f>SUM(D8:D12)</f>
        <v>107936</v>
      </c>
    </row>
    <row r="14" spans="1:4" ht="15.75">
      <c r="A14" s="277" t="s">
        <v>65</v>
      </c>
      <c r="B14" s="93"/>
      <c r="C14" s="93"/>
      <c r="D14" s="93"/>
    </row>
    <row r="15" spans="1:4" ht="15.75">
      <c r="A15" s="76" t="s">
        <v>93</v>
      </c>
      <c r="B15" s="260">
        <v>114302</v>
      </c>
      <c r="C15" s="260">
        <v>120000</v>
      </c>
      <c r="D15" s="260">
        <v>123000</v>
      </c>
    </row>
    <row r="16" spans="1:4" ht="15.75">
      <c r="A16" s="76" t="s">
        <v>94</v>
      </c>
      <c r="B16" s="260">
        <v>7450</v>
      </c>
      <c r="C16" s="260">
        <v>9500</v>
      </c>
      <c r="D16" s="260">
        <v>9500</v>
      </c>
    </row>
    <row r="17" spans="1:4" ht="15.75">
      <c r="A17" s="76" t="s">
        <v>95</v>
      </c>
      <c r="B17" s="260">
        <v>1974</v>
      </c>
      <c r="C17" s="260">
        <v>4000</v>
      </c>
      <c r="D17" s="260">
        <v>4000</v>
      </c>
    </row>
    <row r="18" spans="1:4" ht="15.75">
      <c r="A18" s="76" t="s">
        <v>96</v>
      </c>
      <c r="B18" s="260">
        <v>1227</v>
      </c>
      <c r="C18" s="260">
        <v>2500</v>
      </c>
      <c r="D18" s="260">
        <v>2500</v>
      </c>
    </row>
    <row r="19" spans="1:4" ht="15.75">
      <c r="A19" s="247" t="s">
        <v>376</v>
      </c>
      <c r="B19" s="260">
        <v>64085</v>
      </c>
      <c r="C19" s="260">
        <v>70820</v>
      </c>
      <c r="D19" s="260">
        <v>80013</v>
      </c>
    </row>
    <row r="20" spans="1:4" ht="15.75">
      <c r="A20" s="255" t="s">
        <v>47</v>
      </c>
      <c r="B20" s="278">
        <f>SUM(B15:B19)</f>
        <v>189038</v>
      </c>
      <c r="C20" s="278">
        <f>SUM(C15:C19)</f>
        <v>206820</v>
      </c>
      <c r="D20" s="278">
        <f>SUM(D15:D19)</f>
        <v>219013</v>
      </c>
    </row>
    <row r="21" spans="1:4" ht="15.75">
      <c r="A21" s="277" t="s">
        <v>100</v>
      </c>
      <c r="B21" s="93"/>
      <c r="C21" s="93"/>
      <c r="D21" s="93"/>
    </row>
    <row r="22" spans="1:4" ht="15.75">
      <c r="A22" s="76" t="s">
        <v>93</v>
      </c>
      <c r="B22" s="260">
        <v>123726</v>
      </c>
      <c r="C22" s="260">
        <v>147292</v>
      </c>
      <c r="D22" s="260">
        <v>161050</v>
      </c>
    </row>
    <row r="23" spans="1:4" ht="15.75">
      <c r="A23" s="76" t="s">
        <v>94</v>
      </c>
      <c r="B23" s="260">
        <v>4613</v>
      </c>
      <c r="C23" s="260">
        <v>6000</v>
      </c>
      <c r="D23" s="260">
        <v>6000</v>
      </c>
    </row>
    <row r="24" spans="1:4" ht="15.75">
      <c r="A24" s="76" t="s">
        <v>95</v>
      </c>
      <c r="B24" s="260">
        <v>3809</v>
      </c>
      <c r="C24" s="260">
        <v>8000</v>
      </c>
      <c r="D24" s="260">
        <v>8000</v>
      </c>
    </row>
    <row r="25" spans="1:4" ht="15.75">
      <c r="A25" s="76" t="s">
        <v>96</v>
      </c>
      <c r="B25" s="260">
        <v>0</v>
      </c>
      <c r="C25" s="260">
        <v>5000</v>
      </c>
      <c r="D25" s="260">
        <v>5000</v>
      </c>
    </row>
    <row r="26" spans="1:4" ht="15.75">
      <c r="A26" s="247" t="s">
        <v>376</v>
      </c>
      <c r="B26" s="260">
        <v>72292</v>
      </c>
      <c r="C26" s="260">
        <v>76472</v>
      </c>
      <c r="D26" s="260">
        <v>114875</v>
      </c>
    </row>
    <row r="27" spans="1:4" ht="15.75">
      <c r="A27" s="255" t="s">
        <v>47</v>
      </c>
      <c r="B27" s="278">
        <f>SUM(B22:B26)</f>
        <v>204440</v>
      </c>
      <c r="C27" s="278">
        <f>SUM(C22:C26)</f>
        <v>242764</v>
      </c>
      <c r="D27" s="278">
        <f>SUM(D22:D26)</f>
        <v>294925</v>
      </c>
    </row>
    <row r="28" spans="1:4" ht="15.75">
      <c r="A28" s="277" t="s">
        <v>98</v>
      </c>
      <c r="B28" s="93"/>
      <c r="C28" s="93"/>
      <c r="D28" s="93"/>
    </row>
    <row r="29" spans="1:4" ht="15.75">
      <c r="A29" s="76" t="s">
        <v>93</v>
      </c>
      <c r="B29" s="260">
        <v>118670</v>
      </c>
      <c r="C29" s="260">
        <v>125360</v>
      </c>
      <c r="D29" s="260">
        <v>162176</v>
      </c>
    </row>
    <row r="30" spans="1:4" ht="15.75">
      <c r="A30" s="76" t="s">
        <v>94</v>
      </c>
      <c r="B30" s="260">
        <v>28750</v>
      </c>
      <c r="C30" s="260">
        <v>15000</v>
      </c>
      <c r="D30" s="260">
        <v>16000</v>
      </c>
    </row>
    <row r="31" spans="1:4" ht="15.75">
      <c r="A31" s="76" t="s">
        <v>95</v>
      </c>
      <c r="B31" s="260">
        <v>6173</v>
      </c>
      <c r="C31" s="260">
        <v>7000</v>
      </c>
      <c r="D31" s="260">
        <v>9000</v>
      </c>
    </row>
    <row r="32" spans="1:4" ht="15.75">
      <c r="A32" s="76" t="s">
        <v>96</v>
      </c>
      <c r="B32" s="260">
        <v>0</v>
      </c>
      <c r="C32" s="260"/>
      <c r="D32" s="260"/>
    </row>
    <row r="33" spans="1:4" ht="15.75">
      <c r="A33" s="247" t="s">
        <v>376</v>
      </c>
      <c r="B33" s="260">
        <v>44784</v>
      </c>
      <c r="C33" s="260">
        <v>47276</v>
      </c>
      <c r="D33" s="260">
        <v>57284</v>
      </c>
    </row>
    <row r="34" spans="1:4" ht="15.75">
      <c r="A34" s="255" t="s">
        <v>47</v>
      </c>
      <c r="B34" s="278">
        <f>SUM(B29:B33)</f>
        <v>198377</v>
      </c>
      <c r="C34" s="278">
        <f>SUM(C29:C33)</f>
        <v>194636</v>
      </c>
      <c r="D34" s="278">
        <f>SUM(D29:D33)</f>
        <v>244460</v>
      </c>
    </row>
    <row r="35" spans="1:4" ht="15.75">
      <c r="A35" s="277" t="s">
        <v>105</v>
      </c>
      <c r="B35" s="93"/>
      <c r="C35" s="93"/>
      <c r="D35" s="93"/>
    </row>
    <row r="36" spans="1:4" ht="15.75">
      <c r="A36" s="76" t="s">
        <v>93</v>
      </c>
      <c r="B36" s="260">
        <v>61695</v>
      </c>
      <c r="C36" s="260">
        <v>55000</v>
      </c>
      <c r="D36" s="260">
        <v>62432</v>
      </c>
    </row>
    <row r="37" spans="1:4" ht="15.75">
      <c r="A37" s="76" t="s">
        <v>94</v>
      </c>
      <c r="B37" s="260">
        <v>1945</v>
      </c>
      <c r="C37" s="260">
        <v>5445</v>
      </c>
      <c r="D37" s="260">
        <v>32255</v>
      </c>
    </row>
    <row r="38" spans="1:4" ht="15.75">
      <c r="A38" s="76" t="s">
        <v>95</v>
      </c>
      <c r="B38" s="260">
        <v>3820</v>
      </c>
      <c r="C38" s="260">
        <v>5600</v>
      </c>
      <c r="D38" s="260">
        <v>8600</v>
      </c>
    </row>
    <row r="39" spans="1:4" ht="15.75">
      <c r="A39" s="76" t="s">
        <v>96</v>
      </c>
      <c r="B39" s="260">
        <v>3498</v>
      </c>
      <c r="C39" s="260">
        <v>34000</v>
      </c>
      <c r="D39" s="260">
        <v>12000</v>
      </c>
    </row>
    <row r="40" spans="1:4" ht="15.75">
      <c r="A40" s="247" t="s">
        <v>376</v>
      </c>
      <c r="B40" s="260">
        <v>36308</v>
      </c>
      <c r="C40" s="260">
        <v>35000</v>
      </c>
      <c r="D40" s="260">
        <v>46383</v>
      </c>
    </row>
    <row r="41" spans="1:4" ht="15.75">
      <c r="A41" s="247" t="s">
        <v>382</v>
      </c>
      <c r="B41" s="260">
        <v>-1401</v>
      </c>
      <c r="C41" s="260"/>
      <c r="D41" s="260"/>
    </row>
    <row r="42" spans="1:4" ht="15.75">
      <c r="A42" s="255" t="s">
        <v>47</v>
      </c>
      <c r="B42" s="278">
        <f>SUM(B36:B41)</f>
        <v>105865</v>
      </c>
      <c r="C42" s="278">
        <f>SUM(C36:C41)</f>
        <v>135045</v>
      </c>
      <c r="D42" s="278">
        <f>SUM(D36:D41)</f>
        <v>161670</v>
      </c>
    </row>
    <row r="43" spans="1:4" ht="15.75">
      <c r="A43" s="277" t="s">
        <v>377</v>
      </c>
      <c r="B43" s="93"/>
      <c r="C43" s="93"/>
      <c r="D43" s="93"/>
    </row>
    <row r="44" spans="1:4" ht="15.75">
      <c r="A44" s="76" t="s">
        <v>93</v>
      </c>
      <c r="B44" s="260">
        <v>661145</v>
      </c>
      <c r="C44" s="260">
        <v>713355</v>
      </c>
      <c r="D44" s="260">
        <v>712572</v>
      </c>
    </row>
    <row r="45" spans="1:4" ht="15.75">
      <c r="A45" s="76" t="s">
        <v>94</v>
      </c>
      <c r="B45" s="260">
        <v>120240</v>
      </c>
      <c r="C45" s="260">
        <v>90700</v>
      </c>
      <c r="D45" s="260">
        <v>95230</v>
      </c>
    </row>
    <row r="46" spans="1:4" ht="15.75">
      <c r="A46" s="76" t="s">
        <v>95</v>
      </c>
      <c r="B46" s="260">
        <v>187740</v>
      </c>
      <c r="C46" s="260">
        <v>232884</v>
      </c>
      <c r="D46" s="260">
        <v>306014</v>
      </c>
    </row>
    <row r="47" spans="1:4" ht="15.75">
      <c r="A47" s="76" t="s">
        <v>96</v>
      </c>
      <c r="B47" s="260">
        <v>134817</v>
      </c>
      <c r="C47" s="260">
        <v>134902</v>
      </c>
      <c r="D47" s="260">
        <v>139446</v>
      </c>
    </row>
    <row r="48" spans="1:4" ht="15.75">
      <c r="A48" s="247" t="s">
        <v>376</v>
      </c>
      <c r="B48" s="260">
        <v>335303</v>
      </c>
      <c r="C48" s="260">
        <v>359824</v>
      </c>
      <c r="D48" s="260">
        <v>451578</v>
      </c>
    </row>
    <row r="49" spans="1:4" ht="15.75">
      <c r="A49" s="247" t="s">
        <v>382</v>
      </c>
      <c r="B49" s="260">
        <v>-110807</v>
      </c>
      <c r="C49" s="260">
        <v>-201660</v>
      </c>
      <c r="D49" s="260">
        <v>-150000</v>
      </c>
    </row>
    <row r="50" spans="1:4" ht="15.75">
      <c r="A50" s="255" t="s">
        <v>47</v>
      </c>
      <c r="B50" s="278">
        <f>SUM(B44:B49)</f>
        <v>1328438</v>
      </c>
      <c r="C50" s="278">
        <f>SUM(C44:C49)</f>
        <v>1330005</v>
      </c>
      <c r="D50" s="278">
        <f>SUM(D44:D49)</f>
        <v>1554840</v>
      </c>
    </row>
    <row r="51" spans="1:4" ht="15.75">
      <c r="A51" s="277" t="s">
        <v>378</v>
      </c>
      <c r="B51" s="93"/>
      <c r="C51" s="93"/>
      <c r="D51" s="93"/>
    </row>
    <row r="52" spans="1:4" ht="15.75">
      <c r="A52" s="76" t="s">
        <v>94</v>
      </c>
      <c r="B52" s="260">
        <v>88685</v>
      </c>
      <c r="C52" s="260">
        <v>102500</v>
      </c>
      <c r="D52" s="260">
        <v>102700</v>
      </c>
    </row>
    <row r="53" spans="1:4" ht="15.75">
      <c r="A53" s="76" t="s">
        <v>95</v>
      </c>
      <c r="B53" s="260">
        <v>10633</v>
      </c>
      <c r="C53" s="260">
        <v>7800</v>
      </c>
      <c r="D53" s="260">
        <v>7700</v>
      </c>
    </row>
    <row r="54" spans="1:4" ht="15.75">
      <c r="A54" s="76" t="s">
        <v>96</v>
      </c>
      <c r="B54" s="260">
        <v>0</v>
      </c>
      <c r="C54" s="260">
        <v>8000</v>
      </c>
      <c r="D54" s="260">
        <v>12500</v>
      </c>
    </row>
    <row r="55" spans="1:4" ht="15.75">
      <c r="A55" s="247" t="s">
        <v>382</v>
      </c>
      <c r="B55" s="260">
        <v>-20049</v>
      </c>
      <c r="C55" s="260">
        <v>-4557</v>
      </c>
      <c r="D55" s="260">
        <v>-2000</v>
      </c>
    </row>
    <row r="56" spans="1:4" ht="15.75">
      <c r="A56" s="255" t="s">
        <v>47</v>
      </c>
      <c r="B56" s="278">
        <f>SUM(B52:B55)</f>
        <v>79269</v>
      </c>
      <c r="C56" s="278">
        <f>SUM(C52:C55)</f>
        <v>113743</v>
      </c>
      <c r="D56" s="278">
        <f>SUM(D52:D55)</f>
        <v>120900</v>
      </c>
    </row>
    <row r="57" spans="1:4" ht="15.75">
      <c r="A57" s="51"/>
      <c r="B57" s="93"/>
      <c r="C57" s="93"/>
      <c r="D57" s="93"/>
    </row>
    <row r="58" spans="1:4" ht="15.75">
      <c r="A58" s="255" t="s">
        <v>225</v>
      </c>
      <c r="B58" s="266">
        <f>B13+B20+B27+B34+B42+B50+B56</f>
        <v>2201056</v>
      </c>
      <c r="C58" s="266">
        <f>C13+C20+C27+C34+C42+C50+C56</f>
        <v>2330949</v>
      </c>
      <c r="D58" s="266">
        <f>D13+D20+D27+D34+D42+D50+D56</f>
        <v>2703744</v>
      </c>
    </row>
    <row r="59" spans="1:4" ht="15.75">
      <c r="A59" s="51"/>
      <c r="B59" s="182"/>
      <c r="C59" s="182"/>
      <c r="D59" s="182"/>
    </row>
    <row r="60" spans="1:4" ht="15.75">
      <c r="A60" s="610" t="s">
        <v>208</v>
      </c>
      <c r="B60" s="610"/>
      <c r="C60" s="610"/>
      <c r="D60" s="610"/>
    </row>
    <row r="61" spans="1:4" ht="15.75">
      <c r="A61" s="51"/>
      <c r="B61" s="182"/>
      <c r="C61" s="182"/>
      <c r="D61" s="182"/>
    </row>
    <row r="62" spans="1:4" ht="15.75">
      <c r="A62" s="182" t="str">
        <f>inputPrYr!C2</f>
        <v>MITCHELL COUNTY</v>
      </c>
      <c r="B62" s="182"/>
      <c r="C62" s="50"/>
      <c r="D62" s="279">
        <f>D1</f>
        <v>2014</v>
      </c>
    </row>
    <row r="63" spans="1:4" ht="15.75">
      <c r="A63" s="51"/>
      <c r="B63" s="182"/>
      <c r="C63" s="182"/>
      <c r="D63" s="50"/>
    </row>
    <row r="64" spans="1:4" ht="15.75">
      <c r="A64" s="267" t="s">
        <v>153</v>
      </c>
      <c r="B64" s="280"/>
      <c r="C64" s="280"/>
      <c r="D64" s="280"/>
    </row>
    <row r="65" spans="1:4" ht="15.75">
      <c r="A65" s="51" t="s">
        <v>75</v>
      </c>
      <c r="B65" s="276" t="str">
        <f aca="true" t="shared" si="0" ref="B65:D66">B4</f>
        <v>Prior Year </v>
      </c>
      <c r="C65" s="178" t="str">
        <f t="shared" si="0"/>
        <v>Current Year </v>
      </c>
      <c r="D65" s="178" t="str">
        <f t="shared" si="0"/>
        <v>Proposed Budget </v>
      </c>
    </row>
    <row r="66" spans="1:4" ht="15.75">
      <c r="A66" s="80" t="s">
        <v>92</v>
      </c>
      <c r="B66" s="269" t="str">
        <f t="shared" si="0"/>
        <v>Actual for 2012</v>
      </c>
      <c r="C66" s="269" t="str">
        <f t="shared" si="0"/>
        <v>Estimate for 2013</v>
      </c>
      <c r="D66" s="269" t="str">
        <f t="shared" si="0"/>
        <v>Year for 2014</v>
      </c>
    </row>
    <row r="67" spans="1:4" ht="15.75">
      <c r="A67" s="255" t="s">
        <v>88</v>
      </c>
      <c r="B67" s="93"/>
      <c r="C67" s="93"/>
      <c r="D67" s="93"/>
    </row>
    <row r="68" spans="1:4" ht="15.75">
      <c r="A68" s="277" t="s">
        <v>379</v>
      </c>
      <c r="B68" s="93"/>
      <c r="C68" s="93"/>
      <c r="D68" s="93"/>
    </row>
    <row r="69" spans="1:4" ht="15.75">
      <c r="A69" s="76" t="s">
        <v>93</v>
      </c>
      <c r="B69" s="260">
        <v>62692</v>
      </c>
      <c r="C69" s="260">
        <v>64591</v>
      </c>
      <c r="D69" s="260">
        <v>66205</v>
      </c>
    </row>
    <row r="70" spans="1:4" ht="15.75">
      <c r="A70" s="76" t="s">
        <v>94</v>
      </c>
      <c r="B70" s="260">
        <v>132270</v>
      </c>
      <c r="C70" s="260">
        <v>165400</v>
      </c>
      <c r="D70" s="260">
        <v>165400</v>
      </c>
    </row>
    <row r="71" spans="1:4" ht="15.75">
      <c r="A71" s="76" t="s">
        <v>95</v>
      </c>
      <c r="B71" s="260">
        <v>26920</v>
      </c>
      <c r="C71" s="260">
        <v>27000</v>
      </c>
      <c r="D71" s="260">
        <v>30000</v>
      </c>
    </row>
    <row r="72" spans="1:4" ht="15.75">
      <c r="A72" s="76" t="s">
        <v>96</v>
      </c>
      <c r="B72" s="260">
        <v>69250</v>
      </c>
      <c r="C72" s="260">
        <v>57000</v>
      </c>
      <c r="D72" s="260">
        <v>60000</v>
      </c>
    </row>
    <row r="73" spans="1:4" ht="15.75">
      <c r="A73" s="76" t="s">
        <v>380</v>
      </c>
      <c r="B73" s="260">
        <v>3500</v>
      </c>
      <c r="C73" s="260">
        <v>3290</v>
      </c>
      <c r="D73" s="260">
        <v>3500</v>
      </c>
    </row>
    <row r="74" spans="1:4" ht="15.75">
      <c r="A74" s="76" t="s">
        <v>381</v>
      </c>
      <c r="B74" s="260">
        <v>7949</v>
      </c>
      <c r="C74" s="260">
        <v>15000</v>
      </c>
      <c r="D74" s="260">
        <v>0</v>
      </c>
    </row>
    <row r="75" spans="1:4" ht="15.75">
      <c r="A75" s="247" t="s">
        <v>376</v>
      </c>
      <c r="B75" s="260">
        <v>42728</v>
      </c>
      <c r="C75" s="260">
        <v>47006</v>
      </c>
      <c r="D75" s="260">
        <v>55323</v>
      </c>
    </row>
    <row r="76" spans="1:4" ht="15.75">
      <c r="A76" s="76" t="s">
        <v>434</v>
      </c>
      <c r="B76" s="260">
        <v>50000</v>
      </c>
      <c r="C76" s="260"/>
      <c r="D76" s="260"/>
    </row>
    <row r="77" spans="1:4" ht="15.75">
      <c r="A77" s="281" t="s">
        <v>47</v>
      </c>
      <c r="B77" s="278">
        <f>SUM(B69:B76)</f>
        <v>395309</v>
      </c>
      <c r="C77" s="278">
        <f>SUM(C69:C76)</f>
        <v>379287</v>
      </c>
      <c r="D77" s="278">
        <f>SUM(D69:D76)</f>
        <v>380428</v>
      </c>
    </row>
    <row r="78" spans="1:4" ht="15.75">
      <c r="A78" s="277" t="s">
        <v>383</v>
      </c>
      <c r="B78" s="93"/>
      <c r="C78" s="93"/>
      <c r="D78" s="93"/>
    </row>
    <row r="79" spans="1:4" ht="15.75">
      <c r="A79" s="76" t="s">
        <v>93</v>
      </c>
      <c r="B79" s="260">
        <v>167775</v>
      </c>
      <c r="C79" s="260">
        <v>170187</v>
      </c>
      <c r="D79" s="260">
        <v>178939</v>
      </c>
    </row>
    <row r="80" spans="1:4" ht="15.75">
      <c r="A80" s="76" t="s">
        <v>94</v>
      </c>
      <c r="B80" s="260">
        <v>33253</v>
      </c>
      <c r="C80" s="260">
        <v>39231</v>
      </c>
      <c r="D80" s="260">
        <v>39231</v>
      </c>
    </row>
    <row r="81" spans="1:4" ht="15.75">
      <c r="A81" s="76" t="s">
        <v>95</v>
      </c>
      <c r="B81" s="260">
        <v>10674</v>
      </c>
      <c r="C81" s="260">
        <v>9300</v>
      </c>
      <c r="D81" s="260">
        <v>7200</v>
      </c>
    </row>
    <row r="82" spans="1:4" ht="15.75">
      <c r="A82" s="76" t="s">
        <v>96</v>
      </c>
      <c r="B82" s="260">
        <v>28003</v>
      </c>
      <c r="C82" s="260">
        <v>11200</v>
      </c>
      <c r="D82" s="260">
        <v>14200</v>
      </c>
    </row>
    <row r="83" spans="1:4" ht="15.75">
      <c r="A83" s="247" t="s">
        <v>376</v>
      </c>
      <c r="B83" s="260">
        <v>84607</v>
      </c>
      <c r="C83" s="260">
        <v>93675</v>
      </c>
      <c r="D83" s="260">
        <v>95948</v>
      </c>
    </row>
    <row r="84" spans="1:4" ht="15.75">
      <c r="A84" s="247" t="s">
        <v>382</v>
      </c>
      <c r="B84" s="260">
        <v>-1789</v>
      </c>
      <c r="C84" s="260">
        <v>-1500</v>
      </c>
      <c r="D84" s="260">
        <v>-1000</v>
      </c>
    </row>
    <row r="85" spans="1:4" ht="15.75">
      <c r="A85" s="255" t="s">
        <v>47</v>
      </c>
      <c r="B85" s="272">
        <f>SUM(B79:B84)</f>
        <v>322523</v>
      </c>
      <c r="C85" s="272">
        <f>SUM(C79:C84)</f>
        <v>322093</v>
      </c>
      <c r="D85" s="272">
        <f>SUM(D79:D84)</f>
        <v>334518</v>
      </c>
    </row>
    <row r="86" spans="1:4" ht="15.75">
      <c r="A86" s="277" t="s">
        <v>384</v>
      </c>
      <c r="B86" s="93"/>
      <c r="C86" s="93"/>
      <c r="D86" s="93"/>
    </row>
    <row r="87" spans="1:4" ht="15.75">
      <c r="A87" s="76" t="s">
        <v>93</v>
      </c>
      <c r="B87" s="260">
        <v>37109</v>
      </c>
      <c r="C87" s="260">
        <v>39878</v>
      </c>
      <c r="D87" s="260">
        <v>40794</v>
      </c>
    </row>
    <row r="88" spans="1:4" ht="15.75">
      <c r="A88" s="76" t="s">
        <v>94</v>
      </c>
      <c r="B88" s="260">
        <v>3463</v>
      </c>
      <c r="C88" s="260">
        <v>13300</v>
      </c>
      <c r="D88" s="260">
        <v>13800</v>
      </c>
    </row>
    <row r="89" spans="1:4" ht="15.75">
      <c r="A89" s="76" t="s">
        <v>95</v>
      </c>
      <c r="B89" s="260">
        <v>7200</v>
      </c>
      <c r="C89" s="260">
        <v>3000</v>
      </c>
      <c r="D89" s="260">
        <v>2500</v>
      </c>
    </row>
    <row r="90" spans="1:4" ht="15.75">
      <c r="A90" s="76" t="s">
        <v>96</v>
      </c>
      <c r="B90" s="260">
        <v>666</v>
      </c>
      <c r="C90" s="260">
        <v>2000</v>
      </c>
      <c r="D90" s="260">
        <v>9500</v>
      </c>
    </row>
    <row r="91" spans="1:4" ht="15.75">
      <c r="A91" s="247" t="s">
        <v>376</v>
      </c>
      <c r="B91" s="260">
        <v>25433</v>
      </c>
      <c r="C91" s="260">
        <v>28155</v>
      </c>
      <c r="D91" s="260">
        <v>29652</v>
      </c>
    </row>
    <row r="92" spans="1:4" ht="15.75">
      <c r="A92" s="76" t="s">
        <v>382</v>
      </c>
      <c r="B92" s="260">
        <v>-74</v>
      </c>
      <c r="C92" s="260"/>
      <c r="D92" s="260"/>
    </row>
    <row r="93" spans="1:4" ht="15.75">
      <c r="A93" s="255" t="s">
        <v>47</v>
      </c>
      <c r="B93" s="272">
        <f>SUM(B87:B92)</f>
        <v>73797</v>
      </c>
      <c r="C93" s="272">
        <f>SUM(C87:C92)</f>
        <v>86333</v>
      </c>
      <c r="D93" s="272">
        <f>SUM(D87:D92)</f>
        <v>96246</v>
      </c>
    </row>
    <row r="94" spans="1:4" ht="15.75">
      <c r="A94" s="277" t="s">
        <v>37</v>
      </c>
      <c r="B94" s="93"/>
      <c r="C94" s="93"/>
      <c r="D94" s="93"/>
    </row>
    <row r="95" spans="1:4" ht="15.75">
      <c r="A95" s="247" t="s">
        <v>435</v>
      </c>
      <c r="B95" s="260">
        <v>0</v>
      </c>
      <c r="C95" s="260">
        <v>0</v>
      </c>
      <c r="D95" s="260"/>
    </row>
    <row r="96" spans="1:4" ht="15.75">
      <c r="A96" s="255" t="s">
        <v>47</v>
      </c>
      <c r="B96" s="272">
        <f>SUM(B95:B95)</f>
        <v>0</v>
      </c>
      <c r="C96" s="272">
        <f>SUM(C95:C95)</f>
        <v>0</v>
      </c>
      <c r="D96" s="272">
        <f>SUM(D95:D95)</f>
        <v>0</v>
      </c>
    </row>
    <row r="97" spans="1:4" ht="15.75">
      <c r="A97" s="277" t="s">
        <v>385</v>
      </c>
      <c r="B97" s="93"/>
      <c r="C97" s="93"/>
      <c r="D97" s="93"/>
    </row>
    <row r="98" spans="1:4" ht="15.75">
      <c r="A98" s="76" t="s">
        <v>386</v>
      </c>
      <c r="B98" s="260">
        <v>0</v>
      </c>
      <c r="C98" s="260">
        <v>0</v>
      </c>
      <c r="D98" s="260"/>
    </row>
    <row r="99" spans="1:4" ht="15.75">
      <c r="A99" s="255" t="s">
        <v>47</v>
      </c>
      <c r="B99" s="272">
        <f>SUM(B98:B98)</f>
        <v>0</v>
      </c>
      <c r="C99" s="272">
        <f>SUM(C98:C98)</f>
        <v>0</v>
      </c>
      <c r="D99" s="272">
        <f>SUM(D98:D98)</f>
        <v>0</v>
      </c>
    </row>
    <row r="100" spans="1:4" ht="15.75">
      <c r="A100" s="277" t="s">
        <v>74</v>
      </c>
      <c r="B100" s="93"/>
      <c r="C100" s="93"/>
      <c r="D100" s="93"/>
    </row>
    <row r="101" spans="1:4" ht="15.75">
      <c r="A101" s="76" t="s">
        <v>94</v>
      </c>
      <c r="B101" s="260">
        <v>11687</v>
      </c>
      <c r="C101" s="260">
        <v>10000</v>
      </c>
      <c r="D101" s="260">
        <v>10000</v>
      </c>
    </row>
    <row r="102" spans="1:4" ht="15.75">
      <c r="A102" s="255" t="s">
        <v>47</v>
      </c>
      <c r="B102" s="272">
        <f>SUM(B101:B101)</f>
        <v>11687</v>
      </c>
      <c r="C102" s="272">
        <f>SUM(C101:C101)</f>
        <v>10000</v>
      </c>
      <c r="D102" s="272">
        <f>SUM(D101:D101)</f>
        <v>10000</v>
      </c>
    </row>
    <row r="103" spans="1:4" ht="15.75">
      <c r="A103" s="277" t="s">
        <v>387</v>
      </c>
      <c r="B103" s="93"/>
      <c r="C103" s="93"/>
      <c r="D103" s="93"/>
    </row>
    <row r="104" spans="1:4" ht="15.75">
      <c r="A104" s="76" t="s">
        <v>386</v>
      </c>
      <c r="B104" s="260">
        <v>10000</v>
      </c>
      <c r="C104" s="260">
        <v>10000</v>
      </c>
      <c r="D104" s="260">
        <v>12000</v>
      </c>
    </row>
    <row r="105" spans="1:4" ht="15.75">
      <c r="A105" s="255" t="s">
        <v>47</v>
      </c>
      <c r="B105" s="272">
        <f>SUM(B104:B104)</f>
        <v>10000</v>
      </c>
      <c r="C105" s="272">
        <f>SUM(C104:C104)</f>
        <v>10000</v>
      </c>
      <c r="D105" s="272">
        <f>SUM(D104:D104)</f>
        <v>12000</v>
      </c>
    </row>
    <row r="106" spans="1:4" ht="15.75">
      <c r="A106" s="277" t="s">
        <v>388</v>
      </c>
      <c r="B106" s="93"/>
      <c r="C106" s="93"/>
      <c r="D106" s="93"/>
    </row>
    <row r="107" spans="1:4" ht="15.75">
      <c r="A107" s="76" t="s">
        <v>386</v>
      </c>
      <c r="B107" s="260">
        <v>5162</v>
      </c>
      <c r="C107" s="260">
        <v>5144</v>
      </c>
      <c r="D107" s="260">
        <v>5144</v>
      </c>
    </row>
    <row r="108" spans="1:4" ht="15.75">
      <c r="A108" s="255" t="s">
        <v>47</v>
      </c>
      <c r="B108" s="272">
        <f>SUM(B107:B107)</f>
        <v>5162</v>
      </c>
      <c r="C108" s="272">
        <f>SUM(C107:C107)</f>
        <v>5144</v>
      </c>
      <c r="D108" s="272">
        <f>SUM(D107:D107)</f>
        <v>5144</v>
      </c>
    </row>
    <row r="109" spans="1:4" ht="15.75">
      <c r="A109" s="51"/>
      <c r="B109" s="93"/>
      <c r="C109" s="93"/>
      <c r="D109" s="93"/>
    </row>
    <row r="110" spans="1:4" ht="15.75">
      <c r="A110" s="255" t="s">
        <v>226</v>
      </c>
      <c r="B110" s="266">
        <f>B77+B85+B93+B96+B99+B102+B105+B108</f>
        <v>818478</v>
      </c>
      <c r="C110" s="266">
        <f>C77+C85+C93+C96+C99+C102+C105+C108</f>
        <v>812857</v>
      </c>
      <c r="D110" s="266">
        <f>D77+D85+D93+D96+D99+D102+D105+D108</f>
        <v>838336</v>
      </c>
    </row>
    <row r="111" spans="1:4" ht="15.75">
      <c r="A111" s="51"/>
      <c r="B111" s="182"/>
      <c r="C111" s="182"/>
      <c r="D111" s="182"/>
    </row>
    <row r="112" spans="1:4" ht="15.75">
      <c r="A112" s="610" t="s">
        <v>209</v>
      </c>
      <c r="B112" s="610"/>
      <c r="C112" s="610"/>
      <c r="D112" s="610"/>
    </row>
    <row r="113" spans="1:4" ht="15.75">
      <c r="A113" s="182" t="str">
        <f>inputPrYr!C2</f>
        <v>MITCHELL COUNTY</v>
      </c>
      <c r="B113" s="182"/>
      <c r="C113" s="50"/>
      <c r="D113" s="279">
        <f>D1</f>
        <v>2014</v>
      </c>
    </row>
    <row r="114" spans="1:4" ht="15.75">
      <c r="A114" s="51"/>
      <c r="B114" s="182"/>
      <c r="C114" s="182"/>
      <c r="D114" s="50"/>
    </row>
    <row r="115" spans="1:4" ht="15.75">
      <c r="A115" s="267" t="s">
        <v>153</v>
      </c>
      <c r="B115" s="280"/>
      <c r="C115" s="280"/>
      <c r="D115" s="280"/>
    </row>
    <row r="116" spans="1:4" ht="15.75">
      <c r="A116" s="51" t="s">
        <v>75</v>
      </c>
      <c r="B116" s="276" t="str">
        <f aca="true" t="shared" si="1" ref="B116:D117">B4</f>
        <v>Prior Year </v>
      </c>
      <c r="C116" s="178" t="str">
        <f t="shared" si="1"/>
        <v>Current Year </v>
      </c>
      <c r="D116" s="178" t="str">
        <f t="shared" si="1"/>
        <v>Proposed Budget </v>
      </c>
    </row>
    <row r="117" spans="1:4" ht="15.75">
      <c r="A117" s="80" t="s">
        <v>92</v>
      </c>
      <c r="B117" s="269" t="str">
        <f t="shared" si="1"/>
        <v>Actual for 2012</v>
      </c>
      <c r="C117" s="269" t="str">
        <f t="shared" si="1"/>
        <v>Estimate for 2013</v>
      </c>
      <c r="D117" s="269" t="str">
        <f t="shared" si="1"/>
        <v>Year for 2014</v>
      </c>
    </row>
    <row r="118" spans="1:4" ht="15.75">
      <c r="A118" s="255" t="s">
        <v>88</v>
      </c>
      <c r="B118" s="93"/>
      <c r="C118" s="93"/>
      <c r="D118" s="93"/>
    </row>
    <row r="119" spans="1:4" ht="15.75">
      <c r="A119" s="277" t="s">
        <v>102</v>
      </c>
      <c r="B119" s="93"/>
      <c r="C119" s="93"/>
      <c r="D119" s="93"/>
    </row>
    <row r="120" spans="1:4" ht="15.75">
      <c r="A120" s="76" t="s">
        <v>386</v>
      </c>
      <c r="B120" s="260">
        <v>27241</v>
      </c>
      <c r="C120" s="260">
        <v>27241</v>
      </c>
      <c r="D120" s="260">
        <v>27241</v>
      </c>
    </row>
    <row r="121" spans="1:4" ht="15.75">
      <c r="A121" s="255" t="s">
        <v>47</v>
      </c>
      <c r="B121" s="272">
        <f>SUM(B120:B120)</f>
        <v>27241</v>
      </c>
      <c r="C121" s="272">
        <f>SUM(C120:C120)</f>
        <v>27241</v>
      </c>
      <c r="D121" s="272">
        <f>SUM(D120:D120)</f>
        <v>27241</v>
      </c>
    </row>
    <row r="122" spans="1:4" ht="15.75">
      <c r="A122" s="277" t="s">
        <v>389</v>
      </c>
      <c r="B122" s="93"/>
      <c r="C122" s="93"/>
      <c r="D122" s="93"/>
    </row>
    <row r="123" spans="1:4" ht="15.75">
      <c r="A123" s="76" t="s">
        <v>390</v>
      </c>
      <c r="B123" s="260">
        <v>120000</v>
      </c>
      <c r="C123" s="260">
        <v>120000</v>
      </c>
      <c r="D123" s="260">
        <v>120000</v>
      </c>
    </row>
    <row r="124" spans="1:4" ht="15.75">
      <c r="A124" s="255" t="s">
        <v>47</v>
      </c>
      <c r="B124" s="272">
        <f>SUM(B123:B123)</f>
        <v>120000</v>
      </c>
      <c r="C124" s="272">
        <f>SUM(C123:C123)</f>
        <v>120000</v>
      </c>
      <c r="D124" s="272">
        <f>SUM(D123:D123)</f>
        <v>120000</v>
      </c>
    </row>
    <row r="125" spans="1:4" ht="15.75">
      <c r="A125" s="277" t="s">
        <v>391</v>
      </c>
      <c r="B125" s="93"/>
      <c r="C125" s="93"/>
      <c r="D125" s="93"/>
    </row>
    <row r="126" spans="1:4" ht="15.75">
      <c r="A126" s="277" t="s">
        <v>392</v>
      </c>
      <c r="B126" s="260">
        <v>110140</v>
      </c>
      <c r="C126" s="260">
        <v>110140</v>
      </c>
      <c r="D126" s="260">
        <v>110140</v>
      </c>
    </row>
    <row r="127" spans="1:4" ht="15.75">
      <c r="A127" s="255" t="s">
        <v>47</v>
      </c>
      <c r="B127" s="272">
        <f>SUM(B126:B126)</f>
        <v>110140</v>
      </c>
      <c r="C127" s="272">
        <f>SUM(C126:C126)</f>
        <v>110140</v>
      </c>
      <c r="D127" s="272">
        <f>SUM(D126:D126)</f>
        <v>110140</v>
      </c>
    </row>
    <row r="128" spans="1:4" ht="15.75">
      <c r="A128" s="277" t="s">
        <v>393</v>
      </c>
      <c r="B128" s="93"/>
      <c r="C128" s="93"/>
      <c r="D128" s="93"/>
    </row>
    <row r="129" spans="1:4" ht="15.75">
      <c r="A129" s="277" t="s">
        <v>394</v>
      </c>
      <c r="B129" s="260">
        <v>4000</v>
      </c>
      <c r="C129" s="260"/>
      <c r="D129" s="260"/>
    </row>
    <row r="130" spans="1:4" ht="15.75">
      <c r="A130" s="255" t="s">
        <v>47</v>
      </c>
      <c r="B130" s="272">
        <f>SUM(B129:B129)</f>
        <v>4000</v>
      </c>
      <c r="C130" s="272">
        <f>SUM(C129:C129)</f>
        <v>0</v>
      </c>
      <c r="D130" s="272">
        <f>SUM(D129:D129)</f>
        <v>0</v>
      </c>
    </row>
    <row r="131" spans="1:4" ht="15.75">
      <c r="A131" s="277" t="s">
        <v>436</v>
      </c>
      <c r="B131" s="93"/>
      <c r="C131" s="93"/>
      <c r="D131" s="93"/>
    </row>
    <row r="132" spans="1:4" ht="15.75">
      <c r="A132" s="76" t="s">
        <v>437</v>
      </c>
      <c r="B132" s="260">
        <v>36939</v>
      </c>
      <c r="C132" s="260">
        <v>0</v>
      </c>
      <c r="D132" s="260">
        <v>0</v>
      </c>
    </row>
    <row r="133" spans="1:4" ht="15.75">
      <c r="A133" s="76" t="s">
        <v>382</v>
      </c>
      <c r="B133" s="260">
        <v>-21916</v>
      </c>
      <c r="C133" s="260">
        <v>0</v>
      </c>
      <c r="D133" s="260">
        <v>0</v>
      </c>
    </row>
    <row r="134" spans="1:4" ht="15.75">
      <c r="A134" s="76"/>
      <c r="B134" s="260"/>
      <c r="C134" s="260"/>
      <c r="D134" s="260"/>
    </row>
    <row r="135" spans="1:4" ht="15.75">
      <c r="A135" s="76"/>
      <c r="B135" s="260"/>
      <c r="C135" s="260"/>
      <c r="D135" s="260"/>
    </row>
    <row r="136" spans="1:4" ht="15.75">
      <c r="A136" s="255" t="s">
        <v>47</v>
      </c>
      <c r="B136" s="272">
        <f>SUM(B132:B135)</f>
        <v>15023</v>
      </c>
      <c r="C136" s="272">
        <f>SUM(C132:C135)</f>
        <v>0</v>
      </c>
      <c r="D136" s="272">
        <f>SUM(D132:D135)</f>
        <v>0</v>
      </c>
    </row>
    <row r="137" spans="1:4" ht="15.75">
      <c r="A137" s="277" t="s">
        <v>454</v>
      </c>
      <c r="B137" s="93"/>
      <c r="C137" s="93"/>
      <c r="D137" s="93"/>
    </row>
    <row r="138" spans="1:4" ht="15.75">
      <c r="A138" s="76" t="s">
        <v>93</v>
      </c>
      <c r="B138" s="260"/>
      <c r="C138" s="260"/>
      <c r="D138" s="260">
        <v>35875</v>
      </c>
    </row>
    <row r="139" spans="1:4" ht="15.75">
      <c r="A139" s="76" t="s">
        <v>94</v>
      </c>
      <c r="B139" s="260"/>
      <c r="C139" s="260"/>
      <c r="D139" s="260">
        <v>0</v>
      </c>
    </row>
    <row r="140" spans="1:4" ht="15.75">
      <c r="A140" s="76" t="s">
        <v>95</v>
      </c>
      <c r="B140" s="260"/>
      <c r="C140" s="260"/>
      <c r="D140" s="260">
        <v>0</v>
      </c>
    </row>
    <row r="141" spans="1:4" ht="15.75">
      <c r="A141" s="76" t="s">
        <v>96</v>
      </c>
      <c r="B141" s="260"/>
      <c r="C141" s="260"/>
      <c r="D141" s="260">
        <v>4000</v>
      </c>
    </row>
    <row r="142" spans="1:4" ht="15.75">
      <c r="A142" s="247" t="s">
        <v>376</v>
      </c>
      <c r="B142" s="260"/>
      <c r="C142" s="260"/>
      <c r="D142" s="260">
        <v>27430</v>
      </c>
    </row>
    <row r="143" spans="1:4" ht="15.75">
      <c r="A143" s="255" t="s">
        <v>47</v>
      </c>
      <c r="B143" s="272">
        <f>SUM(B138:B142)</f>
        <v>0</v>
      </c>
      <c r="C143" s="272">
        <f>SUM(C138:C142)</f>
        <v>0</v>
      </c>
      <c r="D143" s="272">
        <f>SUM(D138:D142)</f>
        <v>67305</v>
      </c>
    </row>
    <row r="144" spans="1:4" ht="15.75">
      <c r="A144" s="255"/>
      <c r="B144" s="93"/>
      <c r="C144" s="93"/>
      <c r="D144" s="93"/>
    </row>
    <row r="145" spans="1:4" ht="15.75">
      <c r="A145" s="255" t="s">
        <v>227</v>
      </c>
      <c r="B145" s="266">
        <f>B121+B124+B127+B130+B136+B143</f>
        <v>276404</v>
      </c>
      <c r="C145" s="266">
        <f>C121+C124+C127+C130+C136+C143</f>
        <v>257381</v>
      </c>
      <c r="D145" s="266">
        <f>D121+D124+D127+D130+D136+D143</f>
        <v>324686</v>
      </c>
    </row>
    <row r="146" spans="1:4" ht="15.75">
      <c r="A146" s="255"/>
      <c r="B146" s="266"/>
      <c r="C146" s="266"/>
      <c r="D146" s="266"/>
    </row>
    <row r="147" spans="1:4" ht="15.75">
      <c r="A147" s="255" t="s">
        <v>228</v>
      </c>
      <c r="B147" s="272">
        <f>B58</f>
        <v>2201056</v>
      </c>
      <c r="C147" s="272">
        <f>C58</f>
        <v>2330949</v>
      </c>
      <c r="D147" s="272">
        <f>D58</f>
        <v>2703744</v>
      </c>
    </row>
    <row r="148" spans="1:4" ht="15.75">
      <c r="A148" s="51"/>
      <c r="B148" s="93"/>
      <c r="C148" s="93"/>
      <c r="D148" s="93"/>
    </row>
    <row r="149" spans="1:4" ht="15.75">
      <c r="A149" s="255" t="s">
        <v>229</v>
      </c>
      <c r="B149" s="272">
        <f>B110</f>
        <v>818478</v>
      </c>
      <c r="C149" s="272">
        <f>C110</f>
        <v>812857</v>
      </c>
      <c r="D149" s="272">
        <f>D110</f>
        <v>838336</v>
      </c>
    </row>
    <row r="150" spans="1:4" ht="15.75">
      <c r="A150" s="51"/>
      <c r="B150" s="93"/>
      <c r="C150" s="93"/>
      <c r="D150" s="93"/>
    </row>
    <row r="151" spans="1:4" ht="16.5" thickBot="1">
      <c r="A151" s="216" t="s">
        <v>24</v>
      </c>
      <c r="B151" s="282">
        <f>SUM(B145:B150)</f>
        <v>3295938</v>
      </c>
      <c r="C151" s="282">
        <f>SUM(C145:C150)</f>
        <v>3401187</v>
      </c>
      <c r="D151" s="282">
        <f>SUM(D145:D150)</f>
        <v>3866766</v>
      </c>
    </row>
    <row r="152" spans="1:4" ht="16.5" thickTop="1">
      <c r="A152" s="283" t="s">
        <v>25</v>
      </c>
      <c r="B152" s="284"/>
      <c r="C152" s="284"/>
      <c r="D152" s="284"/>
    </row>
    <row r="153" spans="1:4" ht="15.75">
      <c r="A153" s="610" t="s">
        <v>210</v>
      </c>
      <c r="B153" s="610"/>
      <c r="C153" s="610"/>
      <c r="D153" s="610"/>
    </row>
    <row r="154" spans="2:4" ht="15.75">
      <c r="B154" s="285"/>
      <c r="C154" s="285"/>
      <c r="D154" s="285"/>
    </row>
    <row r="155" spans="2:4" ht="15.75">
      <c r="B155" s="285"/>
      <c r="C155" s="285"/>
      <c r="D155" s="285"/>
    </row>
    <row r="156" spans="2:4" ht="15.75">
      <c r="B156" s="285"/>
      <c r="C156" s="285"/>
      <c r="D156" s="285"/>
    </row>
    <row r="157" spans="2:4" ht="15.75">
      <c r="B157" s="285"/>
      <c r="C157" s="285"/>
      <c r="D157" s="285"/>
    </row>
    <row r="158" spans="2:4" ht="15.75">
      <c r="B158" s="285"/>
      <c r="C158" s="285"/>
      <c r="D158" s="285"/>
    </row>
    <row r="159" spans="2:4" ht="15.75">
      <c r="B159" s="285"/>
      <c r="C159" s="285"/>
      <c r="D159" s="285"/>
    </row>
    <row r="160" spans="2:4" ht="15.75">
      <c r="B160" s="285"/>
      <c r="C160" s="285"/>
      <c r="D160" s="285"/>
    </row>
    <row r="161" spans="2:4" ht="15.75">
      <c r="B161" s="285"/>
      <c r="C161" s="285"/>
      <c r="D161" s="285"/>
    </row>
    <row r="162" spans="2:4" ht="15.75">
      <c r="B162" s="285"/>
      <c r="C162" s="285"/>
      <c r="D162" s="285"/>
    </row>
    <row r="163" spans="2:4" ht="15.75">
      <c r="B163" s="285"/>
      <c r="C163" s="285"/>
      <c r="D163" s="285"/>
    </row>
    <row r="164" spans="2:4" ht="15.75">
      <c r="B164" s="285"/>
      <c r="C164" s="285"/>
      <c r="D164" s="285"/>
    </row>
    <row r="165" spans="2:4" ht="15.75">
      <c r="B165" s="285"/>
      <c r="C165" s="285"/>
      <c r="D165" s="285"/>
    </row>
    <row r="166" spans="2:4" ht="15.75">
      <c r="B166" s="285"/>
      <c r="C166" s="285"/>
      <c r="D166" s="285"/>
    </row>
    <row r="167" spans="2:4" ht="15.75">
      <c r="B167" s="285"/>
      <c r="C167" s="285"/>
      <c r="D167" s="285"/>
    </row>
    <row r="168" spans="2:4" ht="15.75">
      <c r="B168" s="285"/>
      <c r="C168" s="285"/>
      <c r="D168" s="285"/>
    </row>
    <row r="169" spans="2:4" ht="15.75">
      <c r="B169" s="285"/>
      <c r="C169" s="285"/>
      <c r="D169" s="285"/>
    </row>
    <row r="170" spans="2:4" ht="15.75">
      <c r="B170" s="285"/>
      <c r="C170" s="285"/>
      <c r="D170" s="285"/>
    </row>
    <row r="171" spans="2:4" ht="15.75">
      <c r="B171" s="285"/>
      <c r="C171" s="285"/>
      <c r="D171" s="285"/>
    </row>
    <row r="172" spans="2:4" ht="15.75">
      <c r="B172" s="285"/>
      <c r="C172" s="285"/>
      <c r="D172" s="285"/>
    </row>
    <row r="173" spans="2:4" ht="15.75">
      <c r="B173" s="285"/>
      <c r="C173" s="285"/>
      <c r="D173" s="285"/>
    </row>
    <row r="174" spans="2:4" ht="15.75">
      <c r="B174" s="285"/>
      <c r="C174" s="285"/>
      <c r="D174" s="285"/>
    </row>
    <row r="175" spans="2:4" ht="15.75">
      <c r="B175" s="285"/>
      <c r="C175" s="285"/>
      <c r="D175" s="285"/>
    </row>
    <row r="176" spans="2:4" ht="15.75">
      <c r="B176" s="285"/>
      <c r="C176" s="285"/>
      <c r="D176" s="285"/>
    </row>
    <row r="177" spans="2:4" ht="15.75">
      <c r="B177" s="285"/>
      <c r="C177" s="285"/>
      <c r="D177" s="285"/>
    </row>
    <row r="178" spans="2:4" ht="15.75">
      <c r="B178" s="285"/>
      <c r="C178" s="285"/>
      <c r="D178" s="285"/>
    </row>
    <row r="179" spans="2:4" ht="15.75">
      <c r="B179" s="285"/>
      <c r="C179" s="285"/>
      <c r="D179" s="285"/>
    </row>
    <row r="180" spans="2:4" ht="15.75">
      <c r="B180" s="285"/>
      <c r="C180" s="285"/>
      <c r="D180" s="285"/>
    </row>
    <row r="181" spans="2:4" ht="15.75">
      <c r="B181" s="285"/>
      <c r="C181" s="285"/>
      <c r="D181" s="285"/>
    </row>
    <row r="182" spans="2:4" ht="15.75">
      <c r="B182" s="285"/>
      <c r="C182" s="285"/>
      <c r="D182" s="285"/>
    </row>
    <row r="183" spans="2:4" ht="15.75">
      <c r="B183" s="285"/>
      <c r="C183" s="285"/>
      <c r="D183" s="285"/>
    </row>
    <row r="184" spans="2:4" ht="15.75">
      <c r="B184" s="285"/>
      <c r="C184" s="285"/>
      <c r="D184" s="285"/>
    </row>
    <row r="185" spans="2:4" ht="15.75">
      <c r="B185" s="285"/>
      <c r="C185" s="285"/>
      <c r="D185" s="285"/>
    </row>
    <row r="186" spans="2:4" ht="15.75">
      <c r="B186" s="285"/>
      <c r="C186" s="285"/>
      <c r="D186" s="285"/>
    </row>
    <row r="187" spans="2:4" ht="15.75">
      <c r="B187" s="285"/>
      <c r="C187" s="285"/>
      <c r="D187" s="285"/>
    </row>
    <row r="188" spans="2:4" ht="15.75">
      <c r="B188" s="285"/>
      <c r="C188" s="285"/>
      <c r="D188" s="285"/>
    </row>
    <row r="189" spans="2:4" ht="15.75">
      <c r="B189" s="285"/>
      <c r="C189" s="285"/>
      <c r="D189" s="285"/>
    </row>
    <row r="190" spans="2:4" ht="15.75">
      <c r="B190" s="285"/>
      <c r="C190" s="285"/>
      <c r="D190" s="285"/>
    </row>
    <row r="191" spans="2:4" ht="15.75">
      <c r="B191" s="285"/>
      <c r="C191" s="285"/>
      <c r="D191" s="285"/>
    </row>
    <row r="192" spans="2:4" ht="15.75">
      <c r="B192" s="285"/>
      <c r="C192" s="285"/>
      <c r="D192" s="285"/>
    </row>
    <row r="193" spans="2:4" ht="15.75">
      <c r="B193" s="285"/>
      <c r="C193" s="285"/>
      <c r="D193" s="285"/>
    </row>
    <row r="194" spans="2:4" ht="15.75">
      <c r="B194" s="285"/>
      <c r="C194" s="285"/>
      <c r="D194" s="285"/>
    </row>
    <row r="195" spans="2:4" ht="15.75">
      <c r="B195" s="285"/>
      <c r="C195" s="285"/>
      <c r="D195" s="285"/>
    </row>
    <row r="196" spans="2:4" ht="15.75">
      <c r="B196" s="285"/>
      <c r="C196" s="285"/>
      <c r="D196" s="285"/>
    </row>
    <row r="197" spans="2:4" ht="15.75">
      <c r="B197" s="285"/>
      <c r="C197" s="285"/>
      <c r="D197" s="285"/>
    </row>
    <row r="198" spans="2:4" ht="15.75">
      <c r="B198" s="285"/>
      <c r="C198" s="285"/>
      <c r="D198" s="285"/>
    </row>
    <row r="199" spans="2:4" ht="15.75">
      <c r="B199" s="285"/>
      <c r="C199" s="285"/>
      <c r="D199" s="285"/>
    </row>
    <row r="200" spans="2:4" ht="15.75">
      <c r="B200" s="285"/>
      <c r="C200" s="285"/>
      <c r="D200" s="285"/>
    </row>
    <row r="201" spans="2:4" ht="15.75">
      <c r="B201" s="285"/>
      <c r="C201" s="285"/>
      <c r="D201" s="285"/>
    </row>
    <row r="202" spans="2:4" ht="15.75">
      <c r="B202" s="285"/>
      <c r="C202" s="285"/>
      <c r="D202" s="285"/>
    </row>
    <row r="203" spans="2:4" ht="15.75">
      <c r="B203" s="285"/>
      <c r="C203" s="285"/>
      <c r="D203" s="285"/>
    </row>
    <row r="204" spans="2:4" ht="15.75">
      <c r="B204" s="285"/>
      <c r="C204" s="285"/>
      <c r="D204" s="285"/>
    </row>
    <row r="205" spans="2:4" ht="15.75">
      <c r="B205" s="285"/>
      <c r="C205" s="285"/>
      <c r="D205" s="285"/>
    </row>
    <row r="206" spans="2:4" ht="15.75">
      <c r="B206" s="285"/>
      <c r="C206" s="285"/>
      <c r="D206" s="285"/>
    </row>
    <row r="207" spans="2:4" ht="15.75">
      <c r="B207" s="285"/>
      <c r="C207" s="285"/>
      <c r="D207" s="285"/>
    </row>
    <row r="208" spans="2:4" ht="15.75">
      <c r="B208" s="285"/>
      <c r="C208" s="285"/>
      <c r="D208" s="285"/>
    </row>
    <row r="209" spans="2:4" ht="15.75">
      <c r="B209" s="285"/>
      <c r="C209" s="285"/>
      <c r="D209" s="285"/>
    </row>
    <row r="210" spans="2:4" ht="15.75">
      <c r="B210" s="285"/>
      <c r="C210" s="285"/>
      <c r="D210" s="285"/>
    </row>
    <row r="211" spans="2:4" ht="15.75">
      <c r="B211" s="285"/>
      <c r="C211" s="285"/>
      <c r="D211" s="285"/>
    </row>
    <row r="212" spans="2:4" ht="15.75">
      <c r="B212" s="285"/>
      <c r="C212" s="285"/>
      <c r="D212" s="285"/>
    </row>
    <row r="213" spans="2:4" ht="15.75">
      <c r="B213" s="285"/>
      <c r="C213" s="285"/>
      <c r="D213" s="285"/>
    </row>
    <row r="214" spans="2:4" ht="15.75">
      <c r="B214" s="285"/>
      <c r="C214" s="285"/>
      <c r="D214" s="285"/>
    </row>
    <row r="215" spans="2:4" ht="15.75">
      <c r="B215" s="285"/>
      <c r="C215" s="285"/>
      <c r="D215" s="285"/>
    </row>
    <row r="216" spans="2:4" ht="15.75">
      <c r="B216" s="285"/>
      <c r="C216" s="285"/>
      <c r="D216" s="285"/>
    </row>
    <row r="217" spans="2:4" ht="15.75">
      <c r="B217" s="285"/>
      <c r="C217" s="285"/>
      <c r="D217" s="285"/>
    </row>
    <row r="218" spans="2:4" ht="15.75">
      <c r="B218" s="285"/>
      <c r="C218" s="285"/>
      <c r="D218" s="285"/>
    </row>
    <row r="219" spans="2:4" ht="15.75">
      <c r="B219" s="285"/>
      <c r="C219" s="285"/>
      <c r="D219" s="285"/>
    </row>
    <row r="220" spans="2:4" ht="15.75">
      <c r="B220" s="285"/>
      <c r="C220" s="285"/>
      <c r="D220" s="285"/>
    </row>
    <row r="221" spans="2:4" ht="15.75">
      <c r="B221" s="285"/>
      <c r="C221" s="285"/>
      <c r="D221" s="285"/>
    </row>
    <row r="222" spans="2:4" ht="15.75">
      <c r="B222" s="285"/>
      <c r="C222" s="285"/>
      <c r="D222" s="285"/>
    </row>
    <row r="223" spans="2:4" ht="15.75">
      <c r="B223" s="285"/>
      <c r="C223" s="285"/>
      <c r="D223" s="285"/>
    </row>
    <row r="224" spans="2:4" ht="15.75">
      <c r="B224" s="285"/>
      <c r="C224" s="285"/>
      <c r="D224" s="285"/>
    </row>
    <row r="225" spans="2:4" ht="15.75">
      <c r="B225" s="285"/>
      <c r="C225" s="285"/>
      <c r="D225" s="285"/>
    </row>
    <row r="226" spans="2:4" ht="15.75">
      <c r="B226" s="285"/>
      <c r="C226" s="285"/>
      <c r="D226" s="285"/>
    </row>
    <row r="227" spans="2:4" ht="15.75">
      <c r="B227" s="285"/>
      <c r="C227" s="285"/>
      <c r="D227" s="285"/>
    </row>
    <row r="228" spans="2:4" ht="15.75">
      <c r="B228" s="285"/>
      <c r="C228" s="285"/>
      <c r="D228" s="285"/>
    </row>
    <row r="229" spans="2:4" ht="15.75">
      <c r="B229" s="285"/>
      <c r="C229" s="285"/>
      <c r="D229" s="285"/>
    </row>
    <row r="230" spans="2:4" ht="15.75">
      <c r="B230" s="285"/>
      <c r="C230" s="285"/>
      <c r="D230" s="285"/>
    </row>
    <row r="231" spans="2:4" ht="15.75">
      <c r="B231" s="285"/>
      <c r="C231" s="285"/>
      <c r="D231" s="285"/>
    </row>
    <row r="232" spans="2:4" ht="15.75">
      <c r="B232" s="285"/>
      <c r="C232" s="285"/>
      <c r="D232" s="285"/>
    </row>
    <row r="233" spans="2:4" ht="15.75">
      <c r="B233" s="285"/>
      <c r="C233" s="285"/>
      <c r="D233" s="285"/>
    </row>
    <row r="234" spans="2:4" ht="15.75">
      <c r="B234" s="285"/>
      <c r="C234" s="285"/>
      <c r="D234" s="285"/>
    </row>
    <row r="235" spans="2:4" ht="15.75">
      <c r="B235" s="285"/>
      <c r="C235" s="285"/>
      <c r="D235" s="285"/>
    </row>
    <row r="236" spans="2:4" ht="15.75">
      <c r="B236" s="285"/>
      <c r="C236" s="285"/>
      <c r="D236" s="285"/>
    </row>
    <row r="237" spans="2:4" ht="15.75">
      <c r="B237" s="285"/>
      <c r="C237" s="285"/>
      <c r="D237" s="285"/>
    </row>
    <row r="238" spans="2:4" ht="15.75">
      <c r="B238" s="285"/>
      <c r="C238" s="285"/>
      <c r="D238" s="285"/>
    </row>
    <row r="239" spans="2:4" ht="15.75">
      <c r="B239" s="285"/>
      <c r="C239" s="285"/>
      <c r="D239" s="285"/>
    </row>
    <row r="240" spans="2:4" ht="15.75">
      <c r="B240" s="285"/>
      <c r="C240" s="285"/>
      <c r="D240" s="285"/>
    </row>
    <row r="241" spans="2:4" ht="15.75">
      <c r="B241" s="285"/>
      <c r="C241" s="285"/>
      <c r="D241" s="285"/>
    </row>
    <row r="242" spans="2:4" ht="15.75">
      <c r="B242" s="285"/>
      <c r="C242" s="285"/>
      <c r="D242" s="285"/>
    </row>
    <row r="243" spans="2:4" ht="15.75">
      <c r="B243" s="285"/>
      <c r="C243" s="285"/>
      <c r="D243" s="285"/>
    </row>
    <row r="244" spans="2:4" ht="15.75">
      <c r="B244" s="285"/>
      <c r="C244" s="285"/>
      <c r="D244" s="285"/>
    </row>
    <row r="245" spans="2:4" ht="15.75">
      <c r="B245" s="285"/>
      <c r="C245" s="285"/>
      <c r="D245" s="285"/>
    </row>
    <row r="246" spans="2:4" ht="15.75">
      <c r="B246" s="285"/>
      <c r="C246" s="285"/>
      <c r="D246" s="285"/>
    </row>
    <row r="247" spans="2:4" ht="15.75">
      <c r="B247" s="285"/>
      <c r="C247" s="285"/>
      <c r="D247" s="285"/>
    </row>
    <row r="248" spans="2:4" ht="15.75">
      <c r="B248" s="285"/>
      <c r="C248" s="285"/>
      <c r="D248" s="285"/>
    </row>
    <row r="249" spans="2:4" ht="15.75">
      <c r="B249" s="285"/>
      <c r="C249" s="285"/>
      <c r="D249" s="285"/>
    </row>
    <row r="250" spans="2:4" ht="15.75">
      <c r="B250" s="285"/>
      <c r="C250" s="285"/>
      <c r="D250" s="285"/>
    </row>
    <row r="251" spans="2:4" ht="15.75">
      <c r="B251" s="285"/>
      <c r="C251" s="285"/>
      <c r="D251" s="285"/>
    </row>
    <row r="252" spans="2:4" ht="15.75">
      <c r="B252" s="285"/>
      <c r="C252" s="285"/>
      <c r="D252" s="285"/>
    </row>
    <row r="253" spans="2:4" ht="15.75">
      <c r="B253" s="285"/>
      <c r="C253" s="285"/>
      <c r="D253" s="285"/>
    </row>
    <row r="254" spans="2:4" ht="15.75">
      <c r="B254" s="285"/>
      <c r="C254" s="285"/>
      <c r="D254" s="285"/>
    </row>
    <row r="255" spans="2:4" ht="15.75">
      <c r="B255" s="285"/>
      <c r="C255" s="285"/>
      <c r="D255" s="285"/>
    </row>
    <row r="256" spans="2:4" ht="15.75">
      <c r="B256" s="285"/>
      <c r="C256" s="285"/>
      <c r="D256" s="285"/>
    </row>
  </sheetData>
  <sheetProtection/>
  <mergeCells count="3">
    <mergeCell ref="A153:D153"/>
    <mergeCell ref="A60:D60"/>
    <mergeCell ref="A112:D112"/>
  </mergeCells>
  <printOptions/>
  <pageMargins left="1.12" right="0.5" top="0.74" bottom="0.34" header="0.5" footer="0"/>
  <pageSetup blackAndWhite="1" horizontalDpi="120" verticalDpi="120" orientation="portrait" scale="71" r:id="rId1"/>
  <headerFooter alignWithMargins="0">
    <oddHeader>&amp;RState of Kansas
County
</oddHeader>
  </headerFooter>
  <rowBreaks count="2" manualBreakCount="2">
    <brk id="60" max="255" man="1"/>
    <brk id="112" max="3" man="1"/>
  </rowBreaks>
</worksheet>
</file>

<file path=xl/worksheets/sheet12.xml><?xml version="1.0" encoding="utf-8"?>
<worksheet xmlns="http://schemas.openxmlformats.org/spreadsheetml/2006/main" xmlns:r="http://schemas.openxmlformats.org/officeDocument/2006/relationships">
  <sheetPr>
    <pageSetUpPr fitToPage="1"/>
  </sheetPr>
  <dimension ref="B1:K71"/>
  <sheetViews>
    <sheetView view="pageBreakPreview" zoomScale="117" zoomScaleSheetLayoutView="117" zoomScalePageLayoutView="0" workbookViewId="0" topLeftCell="B41">
      <selection activeCell="B59" sqref="B59:C59"/>
    </sheetView>
  </sheetViews>
  <sheetFormatPr defaultColWidth="8.796875" defaultRowHeight="15"/>
  <cols>
    <col min="1" max="1" width="2.3984375" style="109" customWidth="1"/>
    <col min="2" max="2" width="31.09765625" style="109" customWidth="1"/>
    <col min="3" max="4" width="16.19921875" style="109" customWidth="1"/>
    <col min="5" max="5" width="16.296875" style="109" customWidth="1"/>
    <col min="6" max="6" width="7.3984375" style="109" customWidth="1"/>
    <col min="7" max="7" width="10.19921875" style="109" customWidth="1"/>
    <col min="8" max="8" width="8.8984375" style="109" customWidth="1"/>
    <col min="9" max="9" width="5" style="109" customWidth="1"/>
    <col min="10" max="10" width="10" style="109" customWidth="1"/>
    <col min="11" max="16384" width="8.8984375" style="109" customWidth="1"/>
  </cols>
  <sheetData>
    <row r="1" spans="2:5" ht="15.75">
      <c r="B1" s="182" t="str">
        <f>inputPrYr!C2</f>
        <v>MITCHELL COUNTY</v>
      </c>
      <c r="C1" s="51"/>
      <c r="D1" s="51"/>
      <c r="E1" s="208">
        <f>inputPrYr!$C$4</f>
        <v>2014</v>
      </c>
    </row>
    <row r="2" spans="2:5" ht="15.75">
      <c r="B2" s="51"/>
      <c r="C2" s="51"/>
      <c r="D2" s="51"/>
      <c r="E2" s="194"/>
    </row>
    <row r="3" spans="2:5" ht="15.75">
      <c r="B3" s="118" t="s">
        <v>155</v>
      </c>
      <c r="C3" s="286"/>
      <c r="D3" s="286"/>
      <c r="E3" s="287"/>
    </row>
    <row r="4" spans="2:5" ht="15.75">
      <c r="B4" s="51"/>
      <c r="C4" s="280"/>
      <c r="D4" s="280"/>
      <c r="E4" s="280"/>
    </row>
    <row r="5" spans="2:5" ht="15.75">
      <c r="B5" s="50" t="s">
        <v>75</v>
      </c>
      <c r="C5" s="511" t="s">
        <v>317</v>
      </c>
      <c r="D5" s="512" t="s">
        <v>318</v>
      </c>
      <c r="E5" s="178" t="s">
        <v>319</v>
      </c>
    </row>
    <row r="6" spans="2:5" ht="15.75">
      <c r="B6" s="393" t="str">
        <f>inputPrYr!B17</f>
        <v>Debt Service</v>
      </c>
      <c r="C6" s="366" t="str">
        <f>CONCATENATE("Actual for ",E1-2,"")</f>
        <v>Actual for 2012</v>
      </c>
      <c r="D6" s="366" t="str">
        <f>CONCATENATE("Estimate for ",E1-1,"")</f>
        <v>Estimate for 2013</v>
      </c>
      <c r="E6" s="256" t="str">
        <f>CONCATENATE("Year for ",E1,"")</f>
        <v>Year for 2014</v>
      </c>
    </row>
    <row r="7" spans="2:5" ht="15.75">
      <c r="B7" s="114" t="s">
        <v>197</v>
      </c>
      <c r="C7" s="370"/>
      <c r="D7" s="372">
        <f>C51</f>
        <v>0</v>
      </c>
      <c r="E7" s="288">
        <f>D51</f>
        <v>0</v>
      </c>
    </row>
    <row r="8" spans="2:5" ht="15.75">
      <c r="B8" s="289" t="s">
        <v>199</v>
      </c>
      <c r="C8" s="371"/>
      <c r="D8" s="372"/>
      <c r="E8" s="288"/>
    </row>
    <row r="9" spans="2:5" ht="15.75">
      <c r="B9" s="114" t="s">
        <v>76</v>
      </c>
      <c r="C9" s="363"/>
      <c r="D9" s="369">
        <f>IF(inputPrYr!H17&gt;0,inputPrYr!H17,inputPrYr!E17)</f>
        <v>0</v>
      </c>
      <c r="E9" s="290" t="s">
        <v>62</v>
      </c>
    </row>
    <row r="10" spans="2:5" ht="15.75">
      <c r="B10" s="114" t="s">
        <v>77</v>
      </c>
      <c r="C10" s="363"/>
      <c r="D10" s="363"/>
      <c r="E10" s="291"/>
    </row>
    <row r="11" spans="2:5" ht="15.75">
      <c r="B11" s="114" t="s">
        <v>78</v>
      </c>
      <c r="C11" s="363"/>
      <c r="D11" s="363"/>
      <c r="E11" s="292" t="str">
        <f>mvalloc!E8</f>
        <v> </v>
      </c>
    </row>
    <row r="12" spans="2:5" ht="15.75">
      <c r="B12" s="114" t="s">
        <v>79</v>
      </c>
      <c r="C12" s="363"/>
      <c r="D12" s="363"/>
      <c r="E12" s="292" t="str">
        <f>mvalloc!F8</f>
        <v> </v>
      </c>
    </row>
    <row r="13" spans="2:5" ht="15.75">
      <c r="B13" s="293" t="s">
        <v>179</v>
      </c>
      <c r="C13" s="363"/>
      <c r="D13" s="363"/>
      <c r="E13" s="292" t="str">
        <f>mvalloc!G8</f>
        <v> </v>
      </c>
    </row>
    <row r="14" spans="2:5" ht="15.75">
      <c r="B14" s="294"/>
      <c r="C14" s="363"/>
      <c r="D14" s="363"/>
      <c r="E14" s="295"/>
    </row>
    <row r="15" spans="2:5" ht="15.75">
      <c r="B15" s="294"/>
      <c r="C15" s="363"/>
      <c r="D15" s="363"/>
      <c r="E15" s="291"/>
    </row>
    <row r="16" spans="2:5" ht="15.75">
      <c r="B16" s="294"/>
      <c r="C16" s="363"/>
      <c r="D16" s="363"/>
      <c r="E16" s="291"/>
    </row>
    <row r="17" spans="2:5" ht="15.75">
      <c r="B17" s="294"/>
      <c r="C17" s="363"/>
      <c r="D17" s="363"/>
      <c r="E17" s="291"/>
    </row>
    <row r="18" spans="2:5" ht="15.75">
      <c r="B18" s="294"/>
      <c r="C18" s="363"/>
      <c r="D18" s="363"/>
      <c r="E18" s="291"/>
    </row>
    <row r="19" spans="2:5" ht="15.75">
      <c r="B19" s="294"/>
      <c r="C19" s="363"/>
      <c r="D19" s="363"/>
      <c r="E19" s="291"/>
    </row>
    <row r="20" spans="2:5" ht="15.75">
      <c r="B20" s="294"/>
      <c r="C20" s="363"/>
      <c r="D20" s="363"/>
      <c r="E20" s="291"/>
    </row>
    <row r="21" spans="2:5" ht="15.75">
      <c r="B21" s="294"/>
      <c r="C21" s="363"/>
      <c r="D21" s="363"/>
      <c r="E21" s="291"/>
    </row>
    <row r="22" spans="2:5" ht="15.75">
      <c r="B22" s="294" t="s">
        <v>240</v>
      </c>
      <c r="C22" s="363"/>
      <c r="D22" s="363"/>
      <c r="E22" s="291"/>
    </row>
    <row r="23" spans="2:5" ht="15.75">
      <c r="B23" s="296" t="s">
        <v>83</v>
      </c>
      <c r="C23" s="363"/>
      <c r="D23" s="363"/>
      <c r="E23" s="291"/>
    </row>
    <row r="24" spans="2:5" ht="15.75">
      <c r="B24" s="263" t="s">
        <v>37</v>
      </c>
      <c r="C24" s="363"/>
      <c r="D24" s="363"/>
      <c r="E24" s="291"/>
    </row>
    <row r="25" spans="2:5" ht="15.75">
      <c r="B25" s="263" t="s">
        <v>38</v>
      </c>
      <c r="C25" s="364">
        <f>IF(C26*0.1&lt;C24,"Exceed 10% Rule","")</f>
      </c>
      <c r="D25" s="364">
        <f>IF(D26*0.1&lt;D24,"Exceed 10% Rule","")</f>
      </c>
      <c r="E25" s="297">
        <f>IF(E26*0.1+E57&lt;E24,"Exceed 10% Rule","")</f>
      </c>
    </row>
    <row r="26" spans="2:5" ht="15.75">
      <c r="B26" s="265" t="s">
        <v>84</v>
      </c>
      <c r="C26" s="373">
        <f>SUM(C9:C24)</f>
        <v>0</v>
      </c>
      <c r="D26" s="374">
        <f>SUM(D9:D24)</f>
        <v>0</v>
      </c>
      <c r="E26" s="298">
        <f>SUM(E9:E24)</f>
        <v>0</v>
      </c>
    </row>
    <row r="27" spans="2:5" ht="15.75">
      <c r="B27" s="265" t="s">
        <v>85</v>
      </c>
      <c r="C27" s="374">
        <f>C7+C26</f>
        <v>0</v>
      </c>
      <c r="D27" s="374">
        <f>D7+D26</f>
        <v>0</v>
      </c>
      <c r="E27" s="299">
        <f>E7+E26</f>
        <v>0</v>
      </c>
    </row>
    <row r="28" spans="2:5" ht="15.75">
      <c r="B28" s="289" t="s">
        <v>88</v>
      </c>
      <c r="C28" s="371"/>
      <c r="D28" s="371"/>
      <c r="E28" s="292"/>
    </row>
    <row r="29" spans="2:5" ht="15.75">
      <c r="B29" s="271"/>
      <c r="C29" s="363"/>
      <c r="D29" s="363"/>
      <c r="E29" s="291"/>
    </row>
    <row r="30" spans="2:5" ht="15.75">
      <c r="B30" s="271"/>
      <c r="C30" s="363"/>
      <c r="D30" s="363"/>
      <c r="E30" s="291"/>
    </row>
    <row r="31" spans="2:5" ht="15.75">
      <c r="B31" s="271"/>
      <c r="C31" s="363"/>
      <c r="D31" s="363"/>
      <c r="E31" s="291"/>
    </row>
    <row r="32" spans="2:5" ht="15.75">
      <c r="B32" s="271"/>
      <c r="C32" s="363"/>
      <c r="D32" s="363"/>
      <c r="E32" s="291"/>
    </row>
    <row r="33" spans="2:5" ht="15.75">
      <c r="B33" s="271"/>
      <c r="C33" s="363"/>
      <c r="D33" s="363"/>
      <c r="E33" s="291"/>
    </row>
    <row r="34" spans="2:5" ht="15.75">
      <c r="B34" s="271"/>
      <c r="C34" s="363"/>
      <c r="D34" s="363"/>
      <c r="E34" s="291"/>
    </row>
    <row r="35" spans="2:5" ht="15.75">
      <c r="B35" s="271"/>
      <c r="C35" s="363"/>
      <c r="D35" s="363"/>
      <c r="E35" s="291"/>
    </row>
    <row r="36" spans="2:5" ht="15.75">
      <c r="B36" s="271"/>
      <c r="C36" s="363"/>
      <c r="D36" s="363"/>
      <c r="E36" s="291"/>
    </row>
    <row r="37" spans="2:5" ht="15.75">
      <c r="B37" s="271"/>
      <c r="C37" s="363"/>
      <c r="D37" s="363"/>
      <c r="E37" s="291"/>
    </row>
    <row r="38" spans="2:5" ht="15.75">
      <c r="B38" s="271"/>
      <c r="C38" s="363"/>
      <c r="D38" s="363"/>
      <c r="E38" s="291"/>
    </row>
    <row r="39" spans="2:5" ht="15.75">
      <c r="B39" s="271"/>
      <c r="C39" s="363"/>
      <c r="D39" s="363"/>
      <c r="E39" s="291"/>
    </row>
    <row r="40" spans="2:5" ht="15.75">
      <c r="B40" s="271"/>
      <c r="C40" s="363"/>
      <c r="D40" s="363"/>
      <c r="E40" s="291"/>
    </row>
    <row r="41" spans="2:5" ht="15.75">
      <c r="B41" s="271"/>
      <c r="C41" s="363"/>
      <c r="D41" s="363"/>
      <c r="E41" s="291"/>
    </row>
    <row r="42" spans="2:10" ht="15.75">
      <c r="B42" s="271"/>
      <c r="C42" s="363"/>
      <c r="D42" s="363"/>
      <c r="E42" s="291"/>
      <c r="G42" s="604" t="str">
        <f>CONCATENATE("Desired Carryover Into ",E1+1,"")</f>
        <v>Desired Carryover Into 2015</v>
      </c>
      <c r="H42" s="605"/>
      <c r="I42" s="605"/>
      <c r="J42" s="606"/>
    </row>
    <row r="43" spans="2:10" ht="15.75">
      <c r="B43" s="271"/>
      <c r="C43" s="363"/>
      <c r="D43" s="363"/>
      <c r="E43" s="291"/>
      <c r="G43" s="459"/>
      <c r="H43" s="460"/>
      <c r="I43" s="461"/>
      <c r="J43" s="462"/>
    </row>
    <row r="44" spans="2:10" ht="15.75">
      <c r="B44" s="271"/>
      <c r="C44" s="363"/>
      <c r="D44" s="363"/>
      <c r="E44" s="291"/>
      <c r="G44" s="463" t="s">
        <v>287</v>
      </c>
      <c r="H44" s="461"/>
      <c r="I44" s="461"/>
      <c r="J44" s="464">
        <v>0</v>
      </c>
    </row>
    <row r="45" spans="2:10" ht="15.75">
      <c r="B45" s="271"/>
      <c r="C45" s="363"/>
      <c r="D45" s="363"/>
      <c r="E45" s="291"/>
      <c r="G45" s="459" t="s">
        <v>288</v>
      </c>
      <c r="H45" s="460"/>
      <c r="I45" s="460"/>
      <c r="J45" s="465">
        <f>IF(J44=0,"",ROUND((J44+E57-G57)/inputOth!E6*1000,3)-G62)</f>
      </c>
    </row>
    <row r="46" spans="2:10" ht="15.75">
      <c r="B46" s="271"/>
      <c r="C46" s="363"/>
      <c r="D46" s="363"/>
      <c r="E46" s="291"/>
      <c r="G46" s="466" t="str">
        <f>CONCATENATE("",E1," Tot Exp/Non-Appr Must Be:")</f>
        <v>2014 Tot Exp/Non-Appr Must Be:</v>
      </c>
      <c r="H46" s="467"/>
      <c r="I46" s="468"/>
      <c r="J46" s="469">
        <f>IF(J44&gt;0,IF(E54&lt;E27,IF(J44=G57,E54,((J44-G57)*(1-D56))+E27),E54+(J44-G57)),0)</f>
        <v>0</v>
      </c>
    </row>
    <row r="47" spans="2:10" ht="15.75">
      <c r="B47" s="263" t="s">
        <v>39</v>
      </c>
      <c r="C47" s="363"/>
      <c r="D47" s="363"/>
      <c r="E47" s="272"/>
      <c r="G47" s="470" t="s">
        <v>315</v>
      </c>
      <c r="H47" s="471"/>
      <c r="I47" s="471"/>
      <c r="J47" s="472">
        <f>IF(J44&gt;0,J46-E54,0)</f>
        <v>0</v>
      </c>
    </row>
    <row r="48" spans="2:5" ht="15.75">
      <c r="B48" s="263" t="s">
        <v>37</v>
      </c>
      <c r="C48" s="363"/>
      <c r="D48" s="363"/>
      <c r="E48" s="291"/>
    </row>
    <row r="49" spans="2:10" ht="15.75">
      <c r="B49" s="263" t="s">
        <v>40</v>
      </c>
      <c r="C49" s="364">
        <f>IF(C50*0.1&lt;C48,"Exceed 10% Rule","")</f>
      </c>
      <c r="D49" s="364">
        <f>IF(D50*0.1&lt;D48,"Exceed 10% Rule","")</f>
      </c>
      <c r="E49" s="297">
        <f>IF(E50*0.1&lt;E48,"Exceed 10% Rule","")</f>
      </c>
      <c r="G49" s="598" t="str">
        <f>CONCATENATE("Projected Carryover Into ",E1+1,"")</f>
        <v>Projected Carryover Into 2015</v>
      </c>
      <c r="H49" s="605"/>
      <c r="I49" s="605"/>
      <c r="J49" s="606"/>
    </row>
    <row r="50" spans="2:10" ht="15.75">
      <c r="B50" s="265" t="s">
        <v>89</v>
      </c>
      <c r="C50" s="373">
        <f>SUM(C29:C48)</f>
        <v>0</v>
      </c>
      <c r="D50" s="374">
        <f>SUM(D29:D48)</f>
        <v>0</v>
      </c>
      <c r="E50" s="298">
        <f>SUM(E29:E48)</f>
        <v>0</v>
      </c>
      <c r="G50" s="383"/>
      <c r="H50" s="399"/>
      <c r="I50" s="399"/>
      <c r="J50" s="473"/>
    </row>
    <row r="51" spans="2:10" ht="15.75">
      <c r="B51" s="114" t="s">
        <v>198</v>
      </c>
      <c r="C51" s="375">
        <f>C27-C50</f>
        <v>0</v>
      </c>
      <c r="D51" s="375">
        <f>D27-D50</f>
        <v>0</v>
      </c>
      <c r="E51" s="290" t="s">
        <v>62</v>
      </c>
      <c r="G51" s="403">
        <f>D51</f>
        <v>0</v>
      </c>
      <c r="H51" s="401" t="str">
        <f>CONCATENATE("",E1-1," Ending Cash Balance (est.)")</f>
        <v>2013 Ending Cash Balance (est.)</v>
      </c>
      <c r="I51" s="400"/>
      <c r="J51" s="474"/>
    </row>
    <row r="52" spans="2:10" ht="15.75">
      <c r="B52" s="241" t="str">
        <f>CONCATENATE("",E$1-2,"/",E$1-1," Budget Authority Amount:")</f>
        <v>2012/2013 Budget Authority Amount:</v>
      </c>
      <c r="C52" s="233">
        <f>inputOth!B33</f>
        <v>0</v>
      </c>
      <c r="D52" s="233">
        <f>inputPrYr!D17</f>
        <v>0</v>
      </c>
      <c r="E52" s="290" t="s">
        <v>62</v>
      </c>
      <c r="F52" s="300"/>
      <c r="G52" s="403">
        <f>E26</f>
        <v>0</v>
      </c>
      <c r="H52" s="399" t="str">
        <f>CONCATENATE("",E1," Non-AV Receipts (est.)")</f>
        <v>2014 Non-AV Receipts (est.)</v>
      </c>
      <c r="I52" s="399"/>
      <c r="J52" s="473"/>
    </row>
    <row r="53" spans="2:11" ht="15.75">
      <c r="B53" s="241"/>
      <c r="C53" s="594" t="s">
        <v>284</v>
      </c>
      <c r="D53" s="595"/>
      <c r="E53" s="78"/>
      <c r="F53" s="381">
        <f>IF(E50/0.95-E50&lt;E53,"Exceeds 5%","")</f>
      </c>
      <c r="G53" s="398">
        <f>IF(E56&gt;0,E55,E57)</f>
        <v>0</v>
      </c>
      <c r="H53" s="399" t="str">
        <f>CONCATENATE("",E1," Ad Valorem Tax (est.)")</f>
        <v>2014 Ad Valorem Tax (est.)</v>
      </c>
      <c r="I53" s="399"/>
      <c r="J53" s="473"/>
      <c r="K53" s="475">
        <f>IF(G53=E57,"","Note: Does not include Delinquent Taxes")</f>
      </c>
    </row>
    <row r="54" spans="2:10" ht="15.75">
      <c r="B54" s="406" t="str">
        <f>CONCATENATE(C70,"     ",D70)</f>
        <v>     </v>
      </c>
      <c r="C54" s="596" t="s">
        <v>285</v>
      </c>
      <c r="D54" s="597"/>
      <c r="E54" s="219">
        <f>E50+E53</f>
        <v>0</v>
      </c>
      <c r="G54" s="403">
        <f>SUM(G51:G53)</f>
        <v>0</v>
      </c>
      <c r="H54" s="399" t="str">
        <f>CONCATENATE("Total ",E1," Resources Available")</f>
        <v>Total 2014 Resources Available</v>
      </c>
      <c r="I54" s="400"/>
      <c r="J54" s="474"/>
    </row>
    <row r="55" spans="2:10" ht="15.75">
      <c r="B55" s="406" t="str">
        <f>CONCATENATE(C71,"     ",D71)</f>
        <v>     </v>
      </c>
      <c r="C55" s="274"/>
      <c r="D55" s="194" t="s">
        <v>90</v>
      </c>
      <c r="E55" s="86">
        <f>IF(E54-E27&gt;0,E54-E27,0)</f>
        <v>0</v>
      </c>
      <c r="G55" s="397"/>
      <c r="H55" s="399"/>
      <c r="I55" s="399"/>
      <c r="J55" s="473"/>
    </row>
    <row r="56" spans="2:10" ht="15.75">
      <c r="B56" s="194"/>
      <c r="C56" s="404" t="s">
        <v>286</v>
      </c>
      <c r="D56" s="458">
        <f>inputOth!$E$23</f>
        <v>0.03</v>
      </c>
      <c r="E56" s="219">
        <f>ROUND(IF(D56&gt;0,(E55*D56),0),0)</f>
        <v>0</v>
      </c>
      <c r="G56" s="398">
        <f>C50</f>
        <v>0</v>
      </c>
      <c r="H56" s="399" t="str">
        <f>CONCATENATE("Less ",E1-2," Expenditures")</f>
        <v>Less 2012 Expenditures</v>
      </c>
      <c r="I56" s="399"/>
      <c r="J56" s="473"/>
    </row>
    <row r="57" spans="2:10" ht="15.75">
      <c r="B57" s="51"/>
      <c r="C57" s="602" t="str">
        <f>CONCATENATE("Amount of  ",$E$1-1," Ad Valorem Tax")</f>
        <v>Amount of  2013 Ad Valorem Tax</v>
      </c>
      <c r="D57" s="603"/>
      <c r="E57" s="301">
        <f>E55+E56</f>
        <v>0</v>
      </c>
      <c r="G57" s="508">
        <f>G54-G56</f>
        <v>0</v>
      </c>
      <c r="H57" s="382" t="str">
        <f>CONCATENATE("Projected ",E1+1," carryover (est.)")</f>
        <v>Projected 2015 carryover (est.)</v>
      </c>
      <c r="I57" s="385"/>
      <c r="J57" s="476"/>
    </row>
    <row r="58" spans="2:5" ht="15.75">
      <c r="B58" s="194"/>
      <c r="C58" s="51"/>
      <c r="D58" s="51"/>
      <c r="E58" s="51"/>
    </row>
    <row r="59" spans="2:10" ht="15.75">
      <c r="B59" s="241" t="s">
        <v>109</v>
      </c>
      <c r="C59" s="302">
        <v>8</v>
      </c>
      <c r="D59" s="51"/>
      <c r="E59" s="51"/>
      <c r="G59" s="607" t="s">
        <v>316</v>
      </c>
      <c r="H59" s="608"/>
      <c r="I59" s="608"/>
      <c r="J59" s="609"/>
    </row>
    <row r="60" spans="7:10" ht="15.75">
      <c r="G60" s="477"/>
      <c r="H60" s="478"/>
      <c r="I60" s="479"/>
      <c r="J60" s="480"/>
    </row>
    <row r="61" spans="7:10" ht="15.75">
      <c r="G61" s="481" t="str">
        <f>summ!H17</f>
        <v>  </v>
      </c>
      <c r="H61" s="478" t="str">
        <f>CONCATENATE("",E1," Fund Mill Rate")</f>
        <v>2014 Fund Mill Rate</v>
      </c>
      <c r="I61" s="479"/>
      <c r="J61" s="480"/>
    </row>
    <row r="62" spans="7:10" ht="15.75">
      <c r="G62" s="482" t="str">
        <f>summ!E17</f>
        <v>  </v>
      </c>
      <c r="H62" s="478" t="str">
        <f>CONCATENATE("",E1-1," Fund Mill Rate")</f>
        <v>2013 Fund Mill Rate</v>
      </c>
      <c r="I62" s="479"/>
      <c r="J62" s="480"/>
    </row>
    <row r="63" spans="7:10" ht="15.75">
      <c r="G63" s="483">
        <f>summ!H53</f>
        <v>96.518</v>
      </c>
      <c r="H63" s="478" t="str">
        <f>CONCATENATE("Total ",E1," Mill Rate")</f>
        <v>Total 2014 Mill Rate</v>
      </c>
      <c r="I63" s="479"/>
      <c r="J63" s="480"/>
    </row>
    <row r="64" spans="7:10" ht="15.75">
      <c r="G64" s="482">
        <f>summ!E53</f>
        <v>89.61599999999999</v>
      </c>
      <c r="H64" s="484" t="str">
        <f>CONCATENATE("Total ",E1-1," Mill Rate")</f>
        <v>Total 2013 Mill Rate</v>
      </c>
      <c r="I64" s="485"/>
      <c r="J64" s="486"/>
    </row>
    <row r="66" spans="7:9" ht="15.75">
      <c r="G66" s="531" t="s">
        <v>323</v>
      </c>
      <c r="H66" s="530"/>
      <c r="I66" s="529" t="str">
        <f>cert!E63</f>
        <v>Yes</v>
      </c>
    </row>
    <row r="70" spans="3:4" ht="15.75" hidden="1">
      <c r="C70" s="109">
        <f>IF(C50&gt;C52,"SeeTab A","")</f>
      </c>
      <c r="D70" s="109">
        <f>IF(D50&gt;D52,"See Tab C","")</f>
      </c>
    </row>
    <row r="71" spans="3:4" ht="15.75" hidden="1">
      <c r="C71" s="109">
        <f>IF(C51&lt;0,"See Tab B","")</f>
      </c>
      <c r="D71" s="109">
        <f>IF(D51&lt;0,"See Tab D","")</f>
      </c>
    </row>
  </sheetData>
  <sheetProtection/>
  <mergeCells count="6">
    <mergeCell ref="G59:J59"/>
    <mergeCell ref="C53:D53"/>
    <mergeCell ref="C54:D54"/>
    <mergeCell ref="C57:D57"/>
    <mergeCell ref="G42:J42"/>
    <mergeCell ref="G49:J49"/>
  </mergeCells>
  <conditionalFormatting sqref="E48">
    <cfRule type="cellIs" priority="2" dxfId="309" operator="greaterThan" stopIfTrue="1">
      <formula>$E$50*0.1</formula>
    </cfRule>
  </conditionalFormatting>
  <conditionalFormatting sqref="E53">
    <cfRule type="cellIs" priority="3" dxfId="309" operator="greaterThan" stopIfTrue="1">
      <formula>$E$50/0.95-$E$50</formula>
    </cfRule>
  </conditionalFormatting>
  <conditionalFormatting sqref="C51">
    <cfRule type="cellIs" priority="4" dxfId="2" operator="lessThan" stopIfTrue="1">
      <formula>0</formula>
    </cfRule>
  </conditionalFormatting>
  <conditionalFormatting sqref="C50">
    <cfRule type="cellIs" priority="5" dxfId="2" operator="greaterThan" stopIfTrue="1">
      <formula>$C$52</formula>
    </cfRule>
  </conditionalFormatting>
  <conditionalFormatting sqref="D50">
    <cfRule type="cellIs" priority="6" dxfId="2" operator="greaterThan" stopIfTrue="1">
      <formula>$D$52</formula>
    </cfRule>
  </conditionalFormatting>
  <conditionalFormatting sqref="C24">
    <cfRule type="cellIs" priority="7" dxfId="2" operator="greaterThan" stopIfTrue="1">
      <formula>$C$26*0.1</formula>
    </cfRule>
  </conditionalFormatting>
  <conditionalFormatting sqref="D24">
    <cfRule type="cellIs" priority="8" dxfId="2" operator="greaterThan" stopIfTrue="1">
      <formula>$D$26*0.1</formula>
    </cfRule>
  </conditionalFormatting>
  <conditionalFormatting sqref="E24">
    <cfRule type="cellIs" priority="9" dxfId="309" operator="greaterThan" stopIfTrue="1">
      <formula>$E$26*0.1+E57</formula>
    </cfRule>
  </conditionalFormatting>
  <conditionalFormatting sqref="C48">
    <cfRule type="cellIs" priority="10" dxfId="2" operator="greaterThan" stopIfTrue="1">
      <formula>$C$50*0.1</formula>
    </cfRule>
  </conditionalFormatting>
  <conditionalFormatting sqref="D48">
    <cfRule type="cellIs" priority="11" dxfId="2" operator="greaterThan" stopIfTrue="1">
      <formula>$D$50*0.1</formula>
    </cfRule>
  </conditionalFormatting>
  <conditionalFormatting sqref="D51">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67" r:id="rId1"/>
  <headerFooter alignWithMargins="0">
    <oddHeader>&amp;RState of Kansas
County</oddHeader>
  </headerFooter>
</worksheet>
</file>

<file path=xl/worksheets/sheet13.xml><?xml version="1.0" encoding="utf-8"?>
<worksheet xmlns="http://schemas.openxmlformats.org/spreadsheetml/2006/main" xmlns:r="http://schemas.openxmlformats.org/officeDocument/2006/relationships">
  <dimension ref="B1:K60"/>
  <sheetViews>
    <sheetView view="pageBreakPreview" zoomScale="96" zoomScaleSheetLayoutView="96" zoomScalePageLayoutView="0" workbookViewId="0" topLeftCell="A1">
      <selection activeCell="E14" sqref="E14"/>
    </sheetView>
  </sheetViews>
  <sheetFormatPr defaultColWidth="8.796875" defaultRowHeight="15"/>
  <cols>
    <col min="1" max="1" width="2.3984375" style="48" customWidth="1"/>
    <col min="2" max="2" width="31.09765625" style="48" customWidth="1"/>
    <col min="3" max="4" width="15.796875" style="48" customWidth="1"/>
    <col min="5" max="5" width="16.19921875" style="48" customWidth="1"/>
    <col min="6" max="6" width="7.3984375" style="48" customWidth="1"/>
    <col min="7" max="7" width="10.19921875" style="48" customWidth="1"/>
    <col min="8" max="8" width="8.8984375" style="48" customWidth="1"/>
    <col min="9" max="9" width="5" style="48" customWidth="1"/>
    <col min="10" max="10" width="10" style="48" customWidth="1"/>
    <col min="11" max="16384" width="8.8984375" style="48" customWidth="1"/>
  </cols>
  <sheetData>
    <row r="1" spans="2:5" ht="15.75">
      <c r="B1" s="182" t="str">
        <f>inputPrYr!C2</f>
        <v>MITCHELL COUNTY</v>
      </c>
      <c r="C1" s="51"/>
      <c r="D1" s="51"/>
      <c r="E1" s="240">
        <f>inputPrYr!C4</f>
        <v>2014</v>
      </c>
    </row>
    <row r="2" spans="2:5" ht="15.75">
      <c r="B2" s="51"/>
      <c r="C2" s="51"/>
      <c r="D2" s="51"/>
      <c r="E2" s="194"/>
    </row>
    <row r="3" spans="2:5" ht="15.75">
      <c r="B3" s="118" t="s">
        <v>155</v>
      </c>
      <c r="C3" s="51"/>
      <c r="D3" s="51"/>
      <c r="E3" s="254"/>
    </row>
    <row r="4" spans="2:5" ht="15.75">
      <c r="B4" s="255" t="s">
        <v>75</v>
      </c>
      <c r="C4" s="511" t="s">
        <v>317</v>
      </c>
      <c r="D4" s="512" t="s">
        <v>318</v>
      </c>
      <c r="E4" s="178" t="s">
        <v>319</v>
      </c>
    </row>
    <row r="5" spans="2:5" ht="15.75">
      <c r="B5" s="393" t="str">
        <f>inputPrYr!B18</f>
        <v>Road &amp; Bridge</v>
      </c>
      <c r="C5" s="366" t="str">
        <f>CONCATENATE("Actual for ",E1-2,"")</f>
        <v>Actual for 2012</v>
      </c>
      <c r="D5" s="366" t="str">
        <f>CONCATENATE("Estimate for ",E1-1,"")</f>
        <v>Estimate for 2013</v>
      </c>
      <c r="E5" s="256" t="str">
        <f>CONCATENATE("Year for ",E1,"")</f>
        <v>Year for 2014</v>
      </c>
    </row>
    <row r="6" spans="2:5" ht="15.75">
      <c r="B6" s="257" t="s">
        <v>197</v>
      </c>
      <c r="C6" s="363">
        <v>85076</v>
      </c>
      <c r="D6" s="367">
        <f>C42</f>
        <v>129567</v>
      </c>
      <c r="E6" s="219">
        <f>D42</f>
        <v>24976</v>
      </c>
    </row>
    <row r="7" spans="2:5" ht="15.75">
      <c r="B7" s="244" t="s">
        <v>199</v>
      </c>
      <c r="C7" s="259"/>
      <c r="D7" s="259"/>
      <c r="E7" s="93"/>
    </row>
    <row r="8" spans="2:5" ht="15.75">
      <c r="B8" s="257" t="s">
        <v>76</v>
      </c>
      <c r="C8" s="363">
        <v>1508339</v>
      </c>
      <c r="D8" s="367">
        <v>1428151</v>
      </c>
      <c r="E8" s="180" t="s">
        <v>62</v>
      </c>
    </row>
    <row r="9" spans="2:5" ht="15.75">
      <c r="B9" s="257" t="s">
        <v>77</v>
      </c>
      <c r="C9" s="363">
        <v>38684</v>
      </c>
      <c r="D9" s="363">
        <v>5500</v>
      </c>
      <c r="E9" s="260">
        <v>5500</v>
      </c>
    </row>
    <row r="10" spans="2:5" ht="15.75">
      <c r="B10" s="257" t="s">
        <v>78</v>
      </c>
      <c r="C10" s="363">
        <v>175116</v>
      </c>
      <c r="D10" s="363">
        <v>202764</v>
      </c>
      <c r="E10" s="93">
        <f>mvalloc!E9</f>
        <v>185491</v>
      </c>
    </row>
    <row r="11" spans="2:5" ht="15.75">
      <c r="B11" s="257" t="s">
        <v>79</v>
      </c>
      <c r="C11" s="363"/>
      <c r="D11" s="363">
        <v>2993</v>
      </c>
      <c r="E11" s="93">
        <f>mvalloc!F9</f>
        <v>2571</v>
      </c>
    </row>
    <row r="12" spans="2:5" ht="15.75">
      <c r="B12" s="259" t="s">
        <v>179</v>
      </c>
      <c r="C12" s="363"/>
      <c r="D12" s="363">
        <v>23513</v>
      </c>
      <c r="E12" s="93">
        <f>mvalloc!G9</f>
        <v>21082</v>
      </c>
    </row>
    <row r="13" spans="2:5" ht="15.75">
      <c r="B13" s="303" t="s">
        <v>7</v>
      </c>
      <c r="C13" s="363">
        <v>340596</v>
      </c>
      <c r="D13" s="363">
        <v>350874</v>
      </c>
      <c r="E13" s="113">
        <v>363583</v>
      </c>
    </row>
    <row r="14" spans="2:5" ht="15.75">
      <c r="B14" s="303" t="s">
        <v>8</v>
      </c>
      <c r="C14" s="363"/>
      <c r="D14" s="363"/>
      <c r="E14" s="113"/>
    </row>
    <row r="15" spans="2:5" ht="15.75">
      <c r="B15" s="303" t="s">
        <v>395</v>
      </c>
      <c r="C15" s="363">
        <v>60958</v>
      </c>
      <c r="D15" s="363">
        <v>60000</v>
      </c>
      <c r="E15" s="113">
        <v>60000</v>
      </c>
    </row>
    <row r="16" spans="2:5" ht="15.75">
      <c r="B16" s="304" t="s">
        <v>396</v>
      </c>
      <c r="C16" s="363">
        <v>120000</v>
      </c>
      <c r="D16" s="363">
        <v>120000</v>
      </c>
      <c r="E16" s="113">
        <v>120000</v>
      </c>
    </row>
    <row r="17" spans="2:5" ht="15.75">
      <c r="B17" s="261" t="s">
        <v>375</v>
      </c>
      <c r="C17" s="363">
        <v>151202</v>
      </c>
      <c r="D17" s="363">
        <v>55000</v>
      </c>
      <c r="E17" s="260">
        <v>55000</v>
      </c>
    </row>
    <row r="18" spans="2:5" ht="15.75">
      <c r="B18" s="261" t="s">
        <v>373</v>
      </c>
      <c r="C18" s="545">
        <v>-79189</v>
      </c>
      <c r="D18" s="545">
        <v>-105770</v>
      </c>
      <c r="E18" s="546">
        <v>-130952</v>
      </c>
    </row>
    <row r="19" spans="2:5" ht="15.75">
      <c r="B19" s="261"/>
      <c r="C19" s="363"/>
      <c r="D19" s="363"/>
      <c r="E19" s="260"/>
    </row>
    <row r="20" spans="2:5" ht="15.75">
      <c r="B20" s="261"/>
      <c r="C20" s="363"/>
      <c r="D20" s="363"/>
      <c r="E20" s="260"/>
    </row>
    <row r="21" spans="2:5" ht="15.75">
      <c r="B21" s="261"/>
      <c r="C21" s="363"/>
      <c r="D21" s="363"/>
      <c r="E21" s="260"/>
    </row>
    <row r="22" spans="2:5" ht="15.75">
      <c r="B22" s="262" t="s">
        <v>83</v>
      </c>
      <c r="C22" s="363"/>
      <c r="D22" s="363"/>
      <c r="E22" s="260"/>
    </row>
    <row r="23" spans="2:5" ht="15.75">
      <c r="B23" s="263" t="s">
        <v>37</v>
      </c>
      <c r="C23" s="363">
        <v>5624</v>
      </c>
      <c r="D23" s="363"/>
      <c r="E23" s="260"/>
    </row>
    <row r="24" spans="2:5" ht="15.75">
      <c r="B24" s="263" t="s">
        <v>282</v>
      </c>
      <c r="C24" s="364">
        <f>IF(C25*0.1&lt;C23,"Exceed 10% Rule","")</f>
      </c>
      <c r="D24" s="364">
        <f>IF(D25*0.1&lt;D23,"Exceed 10% Rule","")</f>
      </c>
      <c r="E24" s="297">
        <f>IF(E25*0.1+E48&lt;E23,"Exceed 10% Rule","")</f>
      </c>
    </row>
    <row r="25" spans="2:5" ht="15.75">
      <c r="B25" s="265" t="s">
        <v>84</v>
      </c>
      <c r="C25" s="365">
        <f>SUM(C8:C23)</f>
        <v>2321330</v>
      </c>
      <c r="D25" s="365">
        <f>SUM(D8:D23)</f>
        <v>2143025</v>
      </c>
      <c r="E25" s="305">
        <f>SUM(E9:E23)</f>
        <v>682275</v>
      </c>
    </row>
    <row r="26" spans="2:5" ht="15.75">
      <c r="B26" s="265" t="s">
        <v>85</v>
      </c>
      <c r="C26" s="365">
        <f>C6+C25</f>
        <v>2406406</v>
      </c>
      <c r="D26" s="365">
        <f>D6+D25</f>
        <v>2272592</v>
      </c>
      <c r="E26" s="305">
        <f>E6+E25</f>
        <v>707251</v>
      </c>
    </row>
    <row r="27" spans="2:5" ht="15.75">
      <c r="B27" s="307" t="s">
        <v>88</v>
      </c>
      <c r="C27" s="363"/>
      <c r="D27" s="363"/>
      <c r="E27" s="113"/>
    </row>
    <row r="28" spans="2:5" ht="15.75">
      <c r="B28" s="76" t="s">
        <v>397</v>
      </c>
      <c r="C28" s="363">
        <v>626891</v>
      </c>
      <c r="D28" s="363">
        <v>642983</v>
      </c>
      <c r="E28" s="113">
        <v>659057</v>
      </c>
    </row>
    <row r="29" spans="2:5" ht="15.75">
      <c r="B29" s="76" t="s">
        <v>398</v>
      </c>
      <c r="C29" s="363">
        <v>96947</v>
      </c>
      <c r="D29" s="363">
        <v>135000</v>
      </c>
      <c r="E29" s="113">
        <v>167000</v>
      </c>
    </row>
    <row r="30" spans="2:5" ht="15.75">
      <c r="B30" s="76" t="s">
        <v>399</v>
      </c>
      <c r="C30" s="363">
        <v>976599</v>
      </c>
      <c r="D30" s="363">
        <v>936000</v>
      </c>
      <c r="E30" s="113">
        <v>1027000</v>
      </c>
    </row>
    <row r="31" spans="2:5" ht="15.75">
      <c r="B31" s="76" t="s">
        <v>400</v>
      </c>
      <c r="C31" s="363">
        <v>27100</v>
      </c>
      <c r="D31" s="363">
        <v>95000</v>
      </c>
      <c r="E31" s="113">
        <v>125000</v>
      </c>
    </row>
    <row r="32" spans="2:5" ht="15.75">
      <c r="B32" s="247" t="s">
        <v>103</v>
      </c>
      <c r="C32" s="363">
        <v>362902</v>
      </c>
      <c r="D32" s="363">
        <v>413633</v>
      </c>
      <c r="E32" s="113">
        <v>419418</v>
      </c>
    </row>
    <row r="33" spans="2:5" ht="15.75">
      <c r="B33" s="307" t="s">
        <v>438</v>
      </c>
      <c r="C33" s="363">
        <v>56400</v>
      </c>
      <c r="D33" s="363">
        <v>0</v>
      </c>
      <c r="E33" s="113"/>
    </row>
    <row r="34" spans="2:5" ht="15.75">
      <c r="B34" s="307" t="s">
        <v>401</v>
      </c>
      <c r="C34" s="363">
        <v>130000</v>
      </c>
      <c r="D34" s="363">
        <v>25000</v>
      </c>
      <c r="E34" s="113">
        <v>25000</v>
      </c>
    </row>
    <row r="35" spans="2:10" ht="15.75">
      <c r="B35" s="307"/>
      <c r="C35" s="363"/>
      <c r="D35" s="363"/>
      <c r="E35" s="113"/>
      <c r="G35" s="463" t="s">
        <v>287</v>
      </c>
      <c r="H35" s="461"/>
      <c r="I35" s="461"/>
      <c r="J35" s="464">
        <v>0</v>
      </c>
    </row>
    <row r="36" spans="2:10" ht="15.75">
      <c r="B36" s="307"/>
      <c r="C36" s="363"/>
      <c r="D36" s="363"/>
      <c r="E36" s="113"/>
      <c r="G36" s="459" t="s">
        <v>288</v>
      </c>
      <c r="H36" s="460"/>
      <c r="I36" s="460"/>
      <c r="J36" s="465">
        <f>IF(J35=0,"",ROUND((J35+E48-G48)/inputOth!E6*1000,3)-G53)</f>
      </c>
    </row>
    <row r="37" spans="2:10" ht="15.75">
      <c r="B37" s="271"/>
      <c r="C37" s="363"/>
      <c r="D37" s="363"/>
      <c r="E37" s="260"/>
      <c r="G37" s="466" t="str">
        <f>CONCATENATE("",E1," Tot Exp/Non-Appr Must Be:")</f>
        <v>2014 Tot Exp/Non-Appr Must Be:</v>
      </c>
      <c r="H37" s="467"/>
      <c r="I37" s="468"/>
      <c r="J37" s="469">
        <f>IF(J35&gt;0,IF(E45&lt;E26,IF(J35=G48,E45,((J35-G48)*(1-D47))+E26),E45+(J35-G48)),0)</f>
        <v>0</v>
      </c>
    </row>
    <row r="38" spans="2:10" ht="15.75">
      <c r="B38" s="263" t="s">
        <v>39</v>
      </c>
      <c r="C38" s="363"/>
      <c r="D38" s="363"/>
      <c r="E38" s="272"/>
      <c r="G38" s="470" t="s">
        <v>315</v>
      </c>
      <c r="H38" s="471"/>
      <c r="I38" s="471"/>
      <c r="J38" s="472">
        <f>IF(J35&gt;0,J37-E45,0)</f>
        <v>0</v>
      </c>
    </row>
    <row r="39" spans="2:5" ht="15.75">
      <c r="B39" s="263" t="s">
        <v>37</v>
      </c>
      <c r="C39" s="363"/>
      <c r="D39" s="363"/>
      <c r="E39" s="260"/>
    </row>
    <row r="40" spans="2:10" ht="15.75">
      <c r="B40" s="263" t="s">
        <v>281</v>
      </c>
      <c r="C40" s="364">
        <f>IF(C41*0.1&lt;C39,"Exceed 10% Rule","")</f>
      </c>
      <c r="D40" s="364">
        <f>IF(D41*0.1&lt;D39,"Exceed 10% Rule","")</f>
      </c>
      <c r="E40" s="297">
        <f>IF(E41*0.1&lt;E39,"Exceed 10% Rule","")</f>
      </c>
      <c r="G40" s="598" t="str">
        <f>CONCATENATE("Projected Carryover Into ",E1+1,"")</f>
        <v>Projected Carryover Into 2015</v>
      </c>
      <c r="H40" s="599"/>
      <c r="I40" s="599"/>
      <c r="J40" s="600"/>
    </row>
    <row r="41" spans="2:10" ht="15.75">
      <c r="B41" s="265" t="s">
        <v>89</v>
      </c>
      <c r="C41" s="365">
        <f>SUM(C27:C39)</f>
        <v>2276839</v>
      </c>
      <c r="D41" s="365">
        <f>SUM(D27:D39)</f>
        <v>2247616</v>
      </c>
      <c r="E41" s="305">
        <f>SUM(E27:E39)</f>
        <v>2422475</v>
      </c>
      <c r="G41" s="416"/>
      <c r="H41" s="415"/>
      <c r="I41" s="415"/>
      <c r="J41" s="417"/>
    </row>
    <row r="42" spans="2:10" ht="15.75">
      <c r="B42" s="114" t="s">
        <v>198</v>
      </c>
      <c r="C42" s="368">
        <f>C26-C41</f>
        <v>129567</v>
      </c>
      <c r="D42" s="368">
        <f>D26-D41</f>
        <v>24976</v>
      </c>
      <c r="E42" s="180" t="s">
        <v>62</v>
      </c>
      <c r="G42" s="403">
        <f>D42</f>
        <v>24976</v>
      </c>
      <c r="H42" s="401" t="str">
        <f>CONCATENATE("",E1-1," Ending Cash Balance (est.)")</f>
        <v>2013 Ending Cash Balance (est.)</v>
      </c>
      <c r="I42" s="400"/>
      <c r="J42" s="417"/>
    </row>
    <row r="43" spans="2:10" ht="15.75">
      <c r="B43" s="241" t="str">
        <f>CONCATENATE("",E$1-2,"/",E$1-1," Budget Authority Amount:")</f>
        <v>2012/2013 Budget Authority Amount:</v>
      </c>
      <c r="C43" s="233">
        <f>inputOth!$D34</f>
        <v>2280952</v>
      </c>
      <c r="D43" s="233">
        <f>inputPrYr!D18</f>
        <v>2247616</v>
      </c>
      <c r="E43" s="180" t="s">
        <v>62</v>
      </c>
      <c r="F43" s="273"/>
      <c r="G43" s="403">
        <f>E25</f>
        <v>682275</v>
      </c>
      <c r="H43" s="399" t="str">
        <f>CONCATENATE("",E1," Non-AV Receipts (est.)")</f>
        <v>2014 Non-AV Receipts (est.)</v>
      </c>
      <c r="I43" s="400"/>
      <c r="J43" s="417"/>
    </row>
    <row r="44" spans="2:11" ht="15.75">
      <c r="B44" s="241"/>
      <c r="C44" s="594" t="s">
        <v>284</v>
      </c>
      <c r="D44" s="595"/>
      <c r="E44" s="78"/>
      <c r="F44" s="402">
        <f>IF(E41/0.95-E41&lt;E44,"Exceeds 5%","")</f>
      </c>
      <c r="G44" s="398">
        <f>IF(E47&gt;0,E46,E48)</f>
        <v>1715224</v>
      </c>
      <c r="H44" s="399" t="str">
        <f>CONCATENATE("",E1," Ad Valorem Tax (est.)")</f>
        <v>2014 Ad Valorem Tax (est.)</v>
      </c>
      <c r="I44" s="400"/>
      <c r="J44" s="417"/>
      <c r="K44" s="475" t="str">
        <f>IF(G44=E48,"","Note: Does not include Delinquent Taxes")</f>
        <v>Note: Does not include Delinquent Taxes</v>
      </c>
    </row>
    <row r="45" spans="2:10" ht="15.75">
      <c r="B45" s="406" t="str">
        <f>CONCATENATE(C59,"     ",D59)</f>
        <v>     </v>
      </c>
      <c r="C45" s="596" t="s">
        <v>285</v>
      </c>
      <c r="D45" s="597"/>
      <c r="E45" s="219">
        <f>E41+E44</f>
        <v>2422475</v>
      </c>
      <c r="G45" s="403">
        <f>SUM(G42:G44)</f>
        <v>2422475</v>
      </c>
      <c r="H45" s="399" t="str">
        <f>CONCATENATE("Total ",E1," Resources Available")</f>
        <v>Total 2014 Resources Available</v>
      </c>
      <c r="I45" s="400"/>
      <c r="J45" s="417"/>
    </row>
    <row r="46" spans="2:10" ht="15.75">
      <c r="B46" s="406" t="str">
        <f>CONCATENATE(C60,"     ",D60)</f>
        <v>     </v>
      </c>
      <c r="C46" s="274"/>
      <c r="D46" s="194" t="s">
        <v>90</v>
      </c>
      <c r="E46" s="86">
        <f>IF(E45-E26&gt;0,E45-E26,0)</f>
        <v>1715224</v>
      </c>
      <c r="G46" s="397"/>
      <c r="H46" s="399"/>
      <c r="I46" s="399"/>
      <c r="J46" s="417"/>
    </row>
    <row r="47" spans="2:10" ht="15.75">
      <c r="B47" s="241"/>
      <c r="C47" s="404" t="s">
        <v>286</v>
      </c>
      <c r="D47" s="458">
        <f>inputOth!$E$23</f>
        <v>0.03</v>
      </c>
      <c r="E47" s="219">
        <f>IF(D47&gt;0,(E46*D47),0)</f>
        <v>51456.72</v>
      </c>
      <c r="G47" s="398">
        <f>C41*0.05+C41</f>
        <v>2390680.95</v>
      </c>
      <c r="H47" s="399" t="str">
        <f>CONCATENATE("Less ",E1-2," Expenditures + 5%")</f>
        <v>Less 2012 Expenditures + 5%</v>
      </c>
      <c r="I47" s="400"/>
      <c r="J47" s="417"/>
    </row>
    <row r="48" spans="2:10" ht="15.75">
      <c r="B48" s="51"/>
      <c r="C48" s="602" t="str">
        <f>CONCATENATE("Amount of  ",$E$1-1," Ad Valorem Tax")</f>
        <v>Amount of  2013 Ad Valorem Tax</v>
      </c>
      <c r="D48" s="603"/>
      <c r="E48" s="301">
        <f>E46+E47</f>
        <v>1766680.72</v>
      </c>
      <c r="G48" s="396">
        <f>G45-G47</f>
        <v>31794.049999999814</v>
      </c>
      <c r="H48" s="395" t="str">
        <f>CONCATENATE("Projected ",E1," Carryover (est.)")</f>
        <v>Projected 2014 Carryover (est.)</v>
      </c>
      <c r="I48" s="385"/>
      <c r="J48" s="384"/>
    </row>
    <row r="49" spans="2:5" ht="15.75">
      <c r="B49" s="51"/>
      <c r="C49" s="51"/>
      <c r="D49" s="51"/>
      <c r="E49" s="51"/>
    </row>
    <row r="50" spans="2:10" ht="15.75">
      <c r="B50" s="241" t="s">
        <v>109</v>
      </c>
      <c r="C50" s="302">
        <v>9</v>
      </c>
      <c r="D50" s="306"/>
      <c r="E50" s="306"/>
      <c r="G50" s="607" t="s">
        <v>316</v>
      </c>
      <c r="H50" s="608"/>
      <c r="I50" s="608"/>
      <c r="J50" s="609"/>
    </row>
    <row r="51" spans="7:10" ht="15.75">
      <c r="G51" s="477"/>
      <c r="H51" s="478"/>
      <c r="I51" s="479"/>
      <c r="J51" s="480"/>
    </row>
    <row r="52" spans="7:10" ht="15.75">
      <c r="G52" s="481">
        <f>summ!H18</f>
        <v>26.051</v>
      </c>
      <c r="H52" s="478" t="str">
        <f>CONCATENATE("",E1," Fund Mill Rate")</f>
        <v>2014 Fund Mill Rate</v>
      </c>
      <c r="I52" s="479"/>
      <c r="J52" s="480"/>
    </row>
    <row r="53" spans="7:10" ht="15.75">
      <c r="G53" s="482">
        <f>summ!E18</f>
        <v>23.336</v>
      </c>
      <c r="H53" s="478" t="str">
        <f>CONCATENATE("",E1-1," Fund Mill Rate")</f>
        <v>2013 Fund Mill Rate</v>
      </c>
      <c r="I53" s="479"/>
      <c r="J53" s="480"/>
    </row>
    <row r="54" spans="7:10" ht="15.75">
      <c r="G54" s="483">
        <f>summ!H53</f>
        <v>96.518</v>
      </c>
      <c r="H54" s="478" t="str">
        <f>CONCATENATE("Total ",E1," Mill Rate")</f>
        <v>Total 2014 Mill Rate</v>
      </c>
      <c r="I54" s="479"/>
      <c r="J54" s="480"/>
    </row>
    <row r="55" spans="7:10" ht="15.75">
      <c r="G55" s="482">
        <f>summ!E53</f>
        <v>89.61599999999999</v>
      </c>
      <c r="H55" s="484" t="str">
        <f>CONCATENATE("Total ",E1-1," Mill Rate")</f>
        <v>Total 2013 Mill Rate</v>
      </c>
      <c r="I55" s="485"/>
      <c r="J55" s="486"/>
    </row>
    <row r="57" spans="7:9" ht="15.75">
      <c r="G57" s="531" t="s">
        <v>323</v>
      </c>
      <c r="H57" s="530"/>
      <c r="I57" s="529" t="str">
        <f>cert!E63</f>
        <v>Yes</v>
      </c>
    </row>
    <row r="59" spans="3:4" ht="15.75" hidden="1">
      <c r="C59" s="48">
        <f>IF(C41&gt;C43,"See Tab A","")</f>
      </c>
      <c r="D59" s="48">
        <f>IF(D41&gt;D43,"See Tab C","")</f>
      </c>
    </row>
    <row r="60" spans="3:4" ht="15.75" hidden="1">
      <c r="C60" s="48">
        <f>IF(C42&lt;0,"See Tab B","")</f>
      </c>
      <c r="D60" s="48">
        <f>IF(D42&lt;0,"See Tab D","")</f>
      </c>
    </row>
  </sheetData>
  <sheetProtection/>
  <mergeCells count="5">
    <mergeCell ref="C44:D44"/>
    <mergeCell ref="C45:D45"/>
    <mergeCell ref="C48:D48"/>
    <mergeCell ref="G40:J40"/>
    <mergeCell ref="G50:J50"/>
  </mergeCells>
  <conditionalFormatting sqref="E39">
    <cfRule type="cellIs" priority="2" dxfId="309" operator="greaterThan" stopIfTrue="1">
      <formula>$E$41*0.1</formula>
    </cfRule>
  </conditionalFormatting>
  <conditionalFormatting sqref="E44">
    <cfRule type="cellIs" priority="3" dxfId="309" operator="greaterThan" stopIfTrue="1">
      <formula>$E$41/0.95-$E$41</formula>
    </cfRule>
  </conditionalFormatting>
  <conditionalFormatting sqref="C23">
    <cfRule type="cellIs" priority="4" dxfId="2" operator="greaterThan" stopIfTrue="1">
      <formula>$C$25*0.1</formula>
    </cfRule>
  </conditionalFormatting>
  <conditionalFormatting sqref="D23">
    <cfRule type="cellIs" priority="5" dxfId="2" operator="greaterThan" stopIfTrue="1">
      <formula>$D$25*0.1</formula>
    </cfRule>
  </conditionalFormatting>
  <conditionalFormatting sqref="E23">
    <cfRule type="cellIs" priority="6" dxfId="309" operator="greaterThan" stopIfTrue="1">
      <formula>$E$25*0.1+E48</formula>
    </cfRule>
  </conditionalFormatting>
  <conditionalFormatting sqref="C39">
    <cfRule type="cellIs" priority="7" dxfId="2" operator="greaterThan" stopIfTrue="1">
      <formula>$C$41*0.1</formula>
    </cfRule>
  </conditionalFormatting>
  <conditionalFormatting sqref="D39">
    <cfRule type="cellIs" priority="8" dxfId="2" operator="greaterThan" stopIfTrue="1">
      <formula>$D$41*0.1</formula>
    </cfRule>
  </conditionalFormatting>
  <conditionalFormatting sqref="C41">
    <cfRule type="cellIs" priority="9" dxfId="2" operator="greaterThan" stopIfTrue="1">
      <formula>$C$43</formula>
    </cfRule>
  </conditionalFormatting>
  <conditionalFormatting sqref="C42">
    <cfRule type="cellIs" priority="10" dxfId="2" operator="lessThan" stopIfTrue="1">
      <formula>0</formula>
    </cfRule>
  </conditionalFormatting>
  <conditionalFormatting sqref="D41">
    <cfRule type="cellIs" priority="11" dxfId="2" operator="greaterThan" stopIfTrue="1">
      <formula>$D$43</formula>
    </cfRule>
  </conditionalFormatting>
  <conditionalFormatting sqref="D42">
    <cfRule type="cellIs" priority="1" dxfId="0" operator="lessThan" stopIfTrue="1">
      <formula>0</formula>
    </cfRule>
  </conditionalFormatting>
  <printOptions/>
  <pageMargins left="0.75" right="0.75" top="1" bottom="0.5" header="0.5" footer="0.5"/>
  <pageSetup blackAndWhite="1" fitToHeight="2" horizontalDpi="600" verticalDpi="600" orientation="portrait" scale="73" r:id="rId1"/>
  <headerFooter alignWithMargins="0">
    <oddHeader>&amp;RState of Kansas
County</oddHeader>
  </headerFooter>
</worksheet>
</file>

<file path=xl/worksheets/sheet14.xml><?xml version="1.0" encoding="utf-8"?>
<worksheet xmlns="http://schemas.openxmlformats.org/spreadsheetml/2006/main" xmlns:r="http://schemas.openxmlformats.org/officeDocument/2006/relationships">
  <dimension ref="B1:K83"/>
  <sheetViews>
    <sheetView view="pageBreakPreview" zoomScale="90" zoomScaleSheetLayoutView="90" zoomScalePageLayoutView="0" workbookViewId="0" topLeftCell="A53">
      <selection activeCell="E73" sqref="E73"/>
    </sheetView>
  </sheetViews>
  <sheetFormatPr defaultColWidth="8.796875" defaultRowHeight="15"/>
  <cols>
    <col min="1" max="1" width="2.3984375" style="48" customWidth="1"/>
    <col min="2" max="2" width="31.09765625" style="48" customWidth="1"/>
    <col min="3" max="4" width="15.796875" style="48" customWidth="1"/>
    <col min="5" max="5" width="16.09765625" style="48" customWidth="1"/>
    <col min="6" max="6" width="7.3984375" style="48" customWidth="1"/>
    <col min="7" max="7" width="10.19921875" style="48" customWidth="1"/>
    <col min="8" max="8" width="8.8984375" style="48" customWidth="1"/>
    <col min="9" max="9" width="5" style="48" customWidth="1"/>
    <col min="10" max="10" width="10" style="48" customWidth="1"/>
    <col min="11" max="16384" width="8.8984375" style="48" customWidth="1"/>
  </cols>
  <sheetData>
    <row r="1" spans="2:5" ht="15.75">
      <c r="B1" s="182" t="str">
        <f>(inputPrYr!C2)</f>
        <v>MITCHELL COUNTY</v>
      </c>
      <c r="C1" s="51"/>
      <c r="D1" s="51"/>
      <c r="E1" s="240">
        <f>inputPrYr!C4</f>
        <v>2014</v>
      </c>
    </row>
    <row r="2" spans="2:5" ht="15.75">
      <c r="B2" s="51"/>
      <c r="C2" s="51"/>
      <c r="D2" s="51"/>
      <c r="E2" s="194"/>
    </row>
    <row r="3" spans="2:5" ht="15.75">
      <c r="B3" s="118" t="s">
        <v>155</v>
      </c>
      <c r="C3" s="286"/>
      <c r="D3" s="286"/>
      <c r="E3" s="287"/>
    </row>
    <row r="4" spans="2:5" ht="15.75">
      <c r="B4" s="50" t="s">
        <v>75</v>
      </c>
      <c r="C4" s="511" t="s">
        <v>317</v>
      </c>
      <c r="D4" s="512" t="s">
        <v>318</v>
      </c>
      <c r="E4" s="178" t="s">
        <v>319</v>
      </c>
    </row>
    <row r="5" spans="2:5" ht="15.75">
      <c r="B5" s="393" t="str">
        <f>inputPrYr!B19</f>
        <v>Special bridge</v>
      </c>
      <c r="C5" s="366" t="str">
        <f>CONCATENATE("Actual for ",E1-2,"")</f>
        <v>Actual for 2012</v>
      </c>
      <c r="D5" s="366" t="str">
        <f>CONCATENATE("Estimate for ",E1-1,"")</f>
        <v>Estimate for 2013</v>
      </c>
      <c r="E5" s="256" t="str">
        <f>CONCATENATE("Year for ",E1,"")</f>
        <v>Year for 2014</v>
      </c>
    </row>
    <row r="6" spans="2:5" ht="15.75">
      <c r="B6" s="114" t="s">
        <v>197</v>
      </c>
      <c r="C6" s="363">
        <v>63458</v>
      </c>
      <c r="D6" s="367">
        <f>C30</f>
        <v>75558</v>
      </c>
      <c r="E6" s="219">
        <f>D30</f>
        <v>17834</v>
      </c>
    </row>
    <row r="7" spans="2:5" ht="15.75">
      <c r="B7" s="244" t="s">
        <v>199</v>
      </c>
      <c r="C7" s="259"/>
      <c r="D7" s="259"/>
      <c r="E7" s="93"/>
    </row>
    <row r="8" spans="2:5" ht="15.75">
      <c r="B8" s="114" t="s">
        <v>76</v>
      </c>
      <c r="C8" s="363">
        <v>96449</v>
      </c>
      <c r="D8" s="367">
        <v>63384</v>
      </c>
      <c r="E8" s="290" t="s">
        <v>62</v>
      </c>
    </row>
    <row r="9" spans="2:5" ht="15.75">
      <c r="B9" s="114" t="s">
        <v>77</v>
      </c>
      <c r="C9" s="363">
        <v>3099</v>
      </c>
      <c r="D9" s="363">
        <v>1000</v>
      </c>
      <c r="E9" s="78">
        <v>1000</v>
      </c>
    </row>
    <row r="10" spans="2:5" ht="15.75">
      <c r="B10" s="114" t="s">
        <v>78</v>
      </c>
      <c r="C10" s="363">
        <v>6829</v>
      </c>
      <c r="D10" s="363">
        <v>12961</v>
      </c>
      <c r="E10" s="219">
        <f>mvalloc!E10</f>
        <v>8233</v>
      </c>
    </row>
    <row r="11" spans="2:5" ht="15.75">
      <c r="B11" s="114" t="s">
        <v>79</v>
      </c>
      <c r="C11" s="363"/>
      <c r="D11" s="363">
        <v>191</v>
      </c>
      <c r="E11" s="219">
        <f>mvalloc!F10</f>
        <v>114</v>
      </c>
    </row>
    <row r="12" spans="2:5" ht="15.75">
      <c r="B12" s="259" t="s">
        <v>148</v>
      </c>
      <c r="C12" s="363"/>
      <c r="D12" s="363">
        <v>1503</v>
      </c>
      <c r="E12" s="219">
        <f>mvalloc!G10</f>
        <v>936</v>
      </c>
    </row>
    <row r="13" spans="2:5" ht="15.75">
      <c r="B13" s="261" t="s">
        <v>373</v>
      </c>
      <c r="C13" s="545">
        <v>-5064</v>
      </c>
      <c r="D13" s="545">
        <v>-6763</v>
      </c>
      <c r="E13" s="546">
        <v>-5814</v>
      </c>
    </row>
    <row r="14" spans="2:5" ht="15.75">
      <c r="B14" s="271" t="s">
        <v>375</v>
      </c>
      <c r="C14" s="363">
        <v>78269</v>
      </c>
      <c r="D14" s="363"/>
      <c r="E14" s="78">
        <v>62000</v>
      </c>
    </row>
    <row r="15" spans="2:5" ht="15.75">
      <c r="B15" s="271"/>
      <c r="C15" s="363"/>
      <c r="D15" s="363"/>
      <c r="E15" s="78"/>
    </row>
    <row r="16" spans="2:5" ht="15.75">
      <c r="B16" s="271"/>
      <c r="C16" s="363"/>
      <c r="D16" s="363"/>
      <c r="E16" s="78"/>
    </row>
    <row r="17" spans="2:5" ht="15.75">
      <c r="B17" s="262" t="s">
        <v>83</v>
      </c>
      <c r="C17" s="363"/>
      <c r="D17" s="363"/>
      <c r="E17" s="78"/>
    </row>
    <row r="18" spans="2:5" ht="15.75">
      <c r="B18" s="263" t="s">
        <v>37</v>
      </c>
      <c r="C18" s="363"/>
      <c r="D18" s="363"/>
      <c r="E18" s="78"/>
    </row>
    <row r="19" spans="2:5" ht="15.75">
      <c r="B19" s="263" t="s">
        <v>282</v>
      </c>
      <c r="C19" s="364">
        <f>IF(C20*0.1&lt;C18,"Exceed 10% Rule","")</f>
      </c>
      <c r="D19" s="364">
        <f>IF(D20*0.1&lt;D18,"Exceed 10% Rule","")</f>
      </c>
      <c r="E19" s="297">
        <f>IF(E20*0.1+E36&lt;E18,"Exceed 10% Rule","")</f>
      </c>
    </row>
    <row r="20" spans="2:5" ht="15.75">
      <c r="B20" s="265" t="s">
        <v>84</v>
      </c>
      <c r="C20" s="365">
        <f>SUM(C8:C18)</f>
        <v>179582</v>
      </c>
      <c r="D20" s="365">
        <f>SUM(D8:D18)</f>
        <v>72276</v>
      </c>
      <c r="E20" s="305">
        <f>SUM(E8:E18)</f>
        <v>66469</v>
      </c>
    </row>
    <row r="21" spans="2:5" ht="15.75">
      <c r="B21" s="265" t="s">
        <v>85</v>
      </c>
      <c r="C21" s="365">
        <f>C6+C20</f>
        <v>243040</v>
      </c>
      <c r="D21" s="365">
        <f>D6+D20</f>
        <v>147834</v>
      </c>
      <c r="E21" s="305">
        <f>E6+E20</f>
        <v>84303</v>
      </c>
    </row>
    <row r="22" spans="2:5" ht="15.75">
      <c r="B22" s="114" t="s">
        <v>88</v>
      </c>
      <c r="C22" s="263"/>
      <c r="D22" s="263"/>
      <c r="E22" s="74"/>
    </row>
    <row r="23" spans="2:5" ht="15.75">
      <c r="B23" s="271" t="s">
        <v>439</v>
      </c>
      <c r="C23" s="363">
        <v>167482</v>
      </c>
      <c r="D23" s="363">
        <v>130000</v>
      </c>
      <c r="E23" s="78">
        <v>150000</v>
      </c>
    </row>
    <row r="24" spans="2:10" ht="15.75">
      <c r="B24" s="271"/>
      <c r="C24" s="363"/>
      <c r="D24" s="363"/>
      <c r="E24" s="78"/>
      <c r="G24" s="604" t="str">
        <f>CONCATENATE("Desired Carryover Into ",E1+1,"")</f>
        <v>Desired Carryover Into 2015</v>
      </c>
      <c r="H24" s="605"/>
      <c r="I24" s="605"/>
      <c r="J24" s="606"/>
    </row>
    <row r="25" spans="2:10" ht="15.75">
      <c r="B25" s="271"/>
      <c r="C25" s="363"/>
      <c r="D25" s="363"/>
      <c r="E25" s="78"/>
      <c r="G25" s="470" t="s">
        <v>315</v>
      </c>
      <c r="H25" s="471"/>
      <c r="I25" s="471"/>
      <c r="J25" s="472" t="e">
        <f>IF(#REF!&gt;0,#REF!-E33,0)</f>
        <v>#REF!</v>
      </c>
    </row>
    <row r="26" spans="2:10" ht="15.75">
      <c r="B26" s="263" t="s">
        <v>39</v>
      </c>
      <c r="C26" s="363"/>
      <c r="D26" s="363"/>
      <c r="E26" s="86"/>
      <c r="G26" s="1"/>
      <c r="H26" s="1"/>
      <c r="I26" s="1"/>
      <c r="J26" s="1"/>
    </row>
    <row r="27" spans="2:10" ht="15.75">
      <c r="B27" s="263" t="s">
        <v>37</v>
      </c>
      <c r="C27" s="363"/>
      <c r="D27" s="363"/>
      <c r="E27" s="78"/>
      <c r="G27" s="604" t="str">
        <f>CONCATENATE("Projected Carryover Into ",E1+1,"")</f>
        <v>Projected Carryover Into 2015</v>
      </c>
      <c r="H27" s="611"/>
      <c r="I27" s="611"/>
      <c r="J27" s="612"/>
    </row>
    <row r="28" spans="2:10" ht="15.75">
      <c r="B28" s="263" t="s">
        <v>281</v>
      </c>
      <c r="C28" s="364">
        <f>IF(C29*0.1&lt;C27,"Exceed 10% Rule","")</f>
      </c>
      <c r="D28" s="364">
        <f>IF(D29*0.1&lt;D27,"Exceed 10% Rule","")</f>
      </c>
      <c r="E28" s="297">
        <f>IF(E29*0.1&lt;E27,"Exceed 10% Rule","")</f>
      </c>
      <c r="G28" s="459"/>
      <c r="H28" s="461"/>
      <c r="I28" s="461"/>
      <c r="J28" s="487"/>
    </row>
    <row r="29" spans="2:10" ht="15.75">
      <c r="B29" s="265" t="s">
        <v>89</v>
      </c>
      <c r="C29" s="365">
        <f>SUM(C23:C27)</f>
        <v>167482</v>
      </c>
      <c r="D29" s="365">
        <f>SUM(D23:D27)</f>
        <v>130000</v>
      </c>
      <c r="E29" s="305">
        <f>SUM(E23:E27)</f>
        <v>150000</v>
      </c>
      <c r="G29" s="488">
        <f>D30</f>
        <v>17834</v>
      </c>
      <c r="H29" s="478" t="str">
        <f>CONCATENATE("",E1-1," Ending Cash Balance (est.)")</f>
        <v>2013 Ending Cash Balance (est.)</v>
      </c>
      <c r="I29" s="489"/>
      <c r="J29" s="487"/>
    </row>
    <row r="30" spans="2:10" ht="15.75">
      <c r="B30" s="114" t="s">
        <v>198</v>
      </c>
      <c r="C30" s="368">
        <f>C21-C29</f>
        <v>75558</v>
      </c>
      <c r="D30" s="368">
        <f>D21-D29</f>
        <v>17834</v>
      </c>
      <c r="E30" s="290" t="s">
        <v>62</v>
      </c>
      <c r="G30" s="488">
        <f>E20</f>
        <v>66469</v>
      </c>
      <c r="H30" s="461" t="str">
        <f>CONCATENATE("",E1," Non-AV Receipts (est.)")</f>
        <v>2014 Non-AV Receipts (est.)</v>
      </c>
      <c r="I30" s="489"/>
      <c r="J30" s="487"/>
    </row>
    <row r="31" spans="2:11" ht="15.75">
      <c r="B31" s="241" t="str">
        <f>CONCATENATE("",E$1-2,"/",E$1-1," Budget Authority Amount:")</f>
        <v>2012/2013 Budget Authority Amount:</v>
      </c>
      <c r="C31" s="233">
        <f>inputOth!D35</f>
        <v>228269</v>
      </c>
      <c r="D31" s="233">
        <f>inputPrYr!D19</f>
        <v>130000</v>
      </c>
      <c r="E31" s="290" t="s">
        <v>62</v>
      </c>
      <c r="F31" s="273"/>
      <c r="G31" s="490">
        <f>IF(E35&gt;0,E34,E36)</f>
        <v>65697</v>
      </c>
      <c r="H31" s="461" t="str">
        <f>CONCATENATE("",E1," Ad Valorem Tax (est.)")</f>
        <v>2014 Ad Valorem Tax (est.)</v>
      </c>
      <c r="I31" s="489"/>
      <c r="J31" s="487"/>
      <c r="K31" s="475" t="str">
        <f>IF(G31=E36,"","Note: Does not include Delinquent Taxes")</f>
        <v>Note: Does not include Delinquent Taxes</v>
      </c>
    </row>
    <row r="32" spans="2:10" ht="15.75">
      <c r="B32" s="241"/>
      <c r="C32" s="594" t="s">
        <v>284</v>
      </c>
      <c r="D32" s="595"/>
      <c r="E32" s="78"/>
      <c r="F32" s="402">
        <f>IF(E29/0.95-E29&lt;E32,"Exceeds 5%","")</f>
      </c>
      <c r="G32" s="488">
        <f>SUM(G29:G31)</f>
        <v>150000</v>
      </c>
      <c r="H32" s="461" t="str">
        <f>CONCATENATE("Total ",E1," Resources Available")</f>
        <v>Total 2014 Resources Available</v>
      </c>
      <c r="I32" s="489"/>
      <c r="J32" s="487"/>
    </row>
    <row r="33" spans="2:10" ht="15.75">
      <c r="B33" s="406" t="str">
        <f>CONCATENATE(C80,"     ",D80)</f>
        <v>     </v>
      </c>
      <c r="C33" s="596" t="s">
        <v>285</v>
      </c>
      <c r="D33" s="597"/>
      <c r="E33" s="219">
        <f>E29+E32</f>
        <v>150000</v>
      </c>
      <c r="G33" s="491"/>
      <c r="H33" s="461"/>
      <c r="I33" s="461"/>
      <c r="J33" s="487"/>
    </row>
    <row r="34" spans="2:10" ht="15.75">
      <c r="B34" s="406" t="str">
        <f>CONCATENATE(C81,"     ",D81)</f>
        <v>     </v>
      </c>
      <c r="C34" s="274"/>
      <c r="D34" s="194" t="s">
        <v>90</v>
      </c>
      <c r="E34" s="86">
        <f>IF(E33-E21&gt;0,E33-E21,0)</f>
        <v>65697</v>
      </c>
      <c r="G34" s="490">
        <f>ROUND(C29*0.05+C29,0)</f>
        <v>175856</v>
      </c>
      <c r="H34" s="461" t="str">
        <f>CONCATENATE("Less ",E1-2," Expenditures + 5%")</f>
        <v>Less 2012 Expenditures + 5%</v>
      </c>
      <c r="I34" s="489"/>
      <c r="J34" s="492"/>
    </row>
    <row r="35" spans="2:10" ht="15.75">
      <c r="B35" s="194"/>
      <c r="C35" s="404" t="s">
        <v>286</v>
      </c>
      <c r="D35" s="458">
        <f>inputOth!$E$23</f>
        <v>0.03</v>
      </c>
      <c r="E35" s="219">
        <f>ROUND(IF(D35&gt;0,($E$34*D35),0),0)</f>
        <v>1971</v>
      </c>
      <c r="G35" s="493">
        <f>G32-G34</f>
        <v>-25856</v>
      </c>
      <c r="H35" s="494" t="str">
        <f>CONCATENATE("Projected ",E1+1," carryover (est.)")</f>
        <v>Projected 2015 carryover (est.)</v>
      </c>
      <c r="I35" s="495"/>
      <c r="J35" s="496"/>
    </row>
    <row r="36" spans="2:10" ht="15.75">
      <c r="B36" s="51"/>
      <c r="C36" s="602" t="str">
        <f>CONCATENATE("Amount of  ",$E$1-1," Ad Valorem Tax")</f>
        <v>Amount of  2013 Ad Valorem Tax</v>
      </c>
      <c r="D36" s="603"/>
      <c r="E36" s="301">
        <f>E34+E35</f>
        <v>67668</v>
      </c>
      <c r="G36" s="1"/>
      <c r="H36" s="1"/>
      <c r="I36" s="1"/>
      <c r="J36" s="1"/>
    </row>
    <row r="37" spans="2:10" ht="15.75">
      <c r="B37" s="51"/>
      <c r="C37" s="280"/>
      <c r="D37" s="280"/>
      <c r="E37" s="280"/>
      <c r="G37" s="607" t="s">
        <v>316</v>
      </c>
      <c r="H37" s="608"/>
      <c r="I37" s="608"/>
      <c r="J37" s="609"/>
    </row>
    <row r="38" spans="2:10" ht="15.75">
      <c r="B38" s="50" t="s">
        <v>75</v>
      </c>
      <c r="C38" s="511" t="str">
        <f aca="true" t="shared" si="0" ref="C38:E39">C4</f>
        <v>Prior Year </v>
      </c>
      <c r="D38" s="512" t="str">
        <f t="shared" si="0"/>
        <v>Current Year </v>
      </c>
      <c r="E38" s="178" t="str">
        <f t="shared" si="0"/>
        <v>Proposed Budget </v>
      </c>
      <c r="G38" s="477"/>
      <c r="H38" s="478"/>
      <c r="I38" s="479"/>
      <c r="J38" s="480"/>
    </row>
    <row r="39" spans="2:10" ht="15.75">
      <c r="B39" s="392" t="str">
        <f>(inputPrYr!B20)</f>
        <v>Fair Building</v>
      </c>
      <c r="C39" s="366" t="str">
        <f t="shared" si="0"/>
        <v>Actual for 2012</v>
      </c>
      <c r="D39" s="366" t="str">
        <f t="shared" si="0"/>
        <v>Estimate for 2013</v>
      </c>
      <c r="E39" s="256" t="str">
        <f t="shared" si="0"/>
        <v>Year for 2014</v>
      </c>
      <c r="G39" s="481">
        <f>summ!H19</f>
        <v>0.998</v>
      </c>
      <c r="H39" s="478" t="str">
        <f>CONCATENATE("",E1," Fund Mill Rate")</f>
        <v>2014 Fund Mill Rate</v>
      </c>
      <c r="I39" s="479"/>
      <c r="J39" s="480"/>
    </row>
    <row r="40" spans="2:10" ht="15.75">
      <c r="B40" s="114" t="s">
        <v>197</v>
      </c>
      <c r="C40" s="363">
        <v>1571</v>
      </c>
      <c r="D40" s="367">
        <f>C63</f>
        <v>2426</v>
      </c>
      <c r="E40" s="219">
        <f>D63</f>
        <v>681</v>
      </c>
      <c r="G40" s="482">
        <f>summ!E19</f>
        <v>1.036</v>
      </c>
      <c r="H40" s="478" t="str">
        <f>CONCATENATE("",E1-1," Fund Mill Rate")</f>
        <v>2013 Fund Mill Rate</v>
      </c>
      <c r="I40" s="479"/>
      <c r="J40" s="480"/>
    </row>
    <row r="41" spans="2:10" ht="15.75">
      <c r="B41" s="257" t="s">
        <v>199</v>
      </c>
      <c r="C41" s="259"/>
      <c r="D41" s="259"/>
      <c r="E41" s="93"/>
      <c r="G41" s="483">
        <f>summ!H53</f>
        <v>96.518</v>
      </c>
      <c r="H41" s="478" t="str">
        <f>CONCATENATE("Total ",E1," Mill Rate")</f>
        <v>Total 2014 Mill Rate</v>
      </c>
      <c r="I41" s="479"/>
      <c r="J41" s="480"/>
    </row>
    <row r="42" spans="2:10" ht="15.75">
      <c r="B42" s="114" t="s">
        <v>76</v>
      </c>
      <c r="C42" s="363">
        <v>20863</v>
      </c>
      <c r="D42" s="367">
        <v>20473</v>
      </c>
      <c r="E42" s="290" t="s">
        <v>62</v>
      </c>
      <c r="G42" s="482">
        <f>summ!E53</f>
        <v>89.61599999999999</v>
      </c>
      <c r="H42" s="484" t="str">
        <f>CONCATENATE("Total ",E1-1," Mill Rate")</f>
        <v>Total 2013 Mill Rate</v>
      </c>
      <c r="I42" s="485"/>
      <c r="J42" s="486"/>
    </row>
    <row r="43" spans="2:10" ht="15.75">
      <c r="B43" s="114" t="s">
        <v>77</v>
      </c>
      <c r="C43" s="363">
        <v>557</v>
      </c>
      <c r="D43" s="363">
        <v>75</v>
      </c>
      <c r="E43" s="78">
        <v>75</v>
      </c>
      <c r="G43" s="1"/>
      <c r="H43" s="1"/>
      <c r="I43" s="1"/>
      <c r="J43" s="1"/>
    </row>
    <row r="44" spans="2:10" ht="15.75">
      <c r="B44" s="114" t="s">
        <v>78</v>
      </c>
      <c r="C44" s="363">
        <v>2530</v>
      </c>
      <c r="D44" s="363">
        <v>2804</v>
      </c>
      <c r="E44" s="219">
        <f>mvalloc!E11</f>
        <v>2659</v>
      </c>
      <c r="G44" s="531" t="s">
        <v>323</v>
      </c>
      <c r="H44" s="530"/>
      <c r="I44" s="529" t="str">
        <f>cert!E63</f>
        <v>Yes</v>
      </c>
      <c r="J44" s="1"/>
    </row>
    <row r="45" spans="2:10" ht="15.75">
      <c r="B45" s="114" t="s">
        <v>79</v>
      </c>
      <c r="C45" s="363"/>
      <c r="D45" s="363">
        <v>41</v>
      </c>
      <c r="E45" s="219">
        <f>mvalloc!F11</f>
        <v>37</v>
      </c>
      <c r="G45" s="1"/>
      <c r="H45" s="1"/>
      <c r="I45" s="1"/>
      <c r="J45" s="1"/>
    </row>
    <row r="46" spans="2:10" ht="15.75">
      <c r="B46" s="259" t="s">
        <v>148</v>
      </c>
      <c r="C46" s="363"/>
      <c r="D46" s="363">
        <v>325</v>
      </c>
      <c r="E46" s="219">
        <f>mvalloc!G11</f>
        <v>302</v>
      </c>
      <c r="G46" s="1"/>
      <c r="H46" s="1"/>
      <c r="I46" s="1"/>
      <c r="J46" s="1"/>
    </row>
    <row r="47" spans="2:10" ht="15.75">
      <c r="B47" s="261" t="s">
        <v>373</v>
      </c>
      <c r="C47" s="545">
        <v>-1095</v>
      </c>
      <c r="D47" s="545">
        <v>-1463</v>
      </c>
      <c r="E47" s="546">
        <v>-1880</v>
      </c>
      <c r="G47" s="1"/>
      <c r="H47" s="1"/>
      <c r="I47" s="1"/>
      <c r="J47" s="1"/>
    </row>
    <row r="48" spans="2:10" ht="15.75">
      <c r="B48" s="271"/>
      <c r="C48" s="363"/>
      <c r="D48" s="363"/>
      <c r="E48" s="78"/>
      <c r="G48" s="1"/>
      <c r="H48" s="1"/>
      <c r="I48" s="1"/>
      <c r="J48" s="1"/>
    </row>
    <row r="49" spans="2:10" ht="15.75">
      <c r="B49" s="271"/>
      <c r="C49" s="363"/>
      <c r="D49" s="363"/>
      <c r="E49" s="78"/>
      <c r="G49" s="1"/>
      <c r="H49" s="1"/>
      <c r="I49" s="1"/>
      <c r="J49" s="1"/>
    </row>
    <row r="50" spans="2:10" ht="15.75">
      <c r="B50" s="262" t="s">
        <v>83</v>
      </c>
      <c r="C50" s="363"/>
      <c r="D50" s="363"/>
      <c r="E50" s="78"/>
      <c r="G50" s="1"/>
      <c r="H50" s="1"/>
      <c r="I50" s="1"/>
      <c r="J50" s="1"/>
    </row>
    <row r="51" spans="2:10" ht="15.75">
      <c r="B51" s="263" t="s">
        <v>37</v>
      </c>
      <c r="C51" s="363"/>
      <c r="D51" s="363"/>
      <c r="E51" s="78"/>
      <c r="G51" s="1"/>
      <c r="H51" s="1"/>
      <c r="I51" s="1"/>
      <c r="J51" s="1"/>
    </row>
    <row r="52" spans="2:10" ht="15.75">
      <c r="B52" s="263" t="s">
        <v>282</v>
      </c>
      <c r="C52" s="364">
        <f>IF(C53*0.1&lt;C51,"Exceed 10% Rule","")</f>
      </c>
      <c r="D52" s="364">
        <f>IF(D53*0.1&lt;D51,"Exceed 10% Rule","")</f>
      </c>
      <c r="E52" s="297">
        <f>IF(E53*0.1+E69&lt;E51,"Exceed 10% Rule","")</f>
      </c>
      <c r="G52" s="1"/>
      <c r="H52" s="1"/>
      <c r="I52" s="1"/>
      <c r="J52" s="1"/>
    </row>
    <row r="53" spans="2:10" ht="15.75">
      <c r="B53" s="265" t="s">
        <v>84</v>
      </c>
      <c r="C53" s="365">
        <f>SUM(C42:C51)</f>
        <v>22855</v>
      </c>
      <c r="D53" s="365">
        <f>SUM(D42:D51)</f>
        <v>22255</v>
      </c>
      <c r="E53" s="305">
        <f>SUM(E42:E51)</f>
        <v>1193</v>
      </c>
      <c r="G53" s="1"/>
      <c r="H53" s="1"/>
      <c r="I53" s="1"/>
      <c r="J53" s="1"/>
    </row>
    <row r="54" spans="2:10" ht="15.75">
      <c r="B54" s="265" t="s">
        <v>85</v>
      </c>
      <c r="C54" s="365">
        <f>C40+C53</f>
        <v>24426</v>
      </c>
      <c r="D54" s="365">
        <f>D40+D53</f>
        <v>24681</v>
      </c>
      <c r="E54" s="305">
        <f>E40+E53</f>
        <v>1874</v>
      </c>
      <c r="G54" s="1"/>
      <c r="H54" s="1"/>
      <c r="I54" s="1"/>
      <c r="J54" s="1"/>
    </row>
    <row r="55" spans="2:10" ht="15.75">
      <c r="B55" s="114" t="s">
        <v>88</v>
      </c>
      <c r="C55" s="263"/>
      <c r="D55" s="263"/>
      <c r="E55" s="74"/>
      <c r="G55" s="1"/>
      <c r="H55" s="1"/>
      <c r="I55" s="1"/>
      <c r="J55" s="1"/>
    </row>
    <row r="56" spans="2:10" ht="15.75">
      <c r="B56" s="271" t="s">
        <v>402</v>
      </c>
      <c r="C56" s="363">
        <v>22000</v>
      </c>
      <c r="D56" s="363">
        <v>24000</v>
      </c>
      <c r="E56" s="78">
        <v>24000</v>
      </c>
      <c r="G56" s="1"/>
      <c r="H56" s="1"/>
      <c r="I56" s="1"/>
      <c r="J56" s="1"/>
    </row>
    <row r="57" spans="2:10" ht="15.75">
      <c r="B57" s="271"/>
      <c r="C57" s="363"/>
      <c r="D57" s="363"/>
      <c r="E57" s="78"/>
      <c r="G57" s="604" t="str">
        <f>CONCATENATE("Desired Carryover Into ",E1+1,"")</f>
        <v>Desired Carryover Into 2015</v>
      </c>
      <c r="H57" s="605"/>
      <c r="I57" s="605"/>
      <c r="J57" s="606"/>
    </row>
    <row r="58" spans="2:10" ht="15.75">
      <c r="B58" s="271"/>
      <c r="C58" s="363"/>
      <c r="D58" s="363"/>
      <c r="E58" s="78"/>
      <c r="G58" s="470" t="s">
        <v>315</v>
      </c>
      <c r="H58" s="471"/>
      <c r="I58" s="471"/>
      <c r="J58" s="472" t="e">
        <f>IF(#REF!&gt;0,#REF!-E66,0)</f>
        <v>#REF!</v>
      </c>
    </row>
    <row r="59" spans="2:10" ht="15.75">
      <c r="B59" s="263" t="s">
        <v>39</v>
      </c>
      <c r="C59" s="363"/>
      <c r="D59" s="363"/>
      <c r="E59" s="86"/>
      <c r="G59" s="1"/>
      <c r="H59" s="1"/>
      <c r="I59" s="1"/>
      <c r="J59" s="1"/>
    </row>
    <row r="60" spans="2:10" ht="15.75">
      <c r="B60" s="263" t="s">
        <v>37</v>
      </c>
      <c r="C60" s="363"/>
      <c r="D60" s="363"/>
      <c r="E60" s="78"/>
      <c r="G60" s="604" t="str">
        <f>CONCATENATE("Projected Carryover Into ",E1+1,"")</f>
        <v>Projected Carryover Into 2015</v>
      </c>
      <c r="H60" s="613"/>
      <c r="I60" s="613"/>
      <c r="J60" s="612"/>
    </row>
    <row r="61" spans="2:10" ht="15.75">
      <c r="B61" s="263" t="s">
        <v>281</v>
      </c>
      <c r="C61" s="364">
        <f>IF(C62*0.1&lt;C60,"Exceed 10% Rule","")</f>
      </c>
      <c r="D61" s="364">
        <f>IF(D62*0.1&lt;D60,"Exceed 10% Rule","")</f>
      </c>
      <c r="E61" s="297">
        <f>IF(E62*0.1&lt;E60,"Exceed 10% Rule","")</f>
      </c>
      <c r="G61" s="497"/>
      <c r="H61" s="460"/>
      <c r="I61" s="460"/>
      <c r="J61" s="492"/>
    </row>
    <row r="62" spans="2:10" ht="15.75">
      <c r="B62" s="265" t="s">
        <v>89</v>
      </c>
      <c r="C62" s="365">
        <f>SUM(C56:C60)</f>
        <v>22000</v>
      </c>
      <c r="D62" s="365">
        <f>SUM(D56:D60)</f>
        <v>24000</v>
      </c>
      <c r="E62" s="305">
        <f>SUM(E56:E60)</f>
        <v>24000</v>
      </c>
      <c r="G62" s="488">
        <f>D63</f>
        <v>681</v>
      </c>
      <c r="H62" s="478" t="str">
        <f>CONCATENATE("",E1-1," Ending Cash Balance (est.)")</f>
        <v>2013 Ending Cash Balance (est.)</v>
      </c>
      <c r="I62" s="489"/>
      <c r="J62" s="492"/>
    </row>
    <row r="63" spans="2:10" ht="15.75">
      <c r="B63" s="114" t="s">
        <v>198</v>
      </c>
      <c r="C63" s="368">
        <f>C54-C62</f>
        <v>2426</v>
      </c>
      <c r="D63" s="368">
        <f>D54-D62</f>
        <v>681</v>
      </c>
      <c r="E63" s="290" t="s">
        <v>62</v>
      </c>
      <c r="G63" s="488">
        <f>E53</f>
        <v>1193</v>
      </c>
      <c r="H63" s="461" t="str">
        <f>CONCATENATE("",E1," Non-AV Receipts (est.)")</f>
        <v>2014 Non-AV Receipts (est.)</v>
      </c>
      <c r="I63" s="489"/>
      <c r="J63" s="492"/>
    </row>
    <row r="64" spans="2:11" ht="15.75">
      <c r="B64" s="241" t="str">
        <f>CONCATENATE("",E$1-2,"/",E$1-1," Budget Authority Amount:")</f>
        <v>2012/2013 Budget Authority Amount:</v>
      </c>
      <c r="C64" s="233">
        <f>inputOth!B36</f>
        <v>22000</v>
      </c>
      <c r="D64" s="233">
        <f>inputPrYr!D20</f>
        <v>24000</v>
      </c>
      <c r="E64" s="290" t="s">
        <v>62</v>
      </c>
      <c r="F64" s="273"/>
      <c r="G64" s="490">
        <f>IF(E68&gt;0,E67,E69)</f>
        <v>22126</v>
      </c>
      <c r="H64" s="461" t="str">
        <f>CONCATENATE("",E1," Ad Valorem Tax (est.)")</f>
        <v>2014 Ad Valorem Tax (est.)</v>
      </c>
      <c r="I64" s="489"/>
      <c r="J64" s="492"/>
      <c r="K64" s="475" t="str">
        <f>IF(G64=E69,"","Note: Does not include Delinquent Taxes")</f>
        <v>Note: Does not include Delinquent Taxes</v>
      </c>
    </row>
    <row r="65" spans="2:10" ht="15.75">
      <c r="B65" s="241"/>
      <c r="C65" s="594" t="s">
        <v>284</v>
      </c>
      <c r="D65" s="595"/>
      <c r="E65" s="78"/>
      <c r="F65" s="402">
        <f>IF(E62/0.95-E62&lt;E65,"Exceeds 5%","")</f>
      </c>
      <c r="G65" s="498">
        <f>SUM(G62:G64)</f>
        <v>24000</v>
      </c>
      <c r="H65" s="461" t="str">
        <f>CONCATENATE("Total ",E1," Resources Available")</f>
        <v>Total 2014 Resources Available</v>
      </c>
      <c r="I65" s="499"/>
      <c r="J65" s="492"/>
    </row>
    <row r="66" spans="2:10" ht="15.75">
      <c r="B66" s="405" t="str">
        <f>CONCATENATE(C82,"     ",D82)</f>
        <v>     </v>
      </c>
      <c r="C66" s="596" t="s">
        <v>285</v>
      </c>
      <c r="D66" s="597"/>
      <c r="E66" s="219">
        <f>E62+E65</f>
        <v>24000</v>
      </c>
      <c r="G66" s="500"/>
      <c r="H66" s="501"/>
      <c r="I66" s="460"/>
      <c r="J66" s="492"/>
    </row>
    <row r="67" spans="2:10" ht="15.75">
      <c r="B67" s="405" t="str">
        <f>CONCATENATE(C83,"     ",D83)</f>
        <v>     </v>
      </c>
      <c r="C67" s="274"/>
      <c r="D67" s="194" t="s">
        <v>90</v>
      </c>
      <c r="E67" s="86">
        <f>IF(E66-E54&gt;0,E66-E54,0)</f>
        <v>22126</v>
      </c>
      <c r="G67" s="502">
        <f>ROUND(C62*0.05+C62,0)</f>
        <v>23100</v>
      </c>
      <c r="H67" s="461" t="str">
        <f>CONCATENATE("Less ",E1-2," Expenditures + 5%")</f>
        <v>Less 2012 Expenditures + 5%</v>
      </c>
      <c r="I67" s="499"/>
      <c r="J67" s="492"/>
    </row>
    <row r="68" spans="2:10" ht="15.75">
      <c r="B68" s="194"/>
      <c r="C68" s="404" t="s">
        <v>286</v>
      </c>
      <c r="D68" s="458">
        <f>inputOth!$E$23</f>
        <v>0.03</v>
      </c>
      <c r="E68" s="219">
        <f>ROUND(IF(D68&gt;0,($E$67*D68),0),0)</f>
        <v>664</v>
      </c>
      <c r="G68" s="503">
        <f>G65-G67</f>
        <v>900</v>
      </c>
      <c r="H68" s="494" t="str">
        <f>CONCATENATE("Projected ",E1+1," carryover (est.)")</f>
        <v>Projected 2015 carryover (est.)</v>
      </c>
      <c r="I68" s="504"/>
      <c r="J68" s="505"/>
    </row>
    <row r="69" spans="2:10" ht="15.75">
      <c r="B69" s="51"/>
      <c r="C69" s="602" t="str">
        <f>CONCATENATE("Amount of  ",$E$1-1," Ad Valorem Tax")</f>
        <v>Amount of  2013 Ad Valorem Tax</v>
      </c>
      <c r="D69" s="603"/>
      <c r="E69" s="301">
        <f>E67+E68</f>
        <v>22790</v>
      </c>
      <c r="G69" s="1"/>
      <c r="H69" s="1"/>
      <c r="I69" s="1"/>
      <c r="J69" s="1"/>
    </row>
    <row r="70" spans="2:10" ht="15.75">
      <c r="B70" s="241" t="s">
        <v>109</v>
      </c>
      <c r="C70" s="302">
        <v>10</v>
      </c>
      <c r="D70" s="51"/>
      <c r="E70" s="51"/>
      <c r="G70" s="607" t="s">
        <v>316</v>
      </c>
      <c r="H70" s="608"/>
      <c r="I70" s="608"/>
      <c r="J70" s="609"/>
    </row>
    <row r="71" spans="7:10" ht="15.75">
      <c r="G71" s="477"/>
      <c r="H71" s="478"/>
      <c r="I71" s="479"/>
      <c r="J71" s="480"/>
    </row>
    <row r="72" spans="7:10" ht="15.75">
      <c r="G72" s="481">
        <f>summ!H20</f>
        <v>0.336</v>
      </c>
      <c r="H72" s="478" t="str">
        <f>CONCATENATE("",E1," Fund Mill Rate")</f>
        <v>2014 Fund Mill Rate</v>
      </c>
      <c r="I72" s="479"/>
      <c r="J72" s="480"/>
    </row>
    <row r="73" spans="7:10" ht="15.75">
      <c r="G73" s="482">
        <f>summ!E20</f>
        <v>0.335</v>
      </c>
      <c r="H73" s="478" t="str">
        <f>CONCATENATE("",E1-1," Fund Mill Rate")</f>
        <v>2013 Fund Mill Rate</v>
      </c>
      <c r="I73" s="479"/>
      <c r="J73" s="480"/>
    </row>
    <row r="74" spans="7:10" ht="15.75">
      <c r="G74" s="483">
        <f>summ!H53</f>
        <v>96.518</v>
      </c>
      <c r="H74" s="478" t="str">
        <f>CONCATENATE("Total ",E1," Mill Rate")</f>
        <v>Total 2014 Mill Rate</v>
      </c>
      <c r="I74" s="479"/>
      <c r="J74" s="480"/>
    </row>
    <row r="75" spans="7:10" ht="15.75">
      <c r="G75" s="482">
        <f>summ!E53</f>
        <v>89.61599999999999</v>
      </c>
      <c r="H75" s="484" t="str">
        <f>CONCATENATE("Total ",E1-1," Mill Rate")</f>
        <v>Total 2013 Mill Rate</v>
      </c>
      <c r="I75" s="485"/>
      <c r="J75" s="486"/>
    </row>
    <row r="77" spans="7:9" ht="15.75">
      <c r="G77" s="531" t="s">
        <v>323</v>
      </c>
      <c r="H77" s="530"/>
      <c r="I77" s="529" t="str">
        <f>cert!E63</f>
        <v>Yes</v>
      </c>
    </row>
    <row r="80" spans="3:4" ht="15.75" hidden="1">
      <c r="C80" s="48">
        <f>IF(C29&gt;C31,"See Tab A","")</f>
      </c>
      <c r="D80" s="48">
        <f>IF(D29&gt;D31,"See Tab C","")</f>
      </c>
    </row>
    <row r="81" spans="3:4" ht="15.75" hidden="1">
      <c r="C81" s="48">
        <f>IF(C30&lt;0,"See Tab B","")</f>
      </c>
      <c r="D81" s="48">
        <f>IF(D30&lt;0,"See Tab D","")</f>
      </c>
    </row>
    <row r="82" spans="3:4" ht="15.75" hidden="1">
      <c r="C82" s="48">
        <f>IF(C62&gt;C64,"See Tab A","")</f>
      </c>
      <c r="D82" s="48">
        <f>IF(D62&gt;D64,"See Tab C","")</f>
      </c>
    </row>
    <row r="83" spans="3:4" ht="15.75" hidden="1">
      <c r="C83" s="48">
        <f>IF(C63&lt;0,"See Tab B","")</f>
      </c>
      <c r="D83" s="48">
        <f>IF(D63&lt;0,"See Tab D","")</f>
      </c>
    </row>
  </sheetData>
  <sheetProtection/>
  <mergeCells count="12">
    <mergeCell ref="C32:D32"/>
    <mergeCell ref="C33:D33"/>
    <mergeCell ref="C65:D65"/>
    <mergeCell ref="C66:D66"/>
    <mergeCell ref="C69:D69"/>
    <mergeCell ref="C36:D36"/>
    <mergeCell ref="G24:J24"/>
    <mergeCell ref="G27:J27"/>
    <mergeCell ref="G37:J37"/>
    <mergeCell ref="G57:J57"/>
    <mergeCell ref="G60:J60"/>
    <mergeCell ref="G70:J70"/>
  </mergeCells>
  <conditionalFormatting sqref="E60">
    <cfRule type="cellIs" priority="4" dxfId="309" operator="greaterThan" stopIfTrue="1">
      <formula>$E$62*0.1</formula>
    </cfRule>
  </conditionalFormatting>
  <conditionalFormatting sqref="E65">
    <cfRule type="cellIs" priority="5" dxfId="309" operator="greaterThan" stopIfTrue="1">
      <formula>$E$62/0.95-$E$62</formula>
    </cfRule>
  </conditionalFormatting>
  <conditionalFormatting sqref="E32">
    <cfRule type="cellIs" priority="6" dxfId="309" operator="greaterThan" stopIfTrue="1">
      <formula>$E$29/0.95-$E$29</formula>
    </cfRule>
  </conditionalFormatting>
  <conditionalFormatting sqref="E27">
    <cfRule type="cellIs" priority="7" dxfId="309" operator="greaterThan" stopIfTrue="1">
      <formula>$E$29*0.1</formula>
    </cfRule>
  </conditionalFormatting>
  <conditionalFormatting sqref="C29">
    <cfRule type="cellIs" priority="8" dxfId="2" operator="greaterThan" stopIfTrue="1">
      <formula>$C$31</formula>
    </cfRule>
  </conditionalFormatting>
  <conditionalFormatting sqref="C63 C30">
    <cfRule type="cellIs" priority="9" dxfId="2" operator="lessThan" stopIfTrue="1">
      <formula>0</formula>
    </cfRule>
  </conditionalFormatting>
  <conditionalFormatting sqref="D29">
    <cfRule type="cellIs" priority="10" dxfId="2" operator="greaterThan" stopIfTrue="1">
      <formula>$D$31</formula>
    </cfRule>
  </conditionalFormatting>
  <conditionalFormatting sqref="C62">
    <cfRule type="cellIs" priority="11" dxfId="2" operator="greaterThan" stopIfTrue="1">
      <formula>$C$64</formula>
    </cfRule>
  </conditionalFormatting>
  <conditionalFormatting sqref="D62">
    <cfRule type="cellIs" priority="12" dxfId="2" operator="greaterThan" stopIfTrue="1">
      <formula>$D$64</formula>
    </cfRule>
  </conditionalFormatting>
  <conditionalFormatting sqref="C60">
    <cfRule type="cellIs" priority="13" dxfId="2" operator="greaterThan" stopIfTrue="1">
      <formula>$C$62*0.1</formula>
    </cfRule>
  </conditionalFormatting>
  <conditionalFormatting sqref="D60">
    <cfRule type="cellIs" priority="14" dxfId="2" operator="greaterThan" stopIfTrue="1">
      <formula>$D$62*0.1</formula>
    </cfRule>
  </conditionalFormatting>
  <conditionalFormatting sqref="E51">
    <cfRule type="cellIs" priority="15" dxfId="309" operator="greaterThan" stopIfTrue="1">
      <formula>$E$53*0.1+E69</formula>
    </cfRule>
  </conditionalFormatting>
  <conditionalFormatting sqref="C51">
    <cfRule type="cellIs" priority="16" dxfId="2" operator="greaterThan" stopIfTrue="1">
      <formula>$C$53*0.1</formula>
    </cfRule>
  </conditionalFormatting>
  <conditionalFormatting sqref="D51">
    <cfRule type="cellIs" priority="17" dxfId="2" operator="greaterThan" stopIfTrue="1">
      <formula>$D$53*0.1</formula>
    </cfRule>
  </conditionalFormatting>
  <conditionalFormatting sqref="C27">
    <cfRule type="cellIs" priority="18" dxfId="2" operator="greaterThan" stopIfTrue="1">
      <formula>$C$29*0.1</formula>
    </cfRule>
  </conditionalFormatting>
  <conditionalFormatting sqref="D27">
    <cfRule type="cellIs" priority="19" dxfId="2" operator="greaterThan" stopIfTrue="1">
      <formula>$D$29*0.1</formula>
    </cfRule>
  </conditionalFormatting>
  <conditionalFormatting sqref="E18">
    <cfRule type="cellIs" priority="20" dxfId="309" operator="greaterThan" stopIfTrue="1">
      <formula>$E$20*0.1+E36</formula>
    </cfRule>
  </conditionalFormatting>
  <conditionalFormatting sqref="C18">
    <cfRule type="cellIs" priority="21" dxfId="2" operator="greaterThan" stopIfTrue="1">
      <formula>$C$20*0.1</formula>
    </cfRule>
  </conditionalFormatting>
  <conditionalFormatting sqref="D18">
    <cfRule type="cellIs" priority="22" dxfId="2" operator="greaterThan" stopIfTrue="1">
      <formula>$D$20*0.1</formula>
    </cfRule>
  </conditionalFormatting>
  <conditionalFormatting sqref="D30">
    <cfRule type="cellIs" priority="2" dxfId="0" operator="lessThan" stopIfTrue="1">
      <formula>0</formula>
    </cfRule>
    <cfRule type="cellIs" priority="3" dxfId="0" operator="lessThan" stopIfTrue="1">
      <formula>0</formula>
    </cfRule>
  </conditionalFormatting>
  <conditionalFormatting sqref="D63">
    <cfRule type="cellIs" priority="1" dxfId="0" operator="lessThan" stopIfTrue="1">
      <formula>0</formula>
    </cfRule>
  </conditionalFormatting>
  <printOptions/>
  <pageMargins left="1.12" right="0.5" top="0.74" bottom="0.34" header="0.5" footer="0"/>
  <pageSetup blackAndWhite="1" horizontalDpi="120" verticalDpi="120" orientation="portrait" scale="62" r:id="rId1"/>
  <headerFooter alignWithMargins="0">
    <oddHeader>&amp;RState of Kansas
County
</oddHeader>
  </headerFooter>
</worksheet>
</file>

<file path=xl/worksheets/sheet15.xml><?xml version="1.0" encoding="utf-8"?>
<worksheet xmlns="http://schemas.openxmlformats.org/spreadsheetml/2006/main" xmlns:r="http://schemas.openxmlformats.org/officeDocument/2006/relationships">
  <dimension ref="B1:K86"/>
  <sheetViews>
    <sheetView view="pageBreakPreview" zoomScale="96" zoomScaleSheetLayoutView="96" zoomScalePageLayoutView="0" workbookViewId="0" topLeftCell="A50">
      <selection activeCell="E69" sqref="E69"/>
    </sheetView>
  </sheetViews>
  <sheetFormatPr defaultColWidth="8.796875" defaultRowHeight="15"/>
  <cols>
    <col min="1" max="1" width="2.3984375" style="48" customWidth="1"/>
    <col min="2" max="2" width="31.09765625" style="48" customWidth="1"/>
    <col min="3" max="4" width="15.796875" style="48" customWidth="1"/>
    <col min="5" max="5" width="16.09765625" style="48" customWidth="1"/>
    <col min="6" max="6" width="7.3984375" style="48" customWidth="1"/>
    <col min="7" max="7" width="10.19921875" style="48" customWidth="1"/>
    <col min="8" max="8" width="8.8984375" style="48" customWidth="1"/>
    <col min="9" max="9" width="5" style="48" customWidth="1"/>
    <col min="10" max="10" width="10" style="48" customWidth="1"/>
    <col min="11" max="16384" width="8.8984375" style="48" customWidth="1"/>
  </cols>
  <sheetData>
    <row r="1" spans="2:5" ht="15.75">
      <c r="B1" s="182" t="str">
        <f>(inputPrYr!C2)</f>
        <v>MITCHELL COUNTY</v>
      </c>
      <c r="C1" s="51"/>
      <c r="D1" s="51"/>
      <c r="E1" s="240">
        <f>inputPrYr!C4</f>
        <v>2014</v>
      </c>
    </row>
    <row r="2" spans="2:5" ht="15.75">
      <c r="B2" s="51"/>
      <c r="C2" s="51"/>
      <c r="D2" s="51"/>
      <c r="E2" s="194"/>
    </row>
    <row r="3" spans="2:5" ht="15.75">
      <c r="B3" s="118" t="s">
        <v>155</v>
      </c>
      <c r="C3" s="286"/>
      <c r="D3" s="286"/>
      <c r="E3" s="287"/>
    </row>
    <row r="4" spans="2:5" ht="15.75">
      <c r="B4" s="50" t="s">
        <v>75</v>
      </c>
      <c r="C4" s="511" t="s">
        <v>317</v>
      </c>
      <c r="D4" s="512" t="s">
        <v>318</v>
      </c>
      <c r="E4" s="178" t="s">
        <v>319</v>
      </c>
    </row>
    <row r="5" spans="2:5" ht="15.75">
      <c r="B5" s="393" t="str">
        <f>inputPrYr!B21</f>
        <v>Conservation</v>
      </c>
      <c r="C5" s="366" t="str">
        <f>CONCATENATE("Actual for ",E1-2,"")</f>
        <v>Actual for 2012</v>
      </c>
      <c r="D5" s="366" t="str">
        <f>CONCATENATE("Estimate for ",E1-1,"")</f>
        <v>Estimate for 2013</v>
      </c>
      <c r="E5" s="256" t="str">
        <f>CONCATENATE("Year for ",E1,"")</f>
        <v>Year for 2014</v>
      </c>
    </row>
    <row r="6" spans="2:5" ht="15.75">
      <c r="B6" s="114" t="s">
        <v>197</v>
      </c>
      <c r="C6" s="363">
        <v>1446</v>
      </c>
      <c r="D6" s="367">
        <f>C28</f>
        <v>2046</v>
      </c>
      <c r="E6" s="219">
        <f>D28</f>
        <v>699</v>
      </c>
    </row>
    <row r="7" spans="2:5" ht="15.75">
      <c r="B7" s="244" t="s">
        <v>199</v>
      </c>
      <c r="C7" s="259"/>
      <c r="D7" s="259"/>
      <c r="E7" s="93"/>
    </row>
    <row r="8" spans="2:5" ht="15.75">
      <c r="B8" s="114" t="s">
        <v>76</v>
      </c>
      <c r="C8" s="363">
        <v>20106</v>
      </c>
      <c r="D8" s="367">
        <v>17947</v>
      </c>
      <c r="E8" s="290" t="s">
        <v>62</v>
      </c>
    </row>
    <row r="9" spans="2:5" ht="15.75">
      <c r="B9" s="114" t="s">
        <v>77</v>
      </c>
      <c r="C9" s="363">
        <v>496</v>
      </c>
      <c r="D9" s="363">
        <v>66</v>
      </c>
      <c r="E9" s="78">
        <v>66</v>
      </c>
    </row>
    <row r="10" spans="2:5" ht="15.75">
      <c r="B10" s="114" t="s">
        <v>78</v>
      </c>
      <c r="C10" s="363">
        <v>2054</v>
      </c>
      <c r="D10" s="363">
        <v>2697</v>
      </c>
      <c r="E10" s="219">
        <f>mvalloc!E12</f>
        <v>2331</v>
      </c>
    </row>
    <row r="11" spans="2:5" ht="15.75">
      <c r="B11" s="114" t="s">
        <v>79</v>
      </c>
      <c r="C11" s="363"/>
      <c r="D11" s="363">
        <v>40</v>
      </c>
      <c r="E11" s="219">
        <f>mvalloc!F12</f>
        <v>32</v>
      </c>
    </row>
    <row r="12" spans="2:5" ht="15.75">
      <c r="B12" s="259" t="s">
        <v>148</v>
      </c>
      <c r="C12" s="363"/>
      <c r="D12" s="363">
        <v>313</v>
      </c>
      <c r="E12" s="219">
        <f>mvalloc!G12</f>
        <v>265</v>
      </c>
    </row>
    <row r="13" spans="2:5" ht="15.75">
      <c r="B13" s="261" t="s">
        <v>373</v>
      </c>
      <c r="C13" s="545">
        <v>-1056</v>
      </c>
      <c r="D13" s="545">
        <v>-1410</v>
      </c>
      <c r="E13" s="546">
        <v>-1650</v>
      </c>
    </row>
    <row r="14" spans="2:5" ht="15.75">
      <c r="B14" s="271"/>
      <c r="C14" s="363"/>
      <c r="D14" s="363"/>
      <c r="E14" s="78"/>
    </row>
    <row r="15" spans="2:5" ht="15.75">
      <c r="B15" s="262" t="s">
        <v>83</v>
      </c>
      <c r="C15" s="363"/>
      <c r="D15" s="363"/>
      <c r="E15" s="78"/>
    </row>
    <row r="16" spans="2:5" ht="15.75">
      <c r="B16" s="263" t="s">
        <v>37</v>
      </c>
      <c r="C16" s="363"/>
      <c r="D16" s="363"/>
      <c r="E16" s="78"/>
    </row>
    <row r="17" spans="2:5" ht="15.75">
      <c r="B17" s="263" t="s">
        <v>282</v>
      </c>
      <c r="C17" s="364">
        <f>IF(C18*0.1&lt;C16,"Exceed 10% Rule","")</f>
      </c>
      <c r="D17" s="364">
        <f>IF(D18*0.1&lt;D16,"Exceed 10% Rule","")</f>
      </c>
      <c r="E17" s="297">
        <f>IF(E18*0.1+E34&lt;E16,"Exceed 10% Rule","")</f>
      </c>
    </row>
    <row r="18" spans="2:5" ht="15.75">
      <c r="B18" s="265" t="s">
        <v>84</v>
      </c>
      <c r="C18" s="365">
        <f>SUM(C8:C16)</f>
        <v>21600</v>
      </c>
      <c r="D18" s="365">
        <f>SUM(D8:D16)</f>
        <v>19653</v>
      </c>
      <c r="E18" s="305">
        <f>SUM(E8:E16)</f>
        <v>1044</v>
      </c>
    </row>
    <row r="19" spans="2:5" ht="15.75">
      <c r="B19" s="265" t="s">
        <v>85</v>
      </c>
      <c r="C19" s="365">
        <f>C6+C18</f>
        <v>23046</v>
      </c>
      <c r="D19" s="365">
        <f>D6+D18</f>
        <v>21699</v>
      </c>
      <c r="E19" s="305">
        <f>E6+E18</f>
        <v>1743</v>
      </c>
    </row>
    <row r="20" spans="2:5" ht="15.75">
      <c r="B20" s="114" t="s">
        <v>88</v>
      </c>
      <c r="C20" s="263"/>
      <c r="D20" s="263"/>
      <c r="E20" s="74"/>
    </row>
    <row r="21" spans="2:5" ht="15.75">
      <c r="B21" s="271" t="s">
        <v>402</v>
      </c>
      <c r="C21" s="363">
        <v>21000</v>
      </c>
      <c r="D21" s="363">
        <v>21000</v>
      </c>
      <c r="E21" s="78">
        <v>21000</v>
      </c>
    </row>
    <row r="22" spans="2:10" ht="15.75">
      <c r="B22" s="271"/>
      <c r="C22" s="363"/>
      <c r="D22" s="363"/>
      <c r="E22" s="78"/>
      <c r="G22" s="604" t="str">
        <f>CONCATENATE("Desired Carryover Into ",E1+1,"")</f>
        <v>Desired Carryover Into 2015</v>
      </c>
      <c r="H22" s="605"/>
      <c r="I22" s="605"/>
      <c r="J22" s="606"/>
    </row>
    <row r="23" spans="2:10" ht="15.75">
      <c r="B23" s="271"/>
      <c r="C23" s="363"/>
      <c r="D23" s="363"/>
      <c r="E23" s="78"/>
      <c r="G23" s="470" t="s">
        <v>315</v>
      </c>
      <c r="H23" s="471"/>
      <c r="I23" s="471"/>
      <c r="J23" s="472" t="e">
        <f>IF(#REF!&gt;0,#REF!-E31,0)</f>
        <v>#REF!</v>
      </c>
    </row>
    <row r="24" spans="2:10" ht="15.75">
      <c r="B24" s="263" t="s">
        <v>39</v>
      </c>
      <c r="C24" s="363"/>
      <c r="D24" s="363"/>
      <c r="E24" s="86"/>
      <c r="G24" s="1"/>
      <c r="H24" s="1"/>
      <c r="I24" s="1"/>
      <c r="J24" s="1"/>
    </row>
    <row r="25" spans="2:10" ht="15.75">
      <c r="B25" s="263" t="s">
        <v>37</v>
      </c>
      <c r="C25" s="363"/>
      <c r="D25" s="363"/>
      <c r="E25" s="78"/>
      <c r="G25" s="604" t="str">
        <f>CONCATENATE("Projected Carryover Into ",E1+1,"")</f>
        <v>Projected Carryover Into 2015</v>
      </c>
      <c r="H25" s="611"/>
      <c r="I25" s="611"/>
      <c r="J25" s="612"/>
    </row>
    <row r="26" spans="2:10" ht="15.75">
      <c r="B26" s="263" t="s">
        <v>281</v>
      </c>
      <c r="C26" s="364">
        <f>IF(C27*0.1&lt;C25,"Exceed 10% Rule","")</f>
      </c>
      <c r="D26" s="364">
        <f>IF(D27*0.1&lt;D25,"Exceed 10% Rule","")</f>
      </c>
      <c r="E26" s="297">
        <f>IF(E27*0.1&lt;E25,"Exceed 10% Rule","")</f>
      </c>
      <c r="G26" s="459"/>
      <c r="H26" s="461"/>
      <c r="I26" s="461"/>
      <c r="J26" s="487"/>
    </row>
    <row r="27" spans="2:10" ht="15.75">
      <c r="B27" s="265" t="s">
        <v>89</v>
      </c>
      <c r="C27" s="365">
        <f>SUM(C21:C25)</f>
        <v>21000</v>
      </c>
      <c r="D27" s="365">
        <f>SUM(D21:D25)</f>
        <v>21000</v>
      </c>
      <c r="E27" s="305">
        <f>SUM(E21:E25)</f>
        <v>21000</v>
      </c>
      <c r="G27" s="488">
        <f>D28</f>
        <v>699</v>
      </c>
      <c r="H27" s="478" t="str">
        <f>CONCATENATE("",E1-1," Ending Cash Balance (est.)")</f>
        <v>2013 Ending Cash Balance (est.)</v>
      </c>
      <c r="I27" s="489"/>
      <c r="J27" s="487"/>
    </row>
    <row r="28" spans="2:10" ht="15.75">
      <c r="B28" s="114" t="s">
        <v>198</v>
      </c>
      <c r="C28" s="368">
        <f>C19-C27</f>
        <v>2046</v>
      </c>
      <c r="D28" s="368">
        <f>D19-D27</f>
        <v>699</v>
      </c>
      <c r="E28" s="290" t="s">
        <v>62</v>
      </c>
      <c r="G28" s="488">
        <f>E18</f>
        <v>1044</v>
      </c>
      <c r="H28" s="461" t="str">
        <f>CONCATENATE("",E1," Non-AV Receipts (est.)")</f>
        <v>2014 Non-AV Receipts (est.)</v>
      </c>
      <c r="I28" s="489"/>
      <c r="J28" s="487"/>
    </row>
    <row r="29" spans="2:11" ht="15.75">
      <c r="B29" s="241" t="str">
        <f>CONCATENATE("",E$1-2,"/",E$1-1," Budget Authority Amount:")</f>
        <v>2012/2013 Budget Authority Amount:</v>
      </c>
      <c r="C29" s="233">
        <f>inputOth!B37</f>
        <v>21000</v>
      </c>
      <c r="D29" s="233">
        <f>inputPrYr!D21</f>
        <v>21000</v>
      </c>
      <c r="E29" s="290" t="s">
        <v>62</v>
      </c>
      <c r="F29" s="273"/>
      <c r="G29" s="490">
        <f>IF(E33&gt;0,E32,E34)</f>
        <v>19257</v>
      </c>
      <c r="H29" s="461" t="str">
        <f>CONCATENATE("",E1," Ad Valorem Tax (est.)")</f>
        <v>2014 Ad Valorem Tax (est.)</v>
      </c>
      <c r="I29" s="489"/>
      <c r="J29" s="487"/>
      <c r="K29" s="475" t="str">
        <f>IF(G29=E34,"","Note: Does not include Delinquent Taxes")</f>
        <v>Note: Does not include Delinquent Taxes</v>
      </c>
    </row>
    <row r="30" spans="2:10" ht="15.75">
      <c r="B30" s="241"/>
      <c r="C30" s="594" t="s">
        <v>284</v>
      </c>
      <c r="D30" s="595"/>
      <c r="E30" s="247"/>
      <c r="F30" s="402">
        <f>IF(E27/0.95-E27&lt;E30,"Exceeds 5%","")</f>
      </c>
      <c r="G30" s="488">
        <f>SUM(G27:G29)</f>
        <v>21000</v>
      </c>
      <c r="H30" s="461" t="str">
        <f>CONCATENATE("Total ",E1," Resources Available")</f>
        <v>Total 2014 Resources Available</v>
      </c>
      <c r="I30" s="489"/>
      <c r="J30" s="487"/>
    </row>
    <row r="31" spans="2:10" ht="15.75">
      <c r="B31" s="406" t="str">
        <f>CONCATENATE(C83,"     ",D83)</f>
        <v>     </v>
      </c>
      <c r="C31" s="596" t="s">
        <v>285</v>
      </c>
      <c r="D31" s="597"/>
      <c r="E31" s="219">
        <f>E27+E30</f>
        <v>21000</v>
      </c>
      <c r="G31" s="491"/>
      <c r="H31" s="461"/>
      <c r="I31" s="461"/>
      <c r="J31" s="487"/>
    </row>
    <row r="32" spans="2:10" ht="15.75">
      <c r="B32" s="406" t="str">
        <f>CONCATENATE(C84,"     ",D84)</f>
        <v>     </v>
      </c>
      <c r="C32" s="274"/>
      <c r="D32" s="194" t="s">
        <v>90</v>
      </c>
      <c r="E32" s="86">
        <f>IF(E31-E19&gt;0,E31-E19,0)</f>
        <v>19257</v>
      </c>
      <c r="G32" s="490">
        <f>ROUND(C27*0.05+C27,0)</f>
        <v>22050</v>
      </c>
      <c r="H32" s="461" t="str">
        <f>CONCATENATE("Less ",E1-2," Expenditures + 5%")</f>
        <v>Less 2012 Expenditures + 5%</v>
      </c>
      <c r="I32" s="489"/>
      <c r="J32" s="492"/>
    </row>
    <row r="33" spans="2:10" ht="15.75">
      <c r="B33" s="194"/>
      <c r="C33" s="404" t="s">
        <v>286</v>
      </c>
      <c r="D33" s="458">
        <f>inputOth!$E$23</f>
        <v>0.03</v>
      </c>
      <c r="E33" s="219">
        <f>ROUND(IF(D33&gt;0,($E$32*D33),0),0)</f>
        <v>578</v>
      </c>
      <c r="G33" s="493">
        <f>G30-G32</f>
        <v>-1050</v>
      </c>
      <c r="H33" s="494" t="str">
        <f>CONCATENATE("Projected ",E1+1," carryover (est.)")</f>
        <v>Projected 2015 carryover (est.)</v>
      </c>
      <c r="I33" s="495"/>
      <c r="J33" s="496"/>
    </row>
    <row r="34" spans="2:10" ht="15.75">
      <c r="B34" s="51"/>
      <c r="C34" s="602" t="str">
        <f>CONCATENATE("Amount of  ",$E$1-1," Ad Valorem Tax")</f>
        <v>Amount of  2013 Ad Valorem Tax</v>
      </c>
      <c r="D34" s="603"/>
      <c r="E34" s="301">
        <f>E32+E33</f>
        <v>19835</v>
      </c>
      <c r="G34" s="1"/>
      <c r="H34" s="1"/>
      <c r="I34" s="1"/>
      <c r="J34" s="1"/>
    </row>
    <row r="35" spans="2:10" ht="15.75">
      <c r="B35" s="50" t="s">
        <v>75</v>
      </c>
      <c r="C35" s="280"/>
      <c r="D35" s="280"/>
      <c r="E35" s="280"/>
      <c r="G35" s="607" t="s">
        <v>316</v>
      </c>
      <c r="H35" s="608"/>
      <c r="I35" s="608"/>
      <c r="J35" s="609"/>
    </row>
    <row r="36" spans="2:10" ht="15.75">
      <c r="B36" s="51"/>
      <c r="C36" s="511" t="str">
        <f aca="true" t="shared" si="0" ref="C36:E37">C4</f>
        <v>Prior Year </v>
      </c>
      <c r="D36" s="512" t="str">
        <f t="shared" si="0"/>
        <v>Current Year </v>
      </c>
      <c r="E36" s="178" t="str">
        <f t="shared" si="0"/>
        <v>Proposed Budget </v>
      </c>
      <c r="G36" s="477"/>
      <c r="H36" s="478"/>
      <c r="I36" s="479"/>
      <c r="J36" s="480"/>
    </row>
    <row r="37" spans="2:10" ht="15.75">
      <c r="B37" s="392" t="str">
        <f>inputPrYr!B22</f>
        <v>Noxious Weed</v>
      </c>
      <c r="C37" s="366" t="str">
        <f t="shared" si="0"/>
        <v>Actual for 2012</v>
      </c>
      <c r="D37" s="366" t="str">
        <f t="shared" si="0"/>
        <v>Estimate for 2013</v>
      </c>
      <c r="E37" s="256" t="str">
        <f t="shared" si="0"/>
        <v>Year for 2014</v>
      </c>
      <c r="G37" s="481">
        <f>summ!H21</f>
        <v>0.292</v>
      </c>
      <c r="H37" s="478" t="str">
        <f>CONCATENATE("",E1," Fund Mill Rate")</f>
        <v>2014 Fund Mill Rate</v>
      </c>
      <c r="I37" s="479"/>
      <c r="J37" s="480"/>
    </row>
    <row r="38" spans="2:10" ht="15.75">
      <c r="B38" s="114" t="s">
        <v>197</v>
      </c>
      <c r="C38" s="363">
        <v>26921</v>
      </c>
      <c r="D38" s="367">
        <f>C66</f>
        <v>53538</v>
      </c>
      <c r="E38" s="219">
        <f>D66</f>
        <v>13081</v>
      </c>
      <c r="G38" s="482">
        <f>summ!E21</f>
        <v>0.294</v>
      </c>
      <c r="H38" s="478" t="str">
        <f>CONCATENATE("",E1-1," Fund Mill Rate")</f>
        <v>2013 Fund Mill Rate</v>
      </c>
      <c r="I38" s="479"/>
      <c r="J38" s="480"/>
    </row>
    <row r="39" spans="2:10" ht="15.75">
      <c r="B39" s="257" t="s">
        <v>199</v>
      </c>
      <c r="C39" s="259"/>
      <c r="D39" s="259"/>
      <c r="E39" s="93"/>
      <c r="G39" s="483">
        <f>summ!H53</f>
        <v>96.518</v>
      </c>
      <c r="H39" s="478" t="str">
        <f>CONCATENATE("Total ",E1," Mill Rate")</f>
        <v>Total 2014 Mill Rate</v>
      </c>
      <c r="I39" s="479"/>
      <c r="J39" s="480"/>
    </row>
    <row r="40" spans="2:10" ht="15.75">
      <c r="B40" s="114" t="s">
        <v>76</v>
      </c>
      <c r="C40" s="363">
        <v>144295</v>
      </c>
      <c r="D40" s="367">
        <v>78421</v>
      </c>
      <c r="E40" s="290" t="s">
        <v>62</v>
      </c>
      <c r="G40" s="482">
        <f>summ!E53</f>
        <v>89.61599999999999</v>
      </c>
      <c r="H40" s="484" t="str">
        <f>CONCATENATE("Total ",E1-1," Mill Rate")</f>
        <v>Total 2013 Mill Rate</v>
      </c>
      <c r="I40" s="485"/>
      <c r="J40" s="486"/>
    </row>
    <row r="41" spans="2:10" ht="15.75">
      <c r="B41" s="114" t="s">
        <v>77</v>
      </c>
      <c r="C41" s="363">
        <v>3471</v>
      </c>
      <c r="D41" s="363">
        <v>400</v>
      </c>
      <c r="E41" s="78">
        <v>400</v>
      </c>
      <c r="G41" s="1"/>
      <c r="H41" s="1"/>
      <c r="I41" s="1"/>
      <c r="J41" s="1"/>
    </row>
    <row r="42" spans="2:10" ht="15.75">
      <c r="B42" s="114" t="s">
        <v>78</v>
      </c>
      <c r="C42" s="363">
        <v>18209</v>
      </c>
      <c r="D42" s="363">
        <v>19393</v>
      </c>
      <c r="E42" s="219">
        <f>mvalloc!E13</f>
        <v>10186</v>
      </c>
      <c r="G42" s="531" t="s">
        <v>323</v>
      </c>
      <c r="H42" s="530"/>
      <c r="I42" s="529" t="str">
        <f>cert!E63</f>
        <v>Yes</v>
      </c>
      <c r="J42" s="1"/>
    </row>
    <row r="43" spans="2:10" ht="15.75">
      <c r="B43" s="114" t="s">
        <v>79</v>
      </c>
      <c r="C43" s="363"/>
      <c r="D43" s="363">
        <v>286</v>
      </c>
      <c r="E43" s="219">
        <f>mvalloc!F13</f>
        <v>141</v>
      </c>
      <c r="G43" s="1"/>
      <c r="H43" s="1"/>
      <c r="I43" s="1"/>
      <c r="J43" s="1"/>
    </row>
    <row r="44" spans="2:10" ht="15.75">
      <c r="B44" s="259" t="s">
        <v>148</v>
      </c>
      <c r="C44" s="363"/>
      <c r="D44" s="363">
        <v>2249</v>
      </c>
      <c r="E44" s="219">
        <f>mvalloc!G13</f>
        <v>1158</v>
      </c>
      <c r="G44" s="1"/>
      <c r="H44" s="1"/>
      <c r="I44" s="1"/>
      <c r="J44" s="1"/>
    </row>
    <row r="45" spans="2:10" ht="15.75">
      <c r="B45" s="261" t="s">
        <v>373</v>
      </c>
      <c r="C45" s="545">
        <v>-7576</v>
      </c>
      <c r="D45" s="545">
        <f>+-10118</f>
        <v>-10118</v>
      </c>
      <c r="E45" s="546">
        <v>-7194</v>
      </c>
      <c r="G45" s="1"/>
      <c r="H45" s="1"/>
      <c r="I45" s="1"/>
      <c r="J45" s="1"/>
    </row>
    <row r="46" spans="2:10" ht="15.75">
      <c r="B46" s="271" t="s">
        <v>442</v>
      </c>
      <c r="C46" s="363">
        <v>185245</v>
      </c>
      <c r="D46" s="363">
        <v>190000</v>
      </c>
      <c r="E46" s="78">
        <v>213821</v>
      </c>
      <c r="G46" s="1"/>
      <c r="H46" s="1"/>
      <c r="I46" s="1"/>
      <c r="J46" s="1"/>
    </row>
    <row r="47" spans="2:10" ht="15.75">
      <c r="B47" s="271"/>
      <c r="C47" s="363"/>
      <c r="D47" s="363"/>
      <c r="E47" s="78"/>
      <c r="G47" s="1"/>
      <c r="H47" s="1"/>
      <c r="I47" s="1"/>
      <c r="J47" s="1"/>
    </row>
    <row r="48" spans="2:10" ht="15.75">
      <c r="B48" s="271"/>
      <c r="C48" s="363"/>
      <c r="D48" s="363"/>
      <c r="E48" s="78"/>
      <c r="G48" s="1"/>
      <c r="H48" s="1"/>
      <c r="I48" s="1"/>
      <c r="J48" s="1"/>
    </row>
    <row r="49" spans="2:10" ht="15.75">
      <c r="B49" s="262" t="s">
        <v>83</v>
      </c>
      <c r="C49" s="363"/>
      <c r="D49" s="363"/>
      <c r="E49" s="78"/>
      <c r="G49" s="1"/>
      <c r="H49" s="1"/>
      <c r="I49" s="1"/>
      <c r="J49" s="1"/>
    </row>
    <row r="50" spans="2:10" ht="15.75">
      <c r="B50" s="263" t="s">
        <v>37</v>
      </c>
      <c r="C50" s="363"/>
      <c r="D50" s="363"/>
      <c r="E50" s="78"/>
      <c r="G50" s="1"/>
      <c r="H50" s="1"/>
      <c r="I50" s="1"/>
      <c r="J50" s="1"/>
    </row>
    <row r="51" spans="2:10" ht="15.75">
      <c r="B51" s="263" t="s">
        <v>282</v>
      </c>
      <c r="C51" s="364">
        <f>IF(C52*0.1&lt;C50,"Exceed 10% Rule","")</f>
      </c>
      <c r="D51" s="364">
        <f>IF(D52*0.1&lt;D50,"Exceed 10% Rule","")</f>
      </c>
      <c r="E51" s="297">
        <f>IF(E52*0.1+E72&lt;E50,"Exceed 10% Rule","")</f>
      </c>
      <c r="G51" s="1"/>
      <c r="H51" s="1"/>
      <c r="I51" s="1"/>
      <c r="J51" s="1"/>
    </row>
    <row r="52" spans="2:10" ht="15.75">
      <c r="B52" s="265" t="s">
        <v>84</v>
      </c>
      <c r="C52" s="365">
        <f>SUM(C40:C50)</f>
        <v>343644</v>
      </c>
      <c r="D52" s="365">
        <f>SUM(D40:D50)</f>
        <v>280631</v>
      </c>
      <c r="E52" s="305">
        <f>SUM(E41:E50)</f>
        <v>218512</v>
      </c>
      <c r="G52" s="1"/>
      <c r="H52" s="1"/>
      <c r="I52" s="1"/>
      <c r="J52" s="1"/>
    </row>
    <row r="53" spans="2:10" ht="15.75">
      <c r="B53" s="265" t="s">
        <v>85</v>
      </c>
      <c r="C53" s="365">
        <f>C38+C52</f>
        <v>370565</v>
      </c>
      <c r="D53" s="365">
        <f>D38+D52</f>
        <v>334169</v>
      </c>
      <c r="E53" s="305">
        <f>E38+E52</f>
        <v>231593</v>
      </c>
      <c r="G53" s="1"/>
      <c r="H53" s="1"/>
      <c r="I53" s="1"/>
      <c r="J53" s="1"/>
    </row>
    <row r="54" spans="2:10" ht="15.75">
      <c r="B54" s="114" t="s">
        <v>88</v>
      </c>
      <c r="C54" s="263"/>
      <c r="D54" s="263"/>
      <c r="E54" s="74"/>
      <c r="G54" s="1"/>
      <c r="H54" s="1"/>
      <c r="I54" s="1"/>
      <c r="J54" s="1"/>
    </row>
    <row r="55" spans="2:10" ht="15.75">
      <c r="B55" s="76" t="s">
        <v>397</v>
      </c>
      <c r="C55" s="363">
        <v>61601</v>
      </c>
      <c r="D55" s="363">
        <v>63663</v>
      </c>
      <c r="E55" s="78">
        <v>67741</v>
      </c>
      <c r="G55" s="1"/>
      <c r="H55" s="1"/>
      <c r="I55" s="1"/>
      <c r="J55" s="1"/>
    </row>
    <row r="56" spans="2:10" ht="15.75">
      <c r="B56" s="76" t="s">
        <v>398</v>
      </c>
      <c r="C56" s="363">
        <v>7777</v>
      </c>
      <c r="D56" s="363">
        <v>11704</v>
      </c>
      <c r="E56" s="78">
        <v>11704</v>
      </c>
      <c r="G56" s="604" t="str">
        <f>CONCATENATE("Desired Carryover Into ",E1+1,"")</f>
        <v>Desired Carryover Into 2015</v>
      </c>
      <c r="H56" s="605"/>
      <c r="I56" s="605"/>
      <c r="J56" s="606"/>
    </row>
    <row r="57" spans="2:10" ht="15.75">
      <c r="B57" s="76" t="s">
        <v>399</v>
      </c>
      <c r="C57" s="363">
        <v>213860</v>
      </c>
      <c r="D57" s="363">
        <v>212514</v>
      </c>
      <c r="E57" s="78">
        <v>212514</v>
      </c>
      <c r="G57" s="459"/>
      <c r="H57" s="460"/>
      <c r="I57" s="461"/>
      <c r="J57" s="462"/>
    </row>
    <row r="58" spans="2:10" ht="15.75">
      <c r="B58" s="76" t="s">
        <v>400</v>
      </c>
      <c r="C58" s="363">
        <v>0</v>
      </c>
      <c r="D58" s="363">
        <v>9027</v>
      </c>
      <c r="E58" s="78">
        <v>9027</v>
      </c>
      <c r="G58" s="463" t="s">
        <v>287</v>
      </c>
      <c r="H58" s="461"/>
      <c r="I58" s="461"/>
      <c r="J58" s="464">
        <v>0</v>
      </c>
    </row>
    <row r="59" spans="2:10" ht="15.75">
      <c r="B59" s="247" t="s">
        <v>103</v>
      </c>
      <c r="C59" s="363">
        <v>23789</v>
      </c>
      <c r="D59" s="363">
        <v>24180</v>
      </c>
      <c r="E59" s="78">
        <v>34182</v>
      </c>
      <c r="G59" s="459" t="s">
        <v>288</v>
      </c>
      <c r="H59" s="460"/>
      <c r="I59" s="460"/>
      <c r="J59" s="465">
        <f>IF(J58=0,"",ROUND((J58+E72-G71)/inputOth!E6*1000,3)-G76)</f>
      </c>
    </row>
    <row r="60" spans="2:10" ht="15.75">
      <c r="B60" s="535" t="s">
        <v>403</v>
      </c>
      <c r="C60" s="363">
        <v>10000</v>
      </c>
      <c r="D60" s="363"/>
      <c r="E60" s="78"/>
      <c r="G60" s="466" t="str">
        <f>CONCATENATE("",E1," Tot Exp/Non-Appr Must Be:")</f>
        <v>2014 Tot Exp/Non-Appr Must Be:</v>
      </c>
      <c r="H60" s="467"/>
      <c r="I60" s="468"/>
      <c r="J60" s="469">
        <f>IF(J58&gt;0,IF(E69&lt;E53,IF(J58=G71,E69,((J58-G71)*(1-D71))+E53),E69+(J58-G71)),0)</f>
        <v>0</v>
      </c>
    </row>
    <row r="61" spans="2:10" ht="15.75">
      <c r="B61" s="271"/>
      <c r="C61" s="363"/>
      <c r="D61" s="363"/>
      <c r="E61" s="78"/>
      <c r="G61" s="470" t="s">
        <v>315</v>
      </c>
      <c r="H61" s="471"/>
      <c r="I61" s="471"/>
      <c r="J61" s="472">
        <f>IF(J58&gt;0,J60-E69,0)</f>
        <v>0</v>
      </c>
    </row>
    <row r="62" spans="2:10" ht="15.75">
      <c r="B62" s="263" t="s">
        <v>39</v>
      </c>
      <c r="C62" s="363"/>
      <c r="D62" s="363"/>
      <c r="E62" s="86"/>
      <c r="G62" s="1"/>
      <c r="H62" s="1"/>
      <c r="I62" s="1"/>
      <c r="J62" s="1"/>
    </row>
    <row r="63" spans="2:10" ht="15.75">
      <c r="B63" s="263" t="s">
        <v>37</v>
      </c>
      <c r="C63" s="363"/>
      <c r="D63" s="363"/>
      <c r="E63" s="78"/>
      <c r="G63" s="604" t="str">
        <f>CONCATENATE("Projected Carryover Into ",E1+1,"")</f>
        <v>Projected Carryover Into 2015</v>
      </c>
      <c r="H63" s="613"/>
      <c r="I63" s="613"/>
      <c r="J63" s="612"/>
    </row>
    <row r="64" spans="2:10" ht="15.75">
      <c r="B64" s="263" t="s">
        <v>281</v>
      </c>
      <c r="C64" s="364">
        <f>IF(C65*0.1&lt;C63,"Exceed 10% Rule","")</f>
      </c>
      <c r="D64" s="364">
        <f>IF(D65*0.1&lt;D63,"Exceed 10% Rule","")</f>
      </c>
      <c r="E64" s="297">
        <f>IF(E65*0.1&lt;E63,"Exceed 10% Rule","")</f>
      </c>
      <c r="G64" s="497"/>
      <c r="H64" s="460"/>
      <c r="I64" s="460"/>
      <c r="J64" s="492"/>
    </row>
    <row r="65" spans="2:10" ht="15.75">
      <c r="B65" s="265" t="s">
        <v>89</v>
      </c>
      <c r="C65" s="365">
        <f>SUM(C55:C63)</f>
        <v>317027</v>
      </c>
      <c r="D65" s="365">
        <f>SUM(D55:D63)</f>
        <v>321088</v>
      </c>
      <c r="E65" s="305">
        <f>SUM(E55:E63)</f>
        <v>335168</v>
      </c>
      <c r="G65" s="488">
        <f>D66</f>
        <v>13081</v>
      </c>
      <c r="H65" s="478" t="str">
        <f>CONCATENATE("",E1-1," Ending Cash Balance (est.)")</f>
        <v>2013 Ending Cash Balance (est.)</v>
      </c>
      <c r="I65" s="489"/>
      <c r="J65" s="492"/>
    </row>
    <row r="66" spans="2:10" ht="15.75">
      <c r="B66" s="114" t="s">
        <v>198</v>
      </c>
      <c r="C66" s="368">
        <f>C53-C65</f>
        <v>53538</v>
      </c>
      <c r="D66" s="368">
        <f>D53-D65</f>
        <v>13081</v>
      </c>
      <c r="E66" s="290" t="s">
        <v>62</v>
      </c>
      <c r="G66" s="488">
        <f>E52</f>
        <v>218512</v>
      </c>
      <c r="H66" s="461" t="str">
        <f>CONCATENATE("",E1," Non-AV Receipts (est.)")</f>
        <v>2014 Non-AV Receipts (est.)</v>
      </c>
      <c r="I66" s="489"/>
      <c r="J66" s="492"/>
    </row>
    <row r="67" spans="2:11" ht="15.75">
      <c r="B67" s="241" t="str">
        <f>CONCATENATE("",E$1-2,"/",E$1-1," Budget Authority Amount:")</f>
        <v>2012/2013 Budget Authority Amount:</v>
      </c>
      <c r="C67" s="233">
        <f>inputOth!B38</f>
        <v>378979</v>
      </c>
      <c r="D67" s="233">
        <f>inputPrYr!D22</f>
        <v>321088</v>
      </c>
      <c r="E67" s="290" t="s">
        <v>62</v>
      </c>
      <c r="F67" s="273"/>
      <c r="G67" s="490">
        <f>IF(E71&gt;0,E70,E72)</f>
        <v>103575</v>
      </c>
      <c r="H67" s="461" t="str">
        <f>CONCATENATE("",E1," Ad Valorem Tax (est.)")</f>
        <v>2014 Ad Valorem Tax (est.)</v>
      </c>
      <c r="I67" s="489"/>
      <c r="J67" s="492"/>
      <c r="K67" s="475" t="str">
        <f>IF(G67=E72,"","Note: Does not include Delinquent Taxes")</f>
        <v>Note: Does not include Delinquent Taxes</v>
      </c>
    </row>
    <row r="68" spans="2:10" ht="15.75">
      <c r="B68" s="241"/>
      <c r="C68" s="594" t="s">
        <v>284</v>
      </c>
      <c r="D68" s="595"/>
      <c r="E68" s="78"/>
      <c r="F68" s="402">
        <f>IF(E65/0.95-E65&lt;E68,"Exceeds 5%","")</f>
      </c>
      <c r="G68" s="498">
        <f>SUM(G65:G67)</f>
        <v>335168</v>
      </c>
      <c r="H68" s="461" t="str">
        <f>CONCATENATE("Total ",E1," Resources Available")</f>
        <v>Total 2014 Resources Available</v>
      </c>
      <c r="I68" s="499"/>
      <c r="J68" s="492"/>
    </row>
    <row r="69" spans="2:10" ht="15.75">
      <c r="B69" s="405" t="str">
        <f>CONCATENATE(C85,"     ",D85)</f>
        <v>     </v>
      </c>
      <c r="C69" s="596" t="s">
        <v>285</v>
      </c>
      <c r="D69" s="597"/>
      <c r="E69" s="219">
        <f>E65+E68</f>
        <v>335168</v>
      </c>
      <c r="G69" s="500"/>
      <c r="H69" s="501"/>
      <c r="I69" s="460"/>
      <c r="J69" s="492"/>
    </row>
    <row r="70" spans="2:10" ht="15.75">
      <c r="B70" s="405" t="str">
        <f>CONCATENATE(C86,"     ",D86)</f>
        <v>     </v>
      </c>
      <c r="C70" s="274"/>
      <c r="D70" s="194" t="s">
        <v>90</v>
      </c>
      <c r="E70" s="86">
        <f>IF(E69-E53&gt;0,E69-E53,0)</f>
        <v>103575</v>
      </c>
      <c r="G70" s="502">
        <f>ROUND(C65*0.05+C65,0)</f>
        <v>332878</v>
      </c>
      <c r="H70" s="461" t="str">
        <f>CONCATENATE("Less ",E1-2," Expenditures + 5%")</f>
        <v>Less 2012 Expenditures + 5%</v>
      </c>
      <c r="I70" s="499"/>
      <c r="J70" s="492"/>
    </row>
    <row r="71" spans="2:10" ht="15.75">
      <c r="B71" s="194"/>
      <c r="C71" s="404" t="s">
        <v>286</v>
      </c>
      <c r="D71" s="458">
        <f>inputOth!$E$23</f>
        <v>0.03</v>
      </c>
      <c r="E71" s="219">
        <f>ROUND(IF(D71&gt;0,($E$70*D71),0),0)</f>
        <v>3107</v>
      </c>
      <c r="G71" s="503">
        <f>G68-G70</f>
        <v>2290</v>
      </c>
      <c r="H71" s="494" t="str">
        <f>CONCATENATE("Projected ",E1+1," carryover (est.)")</f>
        <v>Projected 2015 carryover (est.)</v>
      </c>
      <c r="I71" s="504"/>
      <c r="J71" s="505"/>
    </row>
    <row r="72" spans="2:10" ht="15.75">
      <c r="B72" s="51"/>
      <c r="C72" s="602" t="str">
        <f>CONCATENATE("Amount of  ",$E$1-1," Ad Valorem Tax")</f>
        <v>Amount of  2013 Ad Valorem Tax</v>
      </c>
      <c r="D72" s="603"/>
      <c r="E72" s="301">
        <f>E70+E71</f>
        <v>106682</v>
      </c>
      <c r="G72" s="1"/>
      <c r="H72" s="1"/>
      <c r="I72" s="1"/>
      <c r="J72" s="1"/>
    </row>
    <row r="73" spans="2:10" ht="15.75">
      <c r="B73" s="241" t="s">
        <v>109</v>
      </c>
      <c r="C73" s="302">
        <v>11</v>
      </c>
      <c r="D73" s="51"/>
      <c r="E73" s="51"/>
      <c r="G73" s="607" t="s">
        <v>316</v>
      </c>
      <c r="H73" s="608"/>
      <c r="I73" s="608"/>
      <c r="J73" s="609"/>
    </row>
    <row r="74" spans="7:10" ht="15.75">
      <c r="G74" s="477"/>
      <c r="H74" s="478"/>
      <c r="I74" s="479"/>
      <c r="J74" s="480"/>
    </row>
    <row r="75" spans="7:10" ht="15.75">
      <c r="G75" s="481">
        <f>summ!H22</f>
        <v>1.573</v>
      </c>
      <c r="H75" s="478" t="str">
        <f>CONCATENATE("",E1," Fund Mill Rate")</f>
        <v>2014 Fund Mill Rate</v>
      </c>
      <c r="I75" s="479"/>
      <c r="J75" s="480"/>
    </row>
    <row r="76" spans="7:10" ht="15.75">
      <c r="G76" s="482">
        <f>summ!E22</f>
        <v>1.282</v>
      </c>
      <c r="H76" s="478" t="str">
        <f>CONCATENATE("",E1-1," Fund Mill Rate")</f>
        <v>2013 Fund Mill Rate</v>
      </c>
      <c r="I76" s="479"/>
      <c r="J76" s="480"/>
    </row>
    <row r="77" spans="7:10" ht="15.75">
      <c r="G77" s="483">
        <f>summ!H53</f>
        <v>96.518</v>
      </c>
      <c r="H77" s="478" t="str">
        <f>CONCATENATE("Total ",E1," Mill Rate")</f>
        <v>Total 2014 Mill Rate</v>
      </c>
      <c r="I77" s="479"/>
      <c r="J77" s="480"/>
    </row>
    <row r="78" spans="7:10" ht="15.75">
      <c r="G78" s="482">
        <f>summ!E53</f>
        <v>89.61599999999999</v>
      </c>
      <c r="H78" s="484" t="str">
        <f>CONCATENATE("Total ",E1-1," Mill Rate")</f>
        <v>Total 2013 Mill Rate</v>
      </c>
      <c r="I78" s="485"/>
      <c r="J78" s="486"/>
    </row>
    <row r="80" spans="7:9" ht="15.75">
      <c r="G80" s="531" t="s">
        <v>323</v>
      </c>
      <c r="H80" s="530"/>
      <c r="I80" s="529" t="str">
        <f>cert!E63</f>
        <v>Yes</v>
      </c>
    </row>
    <row r="83" spans="3:4" ht="15.75" hidden="1">
      <c r="C83" s="48">
        <f>IF(C27&gt;C29,"See Tab A","")</f>
      </c>
      <c r="D83" s="48">
        <f>IF(D27&gt;D29,"See Tab C","")</f>
      </c>
    </row>
    <row r="84" spans="3:4" ht="15.75" hidden="1">
      <c r="C84" s="48">
        <f>IF(C28&lt;0,"See Tab B","")</f>
      </c>
      <c r="D84" s="48">
        <f>IF(D28&lt;0,"See Tab D","")</f>
      </c>
    </row>
    <row r="85" spans="3:4" ht="15.75" hidden="1">
      <c r="C85" s="48">
        <f>IF(C65&gt;C67,"See Tab A","")</f>
      </c>
      <c r="D85" s="48">
        <f>IF(D65&gt;D67,"See Tab C","")</f>
      </c>
    </row>
    <row r="86" spans="3:4" ht="15.75" hidden="1">
      <c r="C86" s="48">
        <f>IF(C66&lt;0,"See Tab B","")</f>
      </c>
      <c r="D86" s="48">
        <f>IF(D66&lt;0,"See Tab D","")</f>
      </c>
    </row>
  </sheetData>
  <sheetProtection/>
  <mergeCells count="12">
    <mergeCell ref="C30:D30"/>
    <mergeCell ref="C31:D31"/>
    <mergeCell ref="C68:D68"/>
    <mergeCell ref="C69:D69"/>
    <mergeCell ref="C72:D72"/>
    <mergeCell ref="C34:D34"/>
    <mergeCell ref="G22:J22"/>
    <mergeCell ref="G25:J25"/>
    <mergeCell ref="G35:J35"/>
    <mergeCell ref="G56:J56"/>
    <mergeCell ref="G63:J63"/>
    <mergeCell ref="G73:J73"/>
  </mergeCells>
  <conditionalFormatting sqref="E63">
    <cfRule type="cellIs" priority="3" dxfId="309" operator="greaterThan" stopIfTrue="1">
      <formula>$E$65*0.1</formula>
    </cfRule>
  </conditionalFormatting>
  <conditionalFormatting sqref="E68">
    <cfRule type="cellIs" priority="4" dxfId="309" operator="greaterThan" stopIfTrue="1">
      <formula>$E$65/0.95-$E$65</formula>
    </cfRule>
  </conditionalFormatting>
  <conditionalFormatting sqref="E30">
    <cfRule type="cellIs" priority="5" dxfId="309" operator="greaterThan" stopIfTrue="1">
      <formula>$E$27/0.95-$E$27</formula>
    </cfRule>
  </conditionalFormatting>
  <conditionalFormatting sqref="E25">
    <cfRule type="cellIs" priority="6" dxfId="309" operator="greaterThan" stopIfTrue="1">
      <formula>$E$27*0.1</formula>
    </cfRule>
  </conditionalFormatting>
  <conditionalFormatting sqref="C27">
    <cfRule type="cellIs" priority="7" dxfId="2" operator="greaterThan" stopIfTrue="1">
      <formula>$C$29</formula>
    </cfRule>
  </conditionalFormatting>
  <conditionalFormatting sqref="C66 C28">
    <cfRule type="cellIs" priority="8" dxfId="2" operator="lessThan" stopIfTrue="1">
      <formula>0</formula>
    </cfRule>
  </conditionalFormatting>
  <conditionalFormatting sqref="D27">
    <cfRule type="cellIs" priority="9" dxfId="2" operator="greaterThan" stopIfTrue="1">
      <formula>$D$29</formula>
    </cfRule>
  </conditionalFormatting>
  <conditionalFormatting sqref="C65">
    <cfRule type="cellIs" priority="10" dxfId="2" operator="greaterThan" stopIfTrue="1">
      <formula>$C$67</formula>
    </cfRule>
  </conditionalFormatting>
  <conditionalFormatting sqref="D65">
    <cfRule type="cellIs" priority="11" dxfId="2" operator="greaterThan" stopIfTrue="1">
      <formula>$D$67</formula>
    </cfRule>
  </conditionalFormatting>
  <conditionalFormatting sqref="C63">
    <cfRule type="cellIs" priority="12" dxfId="2" operator="greaterThan" stopIfTrue="1">
      <formula>$C$65*0.1</formula>
    </cfRule>
  </conditionalFormatting>
  <conditionalFormatting sqref="D63">
    <cfRule type="cellIs" priority="13" dxfId="2" operator="greaterThan" stopIfTrue="1">
      <formula>$D$65*0.1</formula>
    </cfRule>
  </conditionalFormatting>
  <conditionalFormatting sqref="E50">
    <cfRule type="cellIs" priority="14" dxfId="309" operator="greaterThan" stopIfTrue="1">
      <formula>$E$52*0.1+E72</formula>
    </cfRule>
  </conditionalFormatting>
  <conditionalFormatting sqref="C50">
    <cfRule type="cellIs" priority="15" dxfId="2" operator="greaterThan" stopIfTrue="1">
      <formula>$C$52*0.1</formula>
    </cfRule>
  </conditionalFormatting>
  <conditionalFormatting sqref="D50">
    <cfRule type="cellIs" priority="16" dxfId="2" operator="greaterThan" stopIfTrue="1">
      <formula>$D$52*0.1</formula>
    </cfRule>
  </conditionalFormatting>
  <conditionalFormatting sqref="C25">
    <cfRule type="cellIs" priority="17" dxfId="2" operator="greaterThan" stopIfTrue="1">
      <formula>$C$27*0.1</formula>
    </cfRule>
  </conditionalFormatting>
  <conditionalFormatting sqref="D25">
    <cfRule type="cellIs" priority="18" dxfId="2" operator="greaterThan" stopIfTrue="1">
      <formula>$D$27*0.1</formula>
    </cfRule>
  </conditionalFormatting>
  <conditionalFormatting sqref="E16">
    <cfRule type="cellIs" priority="19" dxfId="309" operator="greaterThan" stopIfTrue="1">
      <formula>$E$18*0.1+E34</formula>
    </cfRule>
  </conditionalFormatting>
  <conditionalFormatting sqref="C16">
    <cfRule type="cellIs" priority="20" dxfId="2" operator="greaterThan" stopIfTrue="1">
      <formula>$C$18*0.1</formula>
    </cfRule>
  </conditionalFormatting>
  <conditionalFormatting sqref="D16">
    <cfRule type="cellIs" priority="21" dxfId="2" operator="greaterThan" stopIfTrue="1">
      <formula>$D$18*0.1</formula>
    </cfRule>
  </conditionalFormatting>
  <conditionalFormatting sqref="D66 D28">
    <cfRule type="cellIs" priority="2" dxfId="0" operator="lessThan" stopIfTrue="1">
      <formula>0</formula>
    </cfRule>
  </conditionalFormatting>
  <printOptions/>
  <pageMargins left="1.12" right="0.5" top="0.74" bottom="0.34" header="0.5" footer="0"/>
  <pageSetup blackAndWhite="1" horizontalDpi="120" verticalDpi="120" orientation="portrait" scale="59" r:id="rId1"/>
  <headerFooter alignWithMargins="0">
    <oddHeader>&amp;RState of Kansas
County
</oddHeader>
  </headerFooter>
</worksheet>
</file>

<file path=xl/worksheets/sheet16.xml><?xml version="1.0" encoding="utf-8"?>
<worksheet xmlns="http://schemas.openxmlformats.org/spreadsheetml/2006/main" xmlns:r="http://schemas.openxmlformats.org/officeDocument/2006/relationships">
  <dimension ref="B1:K96"/>
  <sheetViews>
    <sheetView view="pageBreakPreview" zoomScale="99" zoomScaleSheetLayoutView="99" zoomScalePageLayoutView="0" workbookViewId="0" topLeftCell="A71">
      <selection activeCell="E89" sqref="E89"/>
    </sheetView>
  </sheetViews>
  <sheetFormatPr defaultColWidth="8.796875" defaultRowHeight="15"/>
  <cols>
    <col min="1" max="1" width="2.3984375" style="48" customWidth="1"/>
    <col min="2" max="2" width="31.09765625" style="48" customWidth="1"/>
    <col min="3" max="4" width="15.796875" style="48" customWidth="1"/>
    <col min="5" max="5" width="16.19921875" style="48" customWidth="1"/>
    <col min="6" max="6" width="7.3984375" style="48" customWidth="1"/>
    <col min="7" max="7" width="10.19921875" style="48" customWidth="1"/>
    <col min="8" max="8" width="8.8984375" style="48" customWidth="1"/>
    <col min="9" max="9" width="5" style="48" customWidth="1"/>
    <col min="10" max="10" width="10" style="48" customWidth="1"/>
    <col min="11" max="16384" width="8.8984375" style="48" customWidth="1"/>
  </cols>
  <sheetData>
    <row r="1" spans="2:5" ht="15.75">
      <c r="B1" s="182" t="str">
        <f>(inputPrYr!C2)</f>
        <v>MITCHELL COUNTY</v>
      </c>
      <c r="C1" s="51"/>
      <c r="D1" s="51"/>
      <c r="E1" s="240">
        <f>inputPrYr!C4</f>
        <v>2014</v>
      </c>
    </row>
    <row r="2" spans="2:5" ht="15.75">
      <c r="B2" s="51"/>
      <c r="C2" s="51"/>
      <c r="D2" s="51"/>
      <c r="E2" s="194"/>
    </row>
    <row r="3" spans="2:5" ht="15.75">
      <c r="B3" s="118" t="s">
        <v>155</v>
      </c>
      <c r="C3" s="286"/>
      <c r="D3" s="286"/>
      <c r="E3" s="287"/>
    </row>
    <row r="4" spans="2:5" ht="15.75">
      <c r="B4" s="50" t="s">
        <v>75</v>
      </c>
      <c r="C4" s="511" t="s">
        <v>317</v>
      </c>
      <c r="D4" s="512" t="s">
        <v>318</v>
      </c>
      <c r="E4" s="178" t="s">
        <v>319</v>
      </c>
    </row>
    <row r="5" spans="2:5" ht="15.75">
      <c r="B5" s="393" t="str">
        <f>inputPrYr!B23</f>
        <v>Ambulance</v>
      </c>
      <c r="C5" s="366" t="str">
        <f>CONCATENATE("Actual for ",E1-2,"")</f>
        <v>Actual for 2012</v>
      </c>
      <c r="D5" s="366" t="str">
        <f>CONCATENATE("Estimate for ",E1-1,"")</f>
        <v>Estimate for 2013</v>
      </c>
      <c r="E5" s="256" t="str">
        <f>CONCATENATE("Year for ",E1,"")</f>
        <v>Year for 2014</v>
      </c>
    </row>
    <row r="6" spans="2:5" ht="15.75">
      <c r="B6" s="114" t="s">
        <v>197</v>
      </c>
      <c r="C6" s="363">
        <v>70157</v>
      </c>
      <c r="D6" s="367">
        <f>C39</f>
        <v>42459</v>
      </c>
      <c r="E6" s="219">
        <f>D39</f>
        <v>40911</v>
      </c>
    </row>
    <row r="7" spans="2:5" ht="15.75">
      <c r="B7" s="244" t="s">
        <v>199</v>
      </c>
      <c r="C7" s="259"/>
      <c r="D7" s="259"/>
      <c r="E7" s="93"/>
    </row>
    <row r="8" spans="2:5" ht="15.75">
      <c r="B8" s="114" t="s">
        <v>76</v>
      </c>
      <c r="C8" s="363">
        <v>604396</v>
      </c>
      <c r="D8" s="367">
        <v>622523</v>
      </c>
      <c r="E8" s="290" t="s">
        <v>62</v>
      </c>
    </row>
    <row r="9" spans="2:5" ht="15.75">
      <c r="B9" s="114" t="s">
        <v>77</v>
      </c>
      <c r="C9" s="363">
        <v>12811</v>
      </c>
      <c r="D9" s="363">
        <v>1500</v>
      </c>
      <c r="E9" s="78">
        <v>1500</v>
      </c>
    </row>
    <row r="10" spans="2:5" ht="15.75">
      <c r="B10" s="114" t="s">
        <v>78</v>
      </c>
      <c r="C10" s="363">
        <v>57142</v>
      </c>
      <c r="D10" s="363">
        <v>81245</v>
      </c>
      <c r="E10" s="219">
        <f>mvalloc!E14</f>
        <v>80855</v>
      </c>
    </row>
    <row r="11" spans="2:5" ht="15.75">
      <c r="B11" s="114" t="s">
        <v>79</v>
      </c>
      <c r="C11" s="363"/>
      <c r="D11" s="363">
        <v>1199</v>
      </c>
      <c r="E11" s="219">
        <f>mvalloc!F14</f>
        <v>1120</v>
      </c>
    </row>
    <row r="12" spans="2:5" ht="15.75">
      <c r="B12" s="259" t="s">
        <v>148</v>
      </c>
      <c r="C12" s="363"/>
      <c r="D12" s="363">
        <v>9421</v>
      </c>
      <c r="E12" s="219">
        <f>mvalloc!G14</f>
        <v>9190</v>
      </c>
    </row>
    <row r="13" spans="2:5" ht="15.75">
      <c r="B13" s="261" t="s">
        <v>373</v>
      </c>
      <c r="C13" s="545">
        <v>-31731</v>
      </c>
      <c r="D13" s="545">
        <v>-42382</v>
      </c>
      <c r="E13" s="546">
        <v>-57081</v>
      </c>
    </row>
    <row r="14" spans="2:5" ht="15.75">
      <c r="B14" s="271" t="s">
        <v>404</v>
      </c>
      <c r="C14" s="363">
        <v>281824</v>
      </c>
      <c r="D14" s="363">
        <v>290000</v>
      </c>
      <c r="E14" s="78">
        <v>290000</v>
      </c>
    </row>
    <row r="15" spans="2:5" ht="15.75">
      <c r="B15" s="271" t="s">
        <v>405</v>
      </c>
      <c r="C15" s="363">
        <v>110140</v>
      </c>
      <c r="D15" s="363">
        <v>110140</v>
      </c>
      <c r="E15" s="78">
        <v>110140</v>
      </c>
    </row>
    <row r="16" spans="2:5" ht="15.75">
      <c r="B16" s="271"/>
      <c r="C16" s="363"/>
      <c r="D16" s="363"/>
      <c r="E16" s="78"/>
    </row>
    <row r="17" spans="2:5" ht="15.75">
      <c r="B17" s="262" t="s">
        <v>83</v>
      </c>
      <c r="C17" s="363"/>
      <c r="D17" s="363"/>
      <c r="E17" s="78"/>
    </row>
    <row r="18" spans="2:5" ht="15.75">
      <c r="B18" s="263" t="s">
        <v>37</v>
      </c>
      <c r="C18" s="363"/>
      <c r="D18" s="363"/>
      <c r="E18" s="78"/>
    </row>
    <row r="19" spans="2:5" ht="15.75">
      <c r="B19" s="263" t="s">
        <v>282</v>
      </c>
      <c r="C19" s="364">
        <f>IF(C20*0.1&lt;C18,"Exceed 10% Rule","")</f>
      </c>
      <c r="D19" s="364">
        <f>IF(D20*0.1&lt;D18,"Exceed 10% Rule","")</f>
      </c>
      <c r="E19" s="297">
        <f>IF(E20*0.1+E45&lt;E18,"Exceed 10% Rule","")</f>
      </c>
    </row>
    <row r="20" spans="2:5" ht="15.75">
      <c r="B20" s="265" t="s">
        <v>84</v>
      </c>
      <c r="C20" s="365">
        <f>SUM(C8:C18)</f>
        <v>1034582</v>
      </c>
      <c r="D20" s="365">
        <f>SUM(D8:D18)</f>
        <v>1073646</v>
      </c>
      <c r="E20" s="305">
        <f>SUM(E8:E18)</f>
        <v>435724</v>
      </c>
    </row>
    <row r="21" spans="2:5" ht="15.75">
      <c r="B21" s="265" t="s">
        <v>85</v>
      </c>
      <c r="C21" s="365">
        <f>C6+C20</f>
        <v>1104739</v>
      </c>
      <c r="D21" s="365">
        <f>D6+D20</f>
        <v>1116105</v>
      </c>
      <c r="E21" s="305">
        <f>E6+E20</f>
        <v>476635</v>
      </c>
    </row>
    <row r="22" spans="2:5" ht="15.75">
      <c r="B22" s="114" t="s">
        <v>88</v>
      </c>
      <c r="C22" s="263"/>
      <c r="D22" s="263"/>
      <c r="E22" s="74"/>
    </row>
    <row r="23" spans="2:5" ht="15.75">
      <c r="B23" s="76" t="s">
        <v>397</v>
      </c>
      <c r="C23" s="363">
        <v>554938</v>
      </c>
      <c r="D23" s="363">
        <v>561872</v>
      </c>
      <c r="E23" s="78">
        <v>565336</v>
      </c>
    </row>
    <row r="24" spans="2:10" ht="15.75">
      <c r="B24" s="76" t="s">
        <v>398</v>
      </c>
      <c r="C24" s="363">
        <v>37915</v>
      </c>
      <c r="D24" s="363">
        <v>66800</v>
      </c>
      <c r="E24" s="78">
        <v>66800</v>
      </c>
      <c r="G24" s="604" t="str">
        <f>CONCATENATE("Desired Carryover Into ",E1+1,"")</f>
        <v>Desired Carryover Into 2015</v>
      </c>
      <c r="H24" s="605"/>
      <c r="I24" s="605"/>
      <c r="J24" s="606"/>
    </row>
    <row r="25" spans="2:10" ht="15.75">
      <c r="B25" s="76" t="s">
        <v>399</v>
      </c>
      <c r="C25" s="363">
        <v>68359</v>
      </c>
      <c r="D25" s="363">
        <v>64000</v>
      </c>
      <c r="E25" s="78">
        <v>64000</v>
      </c>
      <c r="G25" s="459"/>
      <c r="H25" s="460"/>
      <c r="I25" s="461"/>
      <c r="J25" s="462"/>
    </row>
    <row r="26" spans="2:10" ht="15.75">
      <c r="B26" s="76" t="s">
        <v>400</v>
      </c>
      <c r="C26" s="363">
        <v>3072</v>
      </c>
      <c r="D26" s="363">
        <v>10000</v>
      </c>
      <c r="E26" s="78">
        <v>30000</v>
      </c>
      <c r="G26" s="463" t="s">
        <v>287</v>
      </c>
      <c r="H26" s="461"/>
      <c r="I26" s="461"/>
      <c r="J26" s="464">
        <v>0</v>
      </c>
    </row>
    <row r="27" spans="2:10" ht="15.75">
      <c r="B27" s="247" t="s">
        <v>103</v>
      </c>
      <c r="C27" s="363">
        <v>315303</v>
      </c>
      <c r="D27" s="363">
        <v>279522</v>
      </c>
      <c r="E27" s="78">
        <v>310902</v>
      </c>
      <c r="G27" s="459" t="s">
        <v>288</v>
      </c>
      <c r="H27" s="460"/>
      <c r="I27" s="460"/>
      <c r="J27" s="465">
        <f>IF(J26=0,"",ROUND((J26+E45-G44)/inputOth!E6*1000,3)-G49)</f>
      </c>
    </row>
    <row r="28" spans="2:10" ht="15.75">
      <c r="B28" s="535" t="s">
        <v>406</v>
      </c>
      <c r="C28" s="363">
        <v>59000</v>
      </c>
      <c r="D28" s="363">
        <v>60000</v>
      </c>
      <c r="E28" s="78">
        <v>60000</v>
      </c>
      <c r="G28" s="466" t="str">
        <f>CONCATENATE("",E1," Tot Exp/Non-Appr Must Be:")</f>
        <v>2014 Tot Exp/Non-Appr Must Be:</v>
      </c>
      <c r="H28" s="467"/>
      <c r="I28" s="468"/>
      <c r="J28" s="469">
        <f>IF(J26&gt;0,IF(E42&lt;E21,IF(J26=G44,E42,((J26-G44)*(1-D44))+E21),E42+(J26-G44)),0)</f>
        <v>0</v>
      </c>
    </row>
    <row r="29" spans="2:10" ht="15.75">
      <c r="B29" s="535" t="s">
        <v>407</v>
      </c>
      <c r="C29" s="363"/>
      <c r="D29" s="363"/>
      <c r="E29" s="78"/>
      <c r="G29" s="466"/>
      <c r="H29" s="467"/>
      <c r="I29" s="468"/>
      <c r="J29" s="536"/>
    </row>
    <row r="30" spans="2:10" ht="15.75">
      <c r="B30" s="535" t="s">
        <v>408</v>
      </c>
      <c r="C30" s="363">
        <v>6480</v>
      </c>
      <c r="D30" s="363">
        <v>12000</v>
      </c>
      <c r="E30" s="78">
        <v>12000</v>
      </c>
      <c r="G30" s="466"/>
      <c r="H30" s="467"/>
      <c r="I30" s="468"/>
      <c r="J30" s="536"/>
    </row>
    <row r="31" spans="2:10" ht="15.75">
      <c r="B31" s="535" t="s">
        <v>409</v>
      </c>
      <c r="C31" s="363">
        <v>285</v>
      </c>
      <c r="D31" s="363">
        <v>2000</v>
      </c>
      <c r="E31" s="78">
        <v>2000</v>
      </c>
      <c r="G31" s="466"/>
      <c r="H31" s="467"/>
      <c r="I31" s="468"/>
      <c r="J31" s="536"/>
    </row>
    <row r="32" spans="2:10" ht="15.75">
      <c r="B32" s="535" t="s">
        <v>410</v>
      </c>
      <c r="C32" s="363">
        <v>4928</v>
      </c>
      <c r="D32" s="363">
        <v>5000</v>
      </c>
      <c r="E32" s="78">
        <v>5000</v>
      </c>
      <c r="G32" s="466"/>
      <c r="H32" s="467"/>
      <c r="I32" s="468"/>
      <c r="J32" s="536"/>
    </row>
    <row r="33" spans="2:10" ht="15.75">
      <c r="B33" s="535" t="s">
        <v>411</v>
      </c>
      <c r="C33" s="363">
        <v>12000</v>
      </c>
      <c r="D33" s="363">
        <v>14000</v>
      </c>
      <c r="E33" s="78">
        <v>14000</v>
      </c>
      <c r="G33" s="466"/>
      <c r="H33" s="467"/>
      <c r="I33" s="468"/>
      <c r="J33" s="536"/>
    </row>
    <row r="34" spans="2:10" ht="15.75">
      <c r="B34" s="535" t="s">
        <v>455</v>
      </c>
      <c r="C34" s="363"/>
      <c r="D34" s="363"/>
      <c r="E34" s="78">
        <v>7500</v>
      </c>
      <c r="G34" s="466"/>
      <c r="H34" s="467"/>
      <c r="I34" s="468"/>
      <c r="J34" s="536"/>
    </row>
    <row r="35" spans="2:10" ht="15.75">
      <c r="B35" s="263" t="s">
        <v>39</v>
      </c>
      <c r="C35" s="363"/>
      <c r="D35" s="363"/>
      <c r="E35" s="86"/>
      <c r="G35" s="1"/>
      <c r="H35" s="1"/>
      <c r="I35" s="1"/>
      <c r="J35" s="1"/>
    </row>
    <row r="36" spans="2:10" ht="15.75">
      <c r="B36" s="263" t="s">
        <v>37</v>
      </c>
      <c r="C36" s="363"/>
      <c r="D36" s="363"/>
      <c r="E36" s="78"/>
      <c r="G36" s="604" t="str">
        <f>CONCATENATE("Projected Carryover Into ",E1+1,"")</f>
        <v>Projected Carryover Into 2015</v>
      </c>
      <c r="H36" s="611"/>
      <c r="I36" s="611"/>
      <c r="J36" s="612"/>
    </row>
    <row r="37" spans="2:10" ht="15.75">
      <c r="B37" s="263" t="s">
        <v>281</v>
      </c>
      <c r="C37" s="364">
        <f>IF(C38*0.1&lt;C36,"Exceed 10% Rule","")</f>
      </c>
      <c r="D37" s="364">
        <f>IF(D38*0.1&lt;D36,"Exceed 10% Rule","")</f>
      </c>
      <c r="E37" s="297">
        <f>IF(E38*0.1&lt;E36,"Exceed 10% Rule","")</f>
      </c>
      <c r="G37" s="459"/>
      <c r="H37" s="461"/>
      <c r="I37" s="461"/>
      <c r="J37" s="487"/>
    </row>
    <row r="38" spans="2:10" ht="15.75">
      <c r="B38" s="265" t="s">
        <v>89</v>
      </c>
      <c r="C38" s="365">
        <f>SUM(C23:C36)</f>
        <v>1062280</v>
      </c>
      <c r="D38" s="365">
        <f>SUM(D23:D36)</f>
        <v>1075194</v>
      </c>
      <c r="E38" s="305">
        <f>SUM(E23:E36)</f>
        <v>1137538</v>
      </c>
      <c r="G38" s="488">
        <f>D39</f>
        <v>40911</v>
      </c>
      <c r="H38" s="478" t="str">
        <f>CONCATENATE("",E1-1," Ending Cash Balance (est.)")</f>
        <v>2013 Ending Cash Balance (est.)</v>
      </c>
      <c r="I38" s="489"/>
      <c r="J38" s="487"/>
    </row>
    <row r="39" spans="2:10" ht="15.75">
      <c r="B39" s="114" t="s">
        <v>198</v>
      </c>
      <c r="C39" s="368">
        <f>C21-C38</f>
        <v>42459</v>
      </c>
      <c r="D39" s="368">
        <f>D21-D38</f>
        <v>40911</v>
      </c>
      <c r="E39" s="290" t="s">
        <v>62</v>
      </c>
      <c r="G39" s="488">
        <f>E20</f>
        <v>435724</v>
      </c>
      <c r="H39" s="461" t="str">
        <f>CONCATENATE("",E1," Non-AV Receipts (est.)")</f>
        <v>2014 Non-AV Receipts (est.)</v>
      </c>
      <c r="I39" s="489"/>
      <c r="J39" s="487"/>
    </row>
    <row r="40" spans="2:11" ht="15.75">
      <c r="B40" s="241" t="str">
        <f>CONCATENATE("",E$1-2,"/",E$1-1," Budget Authority Amount:")</f>
        <v>2012/2013 Budget Authority Amount:</v>
      </c>
      <c r="C40" s="233">
        <f>inputOth!D39</f>
        <v>1062501</v>
      </c>
      <c r="D40" s="233">
        <f>inputPrYr!D23</f>
        <v>1075194</v>
      </c>
      <c r="E40" s="290" t="s">
        <v>62</v>
      </c>
      <c r="F40" s="273"/>
      <c r="G40" s="490">
        <f>IF(E44&gt;0,E43,E45)</f>
        <v>660903</v>
      </c>
      <c r="H40" s="461" t="str">
        <f>CONCATENATE("",E1," Ad Valorem Tax (est.)")</f>
        <v>2014 Ad Valorem Tax (est.)</v>
      </c>
      <c r="I40" s="489"/>
      <c r="J40" s="487"/>
      <c r="K40" s="475" t="str">
        <f>IF(G40=E45,"","Note: Does not include Delinquent Taxes")</f>
        <v>Note: Does not include Delinquent Taxes</v>
      </c>
    </row>
    <row r="41" spans="2:10" ht="15.75">
      <c r="B41" s="241"/>
      <c r="C41" s="594" t="s">
        <v>284</v>
      </c>
      <c r="D41" s="595"/>
      <c r="E41" s="78"/>
      <c r="F41" s="402">
        <f>IF(E38/0.95-E38&lt;E41,"Exceeds 5%","")</f>
      </c>
      <c r="G41" s="488">
        <f>SUM(G38:G40)</f>
        <v>1137538</v>
      </c>
      <c r="H41" s="461" t="str">
        <f>CONCATENATE("Total ",E1," Resources Available")</f>
        <v>Total 2014 Resources Available</v>
      </c>
      <c r="I41" s="489"/>
      <c r="J41" s="487"/>
    </row>
    <row r="42" spans="2:10" ht="15.75">
      <c r="B42" s="406" t="str">
        <f>CONCATENATE(C93,"     ",D93)</f>
        <v>     </v>
      </c>
      <c r="C42" s="596" t="s">
        <v>285</v>
      </c>
      <c r="D42" s="597"/>
      <c r="E42" s="219">
        <f>E38+E41</f>
        <v>1137538</v>
      </c>
      <c r="G42" s="491"/>
      <c r="H42" s="461"/>
      <c r="I42" s="461"/>
      <c r="J42" s="487"/>
    </row>
    <row r="43" spans="2:10" ht="15.75">
      <c r="B43" s="406" t="str">
        <f>CONCATENATE(C94,"     ",D94)</f>
        <v>     </v>
      </c>
      <c r="C43" s="274"/>
      <c r="D43" s="194" t="s">
        <v>90</v>
      </c>
      <c r="E43" s="86">
        <f>IF(E42-E21&gt;0,E42-E21,0)</f>
        <v>660903</v>
      </c>
      <c r="G43" s="490">
        <f>ROUND(C38*0.05+C38,0)</f>
        <v>1115394</v>
      </c>
      <c r="H43" s="461" t="str">
        <f>CONCATENATE("Less ",E1-2," Expenditures + 5%")</f>
        <v>Less 2012 Expenditures + 5%</v>
      </c>
      <c r="I43" s="489"/>
      <c r="J43" s="492"/>
    </row>
    <row r="44" spans="2:10" ht="15.75">
      <c r="B44" s="194"/>
      <c r="C44" s="404" t="s">
        <v>286</v>
      </c>
      <c r="D44" s="458">
        <f>inputOth!$E$23</f>
        <v>0.03</v>
      </c>
      <c r="E44" s="219">
        <f>ROUND(IF(D44&gt;0,($E$43*D44),0),0)</f>
        <v>19827</v>
      </c>
      <c r="G44" s="493">
        <f>G41-G43</f>
        <v>22144</v>
      </c>
      <c r="H44" s="494" t="str">
        <f>CONCATENATE("Projected ",E1+1," carryover (est.)")</f>
        <v>Projected 2015 carryover (est.)</v>
      </c>
      <c r="I44" s="495"/>
      <c r="J44" s="496"/>
    </row>
    <row r="45" spans="2:10" ht="15.75">
      <c r="B45" s="51"/>
      <c r="C45" s="602" t="str">
        <f>CONCATENATE("Amount of  ",$E$1-1," Ad Valorem Tax")</f>
        <v>Amount of  2013 Ad Valorem Tax</v>
      </c>
      <c r="D45" s="603"/>
      <c r="E45" s="301">
        <f>E43+E44</f>
        <v>680730</v>
      </c>
      <c r="G45" s="1"/>
      <c r="H45" s="1"/>
      <c r="I45" s="1"/>
      <c r="J45" s="1"/>
    </row>
    <row r="46" spans="2:10" ht="15.75">
      <c r="B46" s="51"/>
      <c r="C46" s="280"/>
      <c r="D46" s="280"/>
      <c r="E46" s="280"/>
      <c r="G46" s="607" t="s">
        <v>316</v>
      </c>
      <c r="H46" s="608"/>
      <c r="I46" s="608"/>
      <c r="J46" s="609"/>
    </row>
    <row r="47" spans="2:10" ht="15.75">
      <c r="B47" s="50" t="s">
        <v>75</v>
      </c>
      <c r="C47" s="511" t="str">
        <f aca="true" t="shared" si="0" ref="C47:E48">C4</f>
        <v>Prior Year </v>
      </c>
      <c r="D47" s="512" t="str">
        <f t="shared" si="0"/>
        <v>Current Year </v>
      </c>
      <c r="E47" s="178" t="str">
        <f t="shared" si="0"/>
        <v>Proposed Budget </v>
      </c>
      <c r="G47" s="477"/>
      <c r="H47" s="478"/>
      <c r="I47" s="479"/>
      <c r="J47" s="480"/>
    </row>
    <row r="48" spans="2:10" ht="15.75">
      <c r="B48" s="393" t="str">
        <f>inputPrYr!B24</f>
        <v>Services for the Elderly</v>
      </c>
      <c r="C48" s="366" t="str">
        <f t="shared" si="0"/>
        <v>Actual for 2012</v>
      </c>
      <c r="D48" s="366" t="str">
        <f t="shared" si="0"/>
        <v>Estimate for 2013</v>
      </c>
      <c r="E48" s="269" t="str">
        <f t="shared" si="0"/>
        <v>Year for 2014</v>
      </c>
      <c r="G48" s="481">
        <f>summ!H23</f>
        <v>10.038</v>
      </c>
      <c r="H48" s="478" t="str">
        <f>CONCATENATE("",E1," Fund Mill Rate")</f>
        <v>2014 Fund Mill Rate</v>
      </c>
      <c r="I48" s="479"/>
      <c r="J48" s="480"/>
    </row>
    <row r="49" spans="2:10" ht="15.75">
      <c r="B49" s="114" t="s">
        <v>197</v>
      </c>
      <c r="C49" s="363">
        <v>8982</v>
      </c>
      <c r="D49" s="367">
        <f>C76</f>
        <v>9706</v>
      </c>
      <c r="E49" s="219">
        <f>D76</f>
        <v>1228</v>
      </c>
      <c r="G49" s="482">
        <f>summ!E23</f>
        <v>10.172</v>
      </c>
      <c r="H49" s="478" t="str">
        <f>CONCATENATE("",E1-1," Fund Mill Rate")</f>
        <v>2013 Fund Mill Rate</v>
      </c>
      <c r="I49" s="479"/>
      <c r="J49" s="480"/>
    </row>
    <row r="50" spans="2:10" ht="15.75">
      <c r="B50" s="244" t="s">
        <v>199</v>
      </c>
      <c r="C50" s="259"/>
      <c r="D50" s="259"/>
      <c r="E50" s="93"/>
      <c r="G50" s="483">
        <f>summ!H53</f>
        <v>96.518</v>
      </c>
      <c r="H50" s="478" t="str">
        <f>CONCATENATE("Total ",E1," Mill Rate")</f>
        <v>Total 2014 Mill Rate</v>
      </c>
      <c r="I50" s="479"/>
      <c r="J50" s="480"/>
    </row>
    <row r="51" spans="2:10" ht="15.75">
      <c r="B51" s="114" t="s">
        <v>76</v>
      </c>
      <c r="C51" s="363">
        <v>69642</v>
      </c>
      <c r="D51" s="367">
        <v>89954</v>
      </c>
      <c r="E51" s="290" t="s">
        <v>62</v>
      </c>
      <c r="G51" s="482">
        <f>summ!E53</f>
        <v>89.61599999999999</v>
      </c>
      <c r="H51" s="484" t="str">
        <f>CONCATENATE("Total ",E1-1," Mill Rate")</f>
        <v>Total 2013 Mill Rate</v>
      </c>
      <c r="I51" s="485"/>
      <c r="J51" s="486"/>
    </row>
    <row r="52" spans="2:10" ht="15.75">
      <c r="B52" s="114" t="s">
        <v>77</v>
      </c>
      <c r="C52" s="363">
        <v>1696</v>
      </c>
      <c r="D52" s="363">
        <v>200</v>
      </c>
      <c r="E52" s="78">
        <v>200</v>
      </c>
      <c r="G52" s="1"/>
      <c r="H52" s="1"/>
      <c r="I52" s="1"/>
      <c r="J52" s="1"/>
    </row>
    <row r="53" spans="2:10" ht="15.75">
      <c r="B53" s="114" t="s">
        <v>78</v>
      </c>
      <c r="C53" s="363">
        <v>7258</v>
      </c>
      <c r="D53" s="363">
        <v>9355</v>
      </c>
      <c r="E53" s="219">
        <f>mvalloc!E15</f>
        <v>11683</v>
      </c>
      <c r="G53" s="531" t="s">
        <v>323</v>
      </c>
      <c r="H53" s="530"/>
      <c r="I53" s="529" t="str">
        <f>cert!E63</f>
        <v>Yes</v>
      </c>
      <c r="J53" s="1"/>
    </row>
    <row r="54" spans="2:10" ht="15.75">
      <c r="B54" s="114" t="s">
        <v>79</v>
      </c>
      <c r="C54" s="363"/>
      <c r="D54" s="363">
        <v>138</v>
      </c>
      <c r="E54" s="219">
        <f>mvalloc!F15</f>
        <v>162</v>
      </c>
      <c r="G54" s="1"/>
      <c r="H54" s="1"/>
      <c r="I54" s="1"/>
      <c r="J54" s="1"/>
    </row>
    <row r="55" spans="2:10" ht="15.75">
      <c r="B55" s="259" t="s">
        <v>148</v>
      </c>
      <c r="C55" s="363"/>
      <c r="D55" s="363">
        <v>1085</v>
      </c>
      <c r="E55" s="219">
        <f>mvalloc!G15</f>
        <v>1328</v>
      </c>
      <c r="G55" s="1"/>
      <c r="H55" s="1"/>
      <c r="I55" s="1"/>
      <c r="J55" s="1"/>
    </row>
    <row r="56" spans="2:10" ht="15.75">
      <c r="B56" s="261" t="s">
        <v>373</v>
      </c>
      <c r="C56" s="545">
        <v>-3656</v>
      </c>
      <c r="D56" s="545">
        <v>-6019</v>
      </c>
      <c r="E56" s="546">
        <v>-8249</v>
      </c>
      <c r="G56" s="1"/>
      <c r="H56" s="1"/>
      <c r="I56" s="1"/>
      <c r="J56" s="1"/>
    </row>
    <row r="57" spans="2:10" ht="15.75">
      <c r="B57" s="271" t="s">
        <v>375</v>
      </c>
      <c r="C57" s="363"/>
      <c r="D57" s="363"/>
      <c r="E57" s="78"/>
      <c r="G57" s="1"/>
      <c r="H57" s="1"/>
      <c r="I57" s="1"/>
      <c r="J57" s="1"/>
    </row>
    <row r="58" spans="2:10" ht="15.75">
      <c r="B58" s="271"/>
      <c r="C58" s="363"/>
      <c r="D58" s="363"/>
      <c r="E58" s="78"/>
      <c r="G58" s="1"/>
      <c r="H58" s="1"/>
      <c r="I58" s="1"/>
      <c r="J58" s="1"/>
    </row>
    <row r="59" spans="2:10" ht="15.75">
      <c r="B59" s="262" t="s">
        <v>83</v>
      </c>
      <c r="C59" s="363"/>
      <c r="D59" s="363"/>
      <c r="E59" s="78"/>
      <c r="G59" s="1"/>
      <c r="H59" s="1"/>
      <c r="I59" s="1"/>
      <c r="J59" s="1"/>
    </row>
    <row r="60" spans="2:10" ht="15.75">
      <c r="B60" s="263" t="s">
        <v>37</v>
      </c>
      <c r="C60" s="363"/>
      <c r="D60" s="363"/>
      <c r="E60" s="78"/>
      <c r="G60" s="1"/>
      <c r="H60" s="1"/>
      <c r="I60" s="1"/>
      <c r="J60" s="1"/>
    </row>
    <row r="61" spans="2:10" ht="15.75">
      <c r="B61" s="263" t="s">
        <v>282</v>
      </c>
      <c r="C61" s="364">
        <f>IF(C62*0.1&lt;C60,"Exceed 10% Rule","")</f>
      </c>
      <c r="D61" s="364">
        <f>IF(D62*0.1&lt;D60,"Exceed 10% Rule","")</f>
      </c>
      <c r="E61" s="297">
        <f>IF(E62*0.1+E82&lt;E60,"Exceed 10% Rule","")</f>
      </c>
      <c r="G61" s="1"/>
      <c r="H61" s="1"/>
      <c r="I61" s="1"/>
      <c r="J61" s="1"/>
    </row>
    <row r="62" spans="2:10" ht="15.75">
      <c r="B62" s="265" t="s">
        <v>84</v>
      </c>
      <c r="C62" s="365">
        <f>SUM(C51:C60)</f>
        <v>74940</v>
      </c>
      <c r="D62" s="365">
        <f>SUM(D51:D60)</f>
        <v>94713</v>
      </c>
      <c r="E62" s="305">
        <f>SUM(E51:E60)</f>
        <v>5124</v>
      </c>
      <c r="G62" s="1"/>
      <c r="H62" s="1"/>
      <c r="I62" s="1"/>
      <c r="J62" s="1"/>
    </row>
    <row r="63" spans="2:10" ht="15.75">
      <c r="B63" s="265" t="s">
        <v>85</v>
      </c>
      <c r="C63" s="365">
        <f>C49+C62</f>
        <v>83922</v>
      </c>
      <c r="D63" s="365">
        <f>D49+D62</f>
        <v>104419</v>
      </c>
      <c r="E63" s="305">
        <f>E49+E62</f>
        <v>6352</v>
      </c>
      <c r="G63" s="1"/>
      <c r="H63" s="1"/>
      <c r="I63" s="1"/>
      <c r="J63" s="1"/>
    </row>
    <row r="64" spans="2:10" ht="15.75">
      <c r="B64" s="114" t="s">
        <v>88</v>
      </c>
      <c r="C64" s="263"/>
      <c r="D64" s="263"/>
      <c r="E64" s="74"/>
      <c r="G64" s="1"/>
      <c r="H64" s="1"/>
      <c r="I64" s="1"/>
      <c r="J64" s="1"/>
    </row>
    <row r="65" spans="2:10" ht="15.75">
      <c r="B65" s="76" t="s">
        <v>397</v>
      </c>
      <c r="C65" s="363"/>
      <c r="D65" s="363"/>
      <c r="E65" s="78"/>
      <c r="G65" s="1"/>
      <c r="H65" s="1"/>
      <c r="I65" s="1"/>
      <c r="J65" s="1"/>
    </row>
    <row r="66" spans="2:10" ht="15.75">
      <c r="B66" s="76" t="s">
        <v>398</v>
      </c>
      <c r="C66" s="363"/>
      <c r="D66" s="363"/>
      <c r="E66" s="78"/>
      <c r="G66" s="604" t="str">
        <f>CONCATENATE("Desired Carryover Into ",E1+1,"")</f>
        <v>Desired Carryover Into 2015</v>
      </c>
      <c r="H66" s="605"/>
      <c r="I66" s="605"/>
      <c r="J66" s="606"/>
    </row>
    <row r="67" spans="2:10" ht="15.75">
      <c r="B67" s="76" t="s">
        <v>399</v>
      </c>
      <c r="C67" s="363"/>
      <c r="D67" s="363"/>
      <c r="E67" s="78"/>
      <c r="G67" s="459"/>
      <c r="H67" s="460"/>
      <c r="I67" s="461"/>
      <c r="J67" s="462"/>
    </row>
    <row r="68" spans="2:10" ht="15.75">
      <c r="B68" s="76" t="s">
        <v>400</v>
      </c>
      <c r="C68" s="363"/>
      <c r="D68" s="363"/>
      <c r="E68" s="78"/>
      <c r="G68" s="463" t="s">
        <v>287</v>
      </c>
      <c r="H68" s="461"/>
      <c r="I68" s="461"/>
      <c r="J68" s="464">
        <v>0</v>
      </c>
    </row>
    <row r="69" spans="2:10" ht="15.75">
      <c r="B69" s="247" t="s">
        <v>103</v>
      </c>
      <c r="C69" s="363"/>
      <c r="D69" s="363"/>
      <c r="E69" s="78"/>
      <c r="G69" s="459" t="s">
        <v>288</v>
      </c>
      <c r="H69" s="460"/>
      <c r="I69" s="460"/>
      <c r="J69" s="465">
        <f>IF(J68=0,"",ROUND((J68+E82-G81)/inputOth!E6*1000,3)-G86)</f>
      </c>
    </row>
    <row r="70" spans="2:10" ht="15.75">
      <c r="B70" s="271" t="s">
        <v>402</v>
      </c>
      <c r="C70" s="363">
        <v>74216</v>
      </c>
      <c r="D70" s="363">
        <v>103191</v>
      </c>
      <c r="E70" s="78">
        <v>105116</v>
      </c>
      <c r="G70" s="466" t="str">
        <f>CONCATENATE("",E1," Tot Exp/Non-Appr Must Be:")</f>
        <v>2014 Tot Exp/Non-Appr Must Be:</v>
      </c>
      <c r="H70" s="467"/>
      <c r="I70" s="468"/>
      <c r="J70" s="469">
        <f>IF(J68&gt;0,IF(E79&lt;E63,IF(J68=G81,E79,((J68-G81)*(1-D81))+E63),E79+(J68-G81)),0)</f>
        <v>0</v>
      </c>
    </row>
    <row r="71" spans="2:10" ht="15.75">
      <c r="B71" s="271"/>
      <c r="C71" s="363"/>
      <c r="D71" s="363"/>
      <c r="E71" s="78"/>
      <c r="G71" s="470" t="s">
        <v>315</v>
      </c>
      <c r="H71" s="471"/>
      <c r="I71" s="471"/>
      <c r="J71" s="472">
        <f>IF(J68&gt;0,J70-E79,0)</f>
        <v>0</v>
      </c>
    </row>
    <row r="72" spans="2:10" ht="15.75">
      <c r="B72" s="263" t="s">
        <v>39</v>
      </c>
      <c r="C72" s="363"/>
      <c r="D72" s="363"/>
      <c r="E72" s="86"/>
      <c r="G72" s="1"/>
      <c r="H72" s="1"/>
      <c r="I72" s="1"/>
      <c r="J72" s="1"/>
    </row>
    <row r="73" spans="2:10" ht="15.75">
      <c r="B73" s="263" t="s">
        <v>37</v>
      </c>
      <c r="C73" s="363"/>
      <c r="D73" s="363"/>
      <c r="E73" s="78"/>
      <c r="G73" s="604" t="str">
        <f>CONCATENATE("Projected Carryover Into ",E1+1,"")</f>
        <v>Projected Carryover Into 2015</v>
      </c>
      <c r="H73" s="613"/>
      <c r="I73" s="613"/>
      <c r="J73" s="612"/>
    </row>
    <row r="74" spans="2:10" ht="15.75">
      <c r="B74" s="263" t="s">
        <v>281</v>
      </c>
      <c r="C74" s="364">
        <f>IF(C75*0.1&lt;C73,"Exceed 10% Rule","")</f>
      </c>
      <c r="D74" s="364">
        <f>IF(D75*0.1&lt;D73,"Exceed 10% Rule","")</f>
      </c>
      <c r="E74" s="297">
        <f>IF(E75*0.1&lt;E73,"Exceed 10% Rule","")</f>
      </c>
      <c r="G74" s="497"/>
      <c r="H74" s="460"/>
      <c r="I74" s="460"/>
      <c r="J74" s="492"/>
    </row>
    <row r="75" spans="2:10" ht="15.75">
      <c r="B75" s="265" t="s">
        <v>89</v>
      </c>
      <c r="C75" s="365">
        <f>SUM(C65:C73)</f>
        <v>74216</v>
      </c>
      <c r="D75" s="365">
        <f>SUM(D65:D73)</f>
        <v>103191</v>
      </c>
      <c r="E75" s="305">
        <f>SUM(E65:E73)</f>
        <v>105116</v>
      </c>
      <c r="G75" s="488">
        <f>D76</f>
        <v>1228</v>
      </c>
      <c r="H75" s="478" t="str">
        <f>CONCATENATE("",E1-1," Ending Cash Balance (est.)")</f>
        <v>2013 Ending Cash Balance (est.)</v>
      </c>
      <c r="I75" s="489"/>
      <c r="J75" s="492"/>
    </row>
    <row r="76" spans="2:10" ht="15.75">
      <c r="B76" s="114" t="s">
        <v>198</v>
      </c>
      <c r="C76" s="368">
        <f>C63-C75</f>
        <v>9706</v>
      </c>
      <c r="D76" s="368">
        <f>D63-D75</f>
        <v>1228</v>
      </c>
      <c r="E76" s="290" t="s">
        <v>62</v>
      </c>
      <c r="G76" s="488">
        <f>E62</f>
        <v>5124</v>
      </c>
      <c r="H76" s="461" t="str">
        <f>CONCATENATE("",E1," Non-AV Receipts (est.)")</f>
        <v>2014 Non-AV Receipts (est.)</v>
      </c>
      <c r="I76" s="489"/>
      <c r="J76" s="492"/>
    </row>
    <row r="77" spans="2:11" ht="15.75">
      <c r="B77" s="241" t="str">
        <f>CONCATENATE("",E$1-2,"/",E$1-1," Budget Authority Amount:")</f>
        <v>2012/2013 Budget Authority Amount:</v>
      </c>
      <c r="C77" s="233">
        <f>inputOth!B40</f>
        <v>74216</v>
      </c>
      <c r="D77" s="233">
        <f>inputPrYr!D24</f>
        <v>103191</v>
      </c>
      <c r="E77" s="290" t="s">
        <v>62</v>
      </c>
      <c r="F77" s="273"/>
      <c r="G77" s="490">
        <f>IF(E81&gt;0,E80,E82)</f>
        <v>98764</v>
      </c>
      <c r="H77" s="461" t="str">
        <f>CONCATENATE("",E1," Ad Valorem Tax (est.)")</f>
        <v>2014 Ad Valorem Tax (est.)</v>
      </c>
      <c r="I77" s="489"/>
      <c r="J77" s="492"/>
      <c r="K77" s="475" t="str">
        <f>IF(G77=E82,"","Note: Does not include Delinquent Taxes")</f>
        <v>Note: Does not include Delinquent Taxes</v>
      </c>
    </row>
    <row r="78" spans="2:10" ht="15.75">
      <c r="B78" s="241"/>
      <c r="C78" s="594" t="s">
        <v>284</v>
      </c>
      <c r="D78" s="595"/>
      <c r="E78" s="78"/>
      <c r="F78" s="402">
        <f>IF(E75/0.95-E75&lt;E78,"Exceeds 5%","")</f>
      </c>
      <c r="G78" s="498">
        <f>SUM(G75:G77)</f>
        <v>105116</v>
      </c>
      <c r="H78" s="461" t="str">
        <f>CONCATENATE("Total ",E1," Resources Available")</f>
        <v>Total 2014 Resources Available</v>
      </c>
      <c r="I78" s="499"/>
      <c r="J78" s="492"/>
    </row>
    <row r="79" spans="2:10" ht="15.75">
      <c r="B79" s="405" t="str">
        <f>CONCATENATE(C95,"     ",D95)</f>
        <v>     </v>
      </c>
      <c r="C79" s="596" t="s">
        <v>285</v>
      </c>
      <c r="D79" s="597"/>
      <c r="E79" s="219">
        <f>E75+E78</f>
        <v>105116</v>
      </c>
      <c r="G79" s="500"/>
      <c r="H79" s="501"/>
      <c r="I79" s="460"/>
      <c r="J79" s="492"/>
    </row>
    <row r="80" spans="2:10" ht="15.75">
      <c r="B80" s="405" t="str">
        <f>CONCATENATE(C96,"     ",D96)</f>
        <v>     </v>
      </c>
      <c r="C80" s="274"/>
      <c r="D80" s="194" t="s">
        <v>90</v>
      </c>
      <c r="E80" s="86">
        <f>IF(E79-E63&gt;0,E79-E63,0)</f>
        <v>98764</v>
      </c>
      <c r="G80" s="502">
        <f>ROUND(C75*0.05+C75,0)</f>
        <v>77927</v>
      </c>
      <c r="H80" s="461" t="str">
        <f>CONCATENATE("Less ",E1-2," Expenditures + 5%")</f>
        <v>Less 2012 Expenditures + 5%</v>
      </c>
      <c r="I80" s="499"/>
      <c r="J80" s="492"/>
    </row>
    <row r="81" spans="2:10" ht="15.75">
      <c r="B81" s="194"/>
      <c r="C81" s="404" t="s">
        <v>286</v>
      </c>
      <c r="D81" s="458">
        <f>inputOth!$E$23</f>
        <v>0.03</v>
      </c>
      <c r="E81" s="219">
        <f>ROUND(IF(D81&gt;0,($E$80*D81),0),0)</f>
        <v>2963</v>
      </c>
      <c r="G81" s="503">
        <f>G78-G80</f>
        <v>27189</v>
      </c>
      <c r="H81" s="494" t="str">
        <f>CONCATENATE("Projected ",E1+1," carryover (est.)")</f>
        <v>Projected 2015 carryover (est.)</v>
      </c>
      <c r="I81" s="504"/>
      <c r="J81" s="505"/>
    </row>
    <row r="82" spans="2:10" ht="15.75">
      <c r="B82" s="51"/>
      <c r="C82" s="602" t="str">
        <f>CONCATENATE("Amount of  ",$E$1-1," Ad Valorem Tax")</f>
        <v>Amount of  2013 Ad Valorem Tax</v>
      </c>
      <c r="D82" s="603"/>
      <c r="E82" s="301">
        <f>E80+E81</f>
        <v>101727</v>
      </c>
      <c r="G82" s="1"/>
      <c r="H82" s="1"/>
      <c r="I82" s="1"/>
      <c r="J82" s="1"/>
    </row>
    <row r="83" spans="2:10" ht="15.75">
      <c r="B83" s="241" t="s">
        <v>109</v>
      </c>
      <c r="C83" s="302">
        <v>12</v>
      </c>
      <c r="D83" s="51"/>
      <c r="E83" s="51"/>
      <c r="G83" s="607" t="s">
        <v>316</v>
      </c>
      <c r="H83" s="608"/>
      <c r="I83" s="608"/>
      <c r="J83" s="609"/>
    </row>
    <row r="84" spans="7:10" ht="15.75">
      <c r="G84" s="477"/>
      <c r="H84" s="478"/>
      <c r="I84" s="479"/>
      <c r="J84" s="480"/>
    </row>
    <row r="85" spans="7:10" ht="15.75">
      <c r="G85" s="481">
        <f>summ!H24</f>
        <v>1.5</v>
      </c>
      <c r="H85" s="478" t="str">
        <f>CONCATENATE("",E1," Fund Mill Rate")</f>
        <v>2014 Fund Mill Rate</v>
      </c>
      <c r="I85" s="479"/>
      <c r="J85" s="480"/>
    </row>
    <row r="86" spans="7:10" ht="15.75">
      <c r="G86" s="482">
        <f>summ!E24</f>
        <v>1.47</v>
      </c>
      <c r="H86" s="478" t="str">
        <f>CONCATENATE("",E1-1," Fund Mill Rate")</f>
        <v>2013 Fund Mill Rate</v>
      </c>
      <c r="I86" s="479"/>
      <c r="J86" s="480"/>
    </row>
    <row r="87" spans="7:10" ht="15.75">
      <c r="G87" s="483">
        <f>summ!H53</f>
        <v>96.518</v>
      </c>
      <c r="H87" s="478" t="str">
        <f>CONCATENATE("Total ",E1," Mill Rate")</f>
        <v>Total 2014 Mill Rate</v>
      </c>
      <c r="I87" s="479"/>
      <c r="J87" s="480"/>
    </row>
    <row r="88" spans="7:10" ht="15.75">
      <c r="G88" s="482">
        <f>summ!E53</f>
        <v>89.61599999999999</v>
      </c>
      <c r="H88" s="484" t="str">
        <f>CONCATENATE("Total ",E1-1," Mill Rate")</f>
        <v>Total 2013 Mill Rate</v>
      </c>
      <c r="I88" s="485"/>
      <c r="J88" s="486"/>
    </row>
    <row r="90" spans="7:9" ht="15.75">
      <c r="G90" s="531" t="s">
        <v>323</v>
      </c>
      <c r="H90" s="530"/>
      <c r="I90" s="529" t="str">
        <f>cert!E63</f>
        <v>Yes</v>
      </c>
    </row>
    <row r="93" spans="3:4" ht="15.75" hidden="1">
      <c r="C93" s="48">
        <f>IF(C38&gt;C40,"See Tab A","")</f>
      </c>
      <c r="D93" s="48">
        <f>IF(D38&gt;D40,"See Tab C","")</f>
      </c>
    </row>
    <row r="94" spans="3:4" ht="15.75" hidden="1">
      <c r="C94" s="48">
        <f>IF(C39&lt;0,"See Tab B","")</f>
      </c>
      <c r="D94" s="48">
        <f>IF(D39&lt;0,"See Tab D","")</f>
      </c>
    </row>
    <row r="95" spans="3:4" ht="15.75" hidden="1">
      <c r="C95" s="48">
        <f>IF(C75&gt;C77,"See Tab A","")</f>
      </c>
      <c r="D95" s="48">
        <f>IF(D75&gt;D77,"See Tab C","")</f>
      </c>
    </row>
    <row r="96" spans="3:4" ht="15.75" hidden="1">
      <c r="C96" s="48">
        <f>IF(C76&lt;0,"See Tab B","")</f>
      </c>
      <c r="D96" s="48">
        <f>IF(D76&lt;0,"See Tab D","")</f>
      </c>
    </row>
  </sheetData>
  <sheetProtection/>
  <mergeCells count="12">
    <mergeCell ref="C41:D41"/>
    <mergeCell ref="C42:D42"/>
    <mergeCell ref="C78:D78"/>
    <mergeCell ref="C79:D79"/>
    <mergeCell ref="C82:D82"/>
    <mergeCell ref="C45:D45"/>
    <mergeCell ref="G24:J24"/>
    <mergeCell ref="G36:J36"/>
    <mergeCell ref="G46:J46"/>
    <mergeCell ref="G66:J66"/>
    <mergeCell ref="G73:J73"/>
    <mergeCell ref="G83:J83"/>
  </mergeCells>
  <conditionalFormatting sqref="E73">
    <cfRule type="cellIs" priority="3" dxfId="309" operator="greaterThan" stopIfTrue="1">
      <formula>$E$75*0.1</formula>
    </cfRule>
  </conditionalFormatting>
  <conditionalFormatting sqref="E78">
    <cfRule type="cellIs" priority="4" dxfId="309" operator="greaterThan" stopIfTrue="1">
      <formula>$E$75/0.95-$E$75</formula>
    </cfRule>
  </conditionalFormatting>
  <conditionalFormatting sqref="E41">
    <cfRule type="cellIs" priority="5" dxfId="309" operator="greaterThan" stopIfTrue="1">
      <formula>$E$38/0.95-$E$38</formula>
    </cfRule>
  </conditionalFormatting>
  <conditionalFormatting sqref="E36">
    <cfRule type="cellIs" priority="6" dxfId="309" operator="greaterThan" stopIfTrue="1">
      <formula>$E$38*0.1</formula>
    </cfRule>
  </conditionalFormatting>
  <conditionalFormatting sqref="C76 C39">
    <cfRule type="cellIs" priority="7" dxfId="2" operator="lessThan" stopIfTrue="1">
      <formula>0</formula>
    </cfRule>
  </conditionalFormatting>
  <conditionalFormatting sqref="C75">
    <cfRule type="cellIs" priority="8" dxfId="2" operator="greaterThan" stopIfTrue="1">
      <formula>$C$77</formula>
    </cfRule>
  </conditionalFormatting>
  <conditionalFormatting sqref="D75">
    <cfRule type="cellIs" priority="9" dxfId="2" operator="greaterThan" stopIfTrue="1">
      <formula>$D$77</formula>
    </cfRule>
  </conditionalFormatting>
  <conditionalFormatting sqref="C73">
    <cfRule type="cellIs" priority="10" dxfId="2" operator="greaterThan" stopIfTrue="1">
      <formula>$C$75*0.1</formula>
    </cfRule>
  </conditionalFormatting>
  <conditionalFormatting sqref="D73">
    <cfRule type="cellIs" priority="11" dxfId="2" operator="greaterThan" stopIfTrue="1">
      <formula>$D$75*0.1</formula>
    </cfRule>
  </conditionalFormatting>
  <conditionalFormatting sqref="E60">
    <cfRule type="cellIs" priority="12" dxfId="309" operator="greaterThan" stopIfTrue="1">
      <formula>$E$62*0.1+E82</formula>
    </cfRule>
  </conditionalFormatting>
  <conditionalFormatting sqref="C60">
    <cfRule type="cellIs" priority="13" dxfId="2" operator="greaterThan" stopIfTrue="1">
      <formula>$C$62*0.1</formula>
    </cfRule>
  </conditionalFormatting>
  <conditionalFormatting sqref="D60">
    <cfRule type="cellIs" priority="14" dxfId="2" operator="greaterThan" stopIfTrue="1">
      <formula>$D$62*0.1</formula>
    </cfRule>
  </conditionalFormatting>
  <conditionalFormatting sqref="C38">
    <cfRule type="cellIs" priority="15" dxfId="2" operator="greaterThan" stopIfTrue="1">
      <formula>$C$40</formula>
    </cfRule>
  </conditionalFormatting>
  <conditionalFormatting sqref="D38">
    <cfRule type="cellIs" priority="16" dxfId="2" operator="greaterThan" stopIfTrue="1">
      <formula>$D$40</formula>
    </cfRule>
  </conditionalFormatting>
  <conditionalFormatting sqref="C36">
    <cfRule type="cellIs" priority="17" dxfId="2" operator="greaterThan" stopIfTrue="1">
      <formula>$C$38*0.1</formula>
    </cfRule>
  </conditionalFormatting>
  <conditionalFormatting sqref="D36">
    <cfRule type="cellIs" priority="18" dxfId="2" operator="greaterThan" stopIfTrue="1">
      <formula>$D$38*0.1</formula>
    </cfRule>
  </conditionalFormatting>
  <conditionalFormatting sqref="E18">
    <cfRule type="cellIs" priority="19" dxfId="309" operator="greaterThan" stopIfTrue="1">
      <formula>$E$20*0.1+E45</formula>
    </cfRule>
  </conditionalFormatting>
  <conditionalFormatting sqref="C18">
    <cfRule type="cellIs" priority="20" dxfId="2" operator="greaterThan" stopIfTrue="1">
      <formula>$C$20*0.1</formula>
    </cfRule>
  </conditionalFormatting>
  <conditionalFormatting sqref="D18">
    <cfRule type="cellIs" priority="21" dxfId="2" operator="greaterThan" stopIfTrue="1">
      <formula>$D$20*0.1</formula>
    </cfRule>
  </conditionalFormatting>
  <conditionalFormatting sqref="D76 D39">
    <cfRule type="cellIs" priority="2" dxfId="0" operator="lessThan" stopIfTrue="1">
      <formula>0</formula>
    </cfRule>
  </conditionalFormatting>
  <printOptions/>
  <pageMargins left="1.12" right="0.5" top="0.74" bottom="0.34" header="0.5" footer="0"/>
  <pageSetup blackAndWhite="1" horizontalDpi="120" verticalDpi="120" orientation="portrait" scale="52" r:id="rId1"/>
  <headerFooter alignWithMargins="0">
    <oddHeader>&amp;RState of Kansas
County
</oddHeader>
  </headerFooter>
</worksheet>
</file>

<file path=xl/worksheets/sheet17.xml><?xml version="1.0" encoding="utf-8"?>
<worksheet xmlns="http://schemas.openxmlformats.org/spreadsheetml/2006/main" xmlns:r="http://schemas.openxmlformats.org/officeDocument/2006/relationships">
  <dimension ref="B1:K86"/>
  <sheetViews>
    <sheetView view="pageBreakPreview" zoomScale="102" zoomScaleSheetLayoutView="102" zoomScalePageLayoutView="0" workbookViewId="0" topLeftCell="A12">
      <selection activeCell="E30" sqref="E30"/>
    </sheetView>
  </sheetViews>
  <sheetFormatPr defaultColWidth="8.796875" defaultRowHeight="15"/>
  <cols>
    <col min="1" max="1" width="2.3984375" style="48" customWidth="1"/>
    <col min="2" max="2" width="31.09765625" style="48" customWidth="1"/>
    <col min="3" max="4" width="15.796875" style="48" customWidth="1"/>
    <col min="5" max="5" width="16.19921875" style="48" customWidth="1"/>
    <col min="6" max="6" width="7.3984375" style="48" customWidth="1"/>
    <col min="7" max="7" width="10.19921875" style="48" customWidth="1"/>
    <col min="8" max="8" width="8.8984375" style="48" customWidth="1"/>
    <col min="9" max="9" width="5" style="48" customWidth="1"/>
    <col min="10" max="10" width="10" style="48" customWidth="1"/>
    <col min="11" max="16384" width="8.8984375" style="48" customWidth="1"/>
  </cols>
  <sheetData>
    <row r="1" spans="2:5" ht="15.75">
      <c r="B1" s="182" t="str">
        <f>(inputPrYr!C2)</f>
        <v>MITCHELL COUNTY</v>
      </c>
      <c r="C1" s="51"/>
      <c r="D1" s="51"/>
      <c r="E1" s="240">
        <f>inputPrYr!C4</f>
        <v>2014</v>
      </c>
    </row>
    <row r="2" spans="2:5" ht="15.75">
      <c r="B2" s="51"/>
      <c r="C2" s="51"/>
      <c r="D2" s="51"/>
      <c r="E2" s="194"/>
    </row>
    <row r="3" spans="2:5" ht="15.75">
      <c r="B3" s="118" t="s">
        <v>155</v>
      </c>
      <c r="C3" s="286"/>
      <c r="D3" s="286"/>
      <c r="E3" s="287"/>
    </row>
    <row r="4" spans="2:5" ht="15.75">
      <c r="B4" s="50" t="s">
        <v>75</v>
      </c>
      <c r="C4" s="511" t="s">
        <v>317</v>
      </c>
      <c r="D4" s="512" t="s">
        <v>318</v>
      </c>
      <c r="E4" s="178" t="s">
        <v>319</v>
      </c>
    </row>
    <row r="5" spans="2:5" ht="15.75">
      <c r="B5" s="393" t="str">
        <f>inputPrYr!B25</f>
        <v>Hospital Maintenance</v>
      </c>
      <c r="C5" s="366" t="str">
        <f>CONCATENATE("Actual for ",E1-2,"")</f>
        <v>Actual for 2012</v>
      </c>
      <c r="D5" s="366" t="str">
        <f>CONCATENATE("Estimate for ",E1-1,"")</f>
        <v>Estimate for 2013</v>
      </c>
      <c r="E5" s="256" t="str">
        <f>CONCATENATE("Year for ",E1,"")</f>
        <v>Year for 2014</v>
      </c>
    </row>
    <row r="6" spans="2:5" ht="15.75">
      <c r="B6" s="114" t="s">
        <v>197</v>
      </c>
      <c r="C6" s="363">
        <v>9241</v>
      </c>
      <c r="D6" s="367">
        <f>C28</f>
        <v>13574</v>
      </c>
      <c r="E6" s="219">
        <f>D28</f>
        <v>3922</v>
      </c>
    </row>
    <row r="7" spans="2:5" ht="15.75">
      <c r="B7" s="244" t="s">
        <v>199</v>
      </c>
      <c r="C7" s="259"/>
      <c r="D7" s="259"/>
      <c r="E7" s="93"/>
    </row>
    <row r="8" spans="2:5" ht="15.75">
      <c r="B8" s="114" t="s">
        <v>76</v>
      </c>
      <c r="C8" s="363">
        <v>116613</v>
      </c>
      <c r="D8" s="367">
        <v>119939</v>
      </c>
      <c r="E8" s="290" t="s">
        <v>62</v>
      </c>
    </row>
    <row r="9" spans="2:5" ht="15.75">
      <c r="B9" s="114" t="s">
        <v>77</v>
      </c>
      <c r="C9" s="363">
        <v>3357</v>
      </c>
      <c r="D9" s="363">
        <v>400</v>
      </c>
      <c r="E9" s="78">
        <v>400</v>
      </c>
    </row>
    <row r="10" spans="2:5" ht="15.75">
      <c r="B10" s="114" t="s">
        <v>78</v>
      </c>
      <c r="C10" s="363">
        <v>14516</v>
      </c>
      <c r="D10" s="363">
        <v>15674</v>
      </c>
      <c r="E10" s="219">
        <f>mvalloc!E16</f>
        <v>15578</v>
      </c>
    </row>
    <row r="11" spans="2:5" ht="15.75">
      <c r="B11" s="114" t="s">
        <v>79</v>
      </c>
      <c r="C11" s="363"/>
      <c r="D11" s="363">
        <v>231</v>
      </c>
      <c r="E11" s="219">
        <f>mvalloc!F16</f>
        <v>216</v>
      </c>
    </row>
    <row r="12" spans="2:5" ht="15.75">
      <c r="B12" s="259" t="s">
        <v>148</v>
      </c>
      <c r="C12" s="363"/>
      <c r="D12" s="363">
        <v>1818</v>
      </c>
      <c r="E12" s="219">
        <f>mvalloc!G16</f>
        <v>1771</v>
      </c>
    </row>
    <row r="13" spans="2:5" ht="15.75">
      <c r="B13" s="261" t="s">
        <v>373</v>
      </c>
      <c r="C13" s="545">
        <v>-6122</v>
      </c>
      <c r="D13" s="545">
        <v>-8177</v>
      </c>
      <c r="E13" s="546">
        <v>-10999</v>
      </c>
    </row>
    <row r="14" spans="2:5" ht="15.75">
      <c r="B14" s="271"/>
      <c r="C14" s="363"/>
      <c r="D14" s="363"/>
      <c r="E14" s="78"/>
    </row>
    <row r="15" spans="2:5" ht="15.75">
      <c r="B15" s="262" t="s">
        <v>83</v>
      </c>
      <c r="C15" s="363"/>
      <c r="D15" s="363"/>
      <c r="E15" s="78"/>
    </row>
    <row r="16" spans="2:5" ht="15.75">
      <c r="B16" s="263" t="s">
        <v>37</v>
      </c>
      <c r="C16" s="363"/>
      <c r="D16" s="363"/>
      <c r="E16" s="78"/>
    </row>
    <row r="17" spans="2:5" ht="15.75">
      <c r="B17" s="263" t="s">
        <v>282</v>
      </c>
      <c r="C17" s="364">
        <f>IF(C18*0.1&lt;C16,"Exceed 10% Rule","")</f>
      </c>
      <c r="D17" s="364">
        <f>IF(D18*0.1&lt;D16,"Exceed 10% Rule","")</f>
      </c>
      <c r="E17" s="297">
        <f>IF(E18*0.1+E34&lt;E16,"Exceed 10% Rule","")</f>
      </c>
    </row>
    <row r="18" spans="2:5" ht="15.75">
      <c r="B18" s="265" t="s">
        <v>84</v>
      </c>
      <c r="C18" s="365">
        <f>SUM(C8:C16)</f>
        <v>128364</v>
      </c>
      <c r="D18" s="365">
        <f>SUM(D8:D16)</f>
        <v>129885</v>
      </c>
      <c r="E18" s="305">
        <f>SUM(E8:E16)</f>
        <v>6966</v>
      </c>
    </row>
    <row r="19" spans="2:5" ht="15.75">
      <c r="B19" s="265" t="s">
        <v>85</v>
      </c>
      <c r="C19" s="365">
        <f>C6+C18</f>
        <v>137605</v>
      </c>
      <c r="D19" s="365">
        <f>D6+D18</f>
        <v>143459</v>
      </c>
      <c r="E19" s="305">
        <f>E6+E18</f>
        <v>10888</v>
      </c>
    </row>
    <row r="20" spans="2:5" ht="15.75">
      <c r="B20" s="114" t="s">
        <v>88</v>
      </c>
      <c r="C20" s="263"/>
      <c r="D20" s="263"/>
      <c r="E20" s="74"/>
    </row>
    <row r="21" spans="2:5" ht="15.75">
      <c r="B21" s="271" t="s">
        <v>402</v>
      </c>
      <c r="C21" s="363">
        <v>124031</v>
      </c>
      <c r="D21" s="363">
        <v>139537</v>
      </c>
      <c r="E21" s="78">
        <v>142569</v>
      </c>
    </row>
    <row r="22" spans="2:10" ht="15.75">
      <c r="B22" s="271"/>
      <c r="C22" s="363"/>
      <c r="D22" s="363"/>
      <c r="E22" s="78"/>
      <c r="G22" s="604" t="str">
        <f>CONCATENATE("Desired Carryover Into ",E1+1,"")</f>
        <v>Desired Carryover Into 2015</v>
      </c>
      <c r="H22" s="605"/>
      <c r="I22" s="605"/>
      <c r="J22" s="606"/>
    </row>
    <row r="23" spans="2:10" ht="15.75">
      <c r="B23" s="271"/>
      <c r="C23" s="363"/>
      <c r="D23" s="363"/>
      <c r="E23" s="78"/>
      <c r="G23" s="470" t="s">
        <v>315</v>
      </c>
      <c r="H23" s="471"/>
      <c r="I23" s="471"/>
      <c r="J23" s="472" t="e">
        <f>IF(#REF!&gt;0,#REF!-E31,0)</f>
        <v>#REF!</v>
      </c>
    </row>
    <row r="24" spans="2:10" ht="15.75">
      <c r="B24" s="263" t="s">
        <v>39</v>
      </c>
      <c r="C24" s="363"/>
      <c r="D24" s="363"/>
      <c r="E24" s="86"/>
      <c r="G24" s="1"/>
      <c r="H24" s="1"/>
      <c r="I24" s="1"/>
      <c r="J24" s="1"/>
    </row>
    <row r="25" spans="2:10" ht="15.75">
      <c r="B25" s="263" t="s">
        <v>37</v>
      </c>
      <c r="C25" s="363"/>
      <c r="D25" s="363"/>
      <c r="E25" s="78"/>
      <c r="G25" s="604" t="str">
        <f>CONCATENATE("Projected Carryover Into ",E1+1,"")</f>
        <v>Projected Carryover Into 2015</v>
      </c>
      <c r="H25" s="611"/>
      <c r="I25" s="611"/>
      <c r="J25" s="612"/>
    </row>
    <row r="26" spans="2:10" ht="15.75">
      <c r="B26" s="263" t="s">
        <v>281</v>
      </c>
      <c r="C26" s="364">
        <f>IF(C27*0.1&lt;C25,"Exceed 10% Rule","")</f>
      </c>
      <c r="D26" s="364">
        <f>IF(D27*0.1&lt;D25,"Exceed 10% Rule","")</f>
      </c>
      <c r="E26" s="297">
        <f>IF(E27*0.1&lt;E25,"Exceed 10% Rule","")</f>
      </c>
      <c r="G26" s="459"/>
      <c r="H26" s="461"/>
      <c r="I26" s="461"/>
      <c r="J26" s="487"/>
    </row>
    <row r="27" spans="2:10" ht="15.75">
      <c r="B27" s="265" t="s">
        <v>89</v>
      </c>
      <c r="C27" s="365">
        <f>SUM(C21:C25)</f>
        <v>124031</v>
      </c>
      <c r="D27" s="365">
        <f>SUM(D21:D25)</f>
        <v>139537</v>
      </c>
      <c r="E27" s="305">
        <f>SUM(E21:E25)</f>
        <v>142569</v>
      </c>
      <c r="G27" s="488">
        <f>D28</f>
        <v>3922</v>
      </c>
      <c r="H27" s="478" t="str">
        <f>CONCATENATE("",E1-1," Ending Cash Balance (est.)")</f>
        <v>2013 Ending Cash Balance (est.)</v>
      </c>
      <c r="I27" s="489"/>
      <c r="J27" s="487"/>
    </row>
    <row r="28" spans="2:10" ht="15.75">
      <c r="B28" s="114" t="s">
        <v>198</v>
      </c>
      <c r="C28" s="368">
        <f>C19-C27</f>
        <v>13574</v>
      </c>
      <c r="D28" s="368">
        <f>D19-D27</f>
        <v>3922</v>
      </c>
      <c r="E28" s="290" t="s">
        <v>62</v>
      </c>
      <c r="G28" s="488">
        <f>E18</f>
        <v>6966</v>
      </c>
      <c r="H28" s="461" t="str">
        <f>CONCATENATE("",E1," Non-AV Receipts (est.)")</f>
        <v>2014 Non-AV Receipts (est.)</v>
      </c>
      <c r="I28" s="489"/>
      <c r="J28" s="487"/>
    </row>
    <row r="29" spans="2:11" ht="15.75">
      <c r="B29" s="241" t="str">
        <f>CONCATENATE("",E$1-2,"/",E$1-1," Budget Authority Amount:")</f>
        <v>2012/2013 Budget Authority Amount:</v>
      </c>
      <c r="C29" s="233">
        <f>inputOth!B41</f>
        <v>124031</v>
      </c>
      <c r="D29" s="233">
        <f>inputPrYr!D25</f>
        <v>139537</v>
      </c>
      <c r="E29" s="290" t="s">
        <v>62</v>
      </c>
      <c r="F29" s="273"/>
      <c r="G29" s="490">
        <f>IF(E33&gt;0,E32,E34)</f>
        <v>131681</v>
      </c>
      <c r="H29" s="461" t="str">
        <f>CONCATENATE("",E1," Ad Valorem Tax (est.)")</f>
        <v>2014 Ad Valorem Tax (est.)</v>
      </c>
      <c r="I29" s="489"/>
      <c r="J29" s="487"/>
      <c r="K29" s="475" t="str">
        <f>IF(G29=E34,"","Note: Does not include Delinquent Taxes")</f>
        <v>Note: Does not include Delinquent Taxes</v>
      </c>
    </row>
    <row r="30" spans="2:10" ht="15.75">
      <c r="B30" s="241"/>
      <c r="C30" s="594" t="s">
        <v>284</v>
      </c>
      <c r="D30" s="595"/>
      <c r="E30" s="78"/>
      <c r="F30" s="402">
        <f>IF(E27/0.95-E27&lt;E30,"Exceeds 5%","")</f>
      </c>
      <c r="G30" s="488">
        <f>SUM(G27:G29)</f>
        <v>142569</v>
      </c>
      <c r="H30" s="461" t="str">
        <f>CONCATENATE("Total ",E1," Resources Available")</f>
        <v>Total 2014 Resources Available</v>
      </c>
      <c r="I30" s="489"/>
      <c r="J30" s="487"/>
    </row>
    <row r="31" spans="2:10" ht="15.75">
      <c r="B31" s="406" t="str">
        <f>CONCATENATE(C83,"     ",D83)</f>
        <v>     </v>
      </c>
      <c r="C31" s="596" t="s">
        <v>285</v>
      </c>
      <c r="D31" s="597"/>
      <c r="E31" s="219">
        <f>E27+E30</f>
        <v>142569</v>
      </c>
      <c r="G31" s="491"/>
      <c r="H31" s="461"/>
      <c r="I31" s="461"/>
      <c r="J31" s="487"/>
    </row>
    <row r="32" spans="2:10" ht="15.75">
      <c r="B32" s="406" t="str">
        <f>CONCATENATE(C84,"     ",D84)</f>
        <v>     </v>
      </c>
      <c r="C32" s="274"/>
      <c r="D32" s="194" t="s">
        <v>90</v>
      </c>
      <c r="E32" s="86">
        <f>IF(E31-E19&gt;0,E31-E19,0)</f>
        <v>131681</v>
      </c>
      <c r="G32" s="490">
        <f>ROUND(C27*0.05+C27,0)</f>
        <v>130233</v>
      </c>
      <c r="H32" s="461" t="str">
        <f>CONCATENATE("Less ",E1-2," Expenditures + 5%")</f>
        <v>Less 2012 Expenditures + 5%</v>
      </c>
      <c r="I32" s="489"/>
      <c r="J32" s="492"/>
    </row>
    <row r="33" spans="2:10" ht="15.75">
      <c r="B33" s="194"/>
      <c r="C33" s="404" t="s">
        <v>286</v>
      </c>
      <c r="D33" s="458">
        <f>inputOth!$E$23</f>
        <v>0.03</v>
      </c>
      <c r="E33" s="219">
        <f>ROUND(IF(D33&gt;0,($E$32*D33),0),0)</f>
        <v>3950</v>
      </c>
      <c r="G33" s="493">
        <f>G30-G32</f>
        <v>12336</v>
      </c>
      <c r="H33" s="494" t="str">
        <f>CONCATENATE("Projected ",E1+1," carryover (est.)")</f>
        <v>Projected 2015 carryover (est.)</v>
      </c>
      <c r="I33" s="495"/>
      <c r="J33" s="496"/>
    </row>
    <row r="34" spans="2:10" ht="15.75">
      <c r="B34" s="51"/>
      <c r="C34" s="602" t="str">
        <f>CONCATENATE("Amount of  ",$E$1-1," Ad Valorem Tax")</f>
        <v>Amount of  2013 Ad Valorem Tax</v>
      </c>
      <c r="D34" s="603"/>
      <c r="E34" s="301">
        <f>E32+E33</f>
        <v>135631</v>
      </c>
      <c r="G34" s="1"/>
      <c r="H34" s="1"/>
      <c r="I34" s="1"/>
      <c r="J34" s="1"/>
    </row>
    <row r="35" spans="2:10" ht="15.75">
      <c r="B35" s="51"/>
      <c r="C35" s="280"/>
      <c r="D35" s="280"/>
      <c r="E35" s="280"/>
      <c r="G35" s="607" t="s">
        <v>316</v>
      </c>
      <c r="H35" s="608"/>
      <c r="I35" s="608"/>
      <c r="J35" s="609"/>
    </row>
    <row r="36" spans="2:10" ht="15.75">
      <c r="B36" s="50" t="s">
        <v>75</v>
      </c>
      <c r="C36" s="511" t="str">
        <f aca="true" t="shared" si="0" ref="C36:E37">C4</f>
        <v>Prior Year </v>
      </c>
      <c r="D36" s="512" t="str">
        <f t="shared" si="0"/>
        <v>Current Year </v>
      </c>
      <c r="E36" s="178" t="str">
        <f t="shared" si="0"/>
        <v>Proposed Budget </v>
      </c>
      <c r="G36" s="477"/>
      <c r="H36" s="478"/>
      <c r="I36" s="479"/>
      <c r="J36" s="480"/>
    </row>
    <row r="37" spans="2:10" ht="15.75">
      <c r="B37" s="392" t="str">
        <f>inputPrYr!B26</f>
        <v>County Health</v>
      </c>
      <c r="C37" s="366" t="str">
        <f t="shared" si="0"/>
        <v>Actual for 2012</v>
      </c>
      <c r="D37" s="366" t="str">
        <f t="shared" si="0"/>
        <v>Estimate for 2013</v>
      </c>
      <c r="E37" s="256" t="str">
        <f t="shared" si="0"/>
        <v>Year for 2014</v>
      </c>
      <c r="G37" s="481">
        <f>summ!H25</f>
        <v>2</v>
      </c>
      <c r="H37" s="478" t="str">
        <f>CONCATENATE("",E1," Fund Mill Rate")</f>
        <v>2014 Fund Mill Rate</v>
      </c>
      <c r="I37" s="479"/>
      <c r="J37" s="480"/>
    </row>
    <row r="38" spans="2:10" ht="15.75">
      <c r="B38" s="114" t="s">
        <v>197</v>
      </c>
      <c r="C38" s="363">
        <v>13302</v>
      </c>
      <c r="D38" s="367">
        <f>C66</f>
        <v>30220</v>
      </c>
      <c r="E38" s="219">
        <f>D66</f>
        <v>36501</v>
      </c>
      <c r="G38" s="482">
        <f>summ!E25</f>
        <v>1.96</v>
      </c>
      <c r="H38" s="478" t="str">
        <f>CONCATENATE("",E1-1," Fund Mill Rate")</f>
        <v>2013 Fund Mill Rate</v>
      </c>
      <c r="I38" s="479"/>
      <c r="J38" s="480"/>
    </row>
    <row r="39" spans="2:10" ht="15.75">
      <c r="B39" s="257" t="s">
        <v>199</v>
      </c>
      <c r="C39" s="259"/>
      <c r="D39" s="259"/>
      <c r="E39" s="93"/>
      <c r="G39" s="483">
        <f>summ!H53</f>
        <v>96.518</v>
      </c>
      <c r="H39" s="478" t="str">
        <f>CONCATENATE("Total ",E1," Mill Rate")</f>
        <v>Total 2014 Mill Rate</v>
      </c>
      <c r="I39" s="479"/>
      <c r="J39" s="480"/>
    </row>
    <row r="40" spans="2:10" ht="15.75">
      <c r="B40" s="114" t="s">
        <v>76</v>
      </c>
      <c r="C40" s="363">
        <v>361962</v>
      </c>
      <c r="D40" s="367">
        <v>344786</v>
      </c>
      <c r="E40" s="290" t="s">
        <v>62</v>
      </c>
      <c r="G40" s="482">
        <f>summ!E53</f>
        <v>89.61599999999999</v>
      </c>
      <c r="H40" s="484" t="str">
        <f>CONCATENATE("Total ",E1-1," Mill Rate")</f>
        <v>Total 2013 Mill Rate</v>
      </c>
      <c r="I40" s="485"/>
      <c r="J40" s="486"/>
    </row>
    <row r="41" spans="2:10" ht="15.75">
      <c r="B41" s="114" t="s">
        <v>77</v>
      </c>
      <c r="C41" s="363">
        <v>8004</v>
      </c>
      <c r="D41" s="363">
        <v>1200</v>
      </c>
      <c r="E41" s="78">
        <v>1200</v>
      </c>
      <c r="G41" s="1"/>
      <c r="H41" s="1"/>
      <c r="I41" s="1"/>
      <c r="J41" s="1"/>
    </row>
    <row r="42" spans="2:10" ht="15.75">
      <c r="B42" s="114" t="s">
        <v>78</v>
      </c>
      <c r="C42" s="363">
        <v>16432</v>
      </c>
      <c r="D42" s="363">
        <v>48657</v>
      </c>
      <c r="E42" s="219">
        <f>mvalloc!E17</f>
        <v>44782</v>
      </c>
      <c r="G42" s="531" t="s">
        <v>323</v>
      </c>
      <c r="H42" s="530"/>
      <c r="I42" s="529" t="str">
        <f>cert!E63</f>
        <v>Yes</v>
      </c>
      <c r="J42" s="1"/>
    </row>
    <row r="43" spans="2:10" ht="15.75">
      <c r="B43" s="114" t="s">
        <v>79</v>
      </c>
      <c r="C43" s="363"/>
      <c r="D43" s="363">
        <v>718</v>
      </c>
      <c r="E43" s="219">
        <f>mvalloc!F17</f>
        <v>621</v>
      </c>
      <c r="G43" s="1"/>
      <c r="H43" s="1"/>
      <c r="I43" s="1"/>
      <c r="J43" s="1"/>
    </row>
    <row r="44" spans="2:10" ht="15.75">
      <c r="B44" s="259" t="s">
        <v>148</v>
      </c>
      <c r="C44" s="363"/>
      <c r="D44" s="363">
        <v>5642</v>
      </c>
      <c r="E44" s="219">
        <f>mvalloc!G17</f>
        <v>5090</v>
      </c>
      <c r="G44" s="1"/>
      <c r="H44" s="1"/>
      <c r="I44" s="1"/>
      <c r="J44" s="1"/>
    </row>
    <row r="45" spans="2:10" ht="15.75">
      <c r="B45" s="261" t="s">
        <v>373</v>
      </c>
      <c r="C45" s="545">
        <v>-19003</v>
      </c>
      <c r="D45" s="545">
        <v>-25382</v>
      </c>
      <c r="E45" s="546">
        <v>-31616</v>
      </c>
      <c r="G45" s="1"/>
      <c r="H45" s="1"/>
      <c r="I45" s="1"/>
      <c r="J45" s="1"/>
    </row>
    <row r="46" spans="2:10" ht="15.75">
      <c r="B46" s="271" t="s">
        <v>412</v>
      </c>
      <c r="C46" s="363">
        <v>509212</v>
      </c>
      <c r="D46" s="363">
        <v>485000</v>
      </c>
      <c r="E46" s="78">
        <v>475000</v>
      </c>
      <c r="G46" s="1"/>
      <c r="H46" s="1"/>
      <c r="I46" s="1"/>
      <c r="J46" s="1"/>
    </row>
    <row r="47" spans="2:10" ht="15.75">
      <c r="B47" s="271"/>
      <c r="C47" s="363"/>
      <c r="D47" s="363"/>
      <c r="E47" s="78"/>
      <c r="G47" s="1"/>
      <c r="H47" s="1"/>
      <c r="I47" s="1"/>
      <c r="J47" s="1"/>
    </row>
    <row r="48" spans="2:10" ht="15.75">
      <c r="B48" s="271"/>
      <c r="C48" s="363"/>
      <c r="D48" s="363"/>
      <c r="E48" s="78"/>
      <c r="G48" s="1"/>
      <c r="H48" s="1"/>
      <c r="I48" s="1"/>
      <c r="J48" s="1"/>
    </row>
    <row r="49" spans="2:10" ht="15.75">
      <c r="B49" s="262" t="s">
        <v>83</v>
      </c>
      <c r="C49" s="363"/>
      <c r="D49" s="363"/>
      <c r="E49" s="78"/>
      <c r="G49" s="1"/>
      <c r="H49" s="1"/>
      <c r="I49" s="1"/>
      <c r="J49" s="1"/>
    </row>
    <row r="50" spans="2:10" ht="15.75">
      <c r="B50" s="263" t="s">
        <v>37</v>
      </c>
      <c r="C50" s="363"/>
      <c r="D50" s="363"/>
      <c r="E50" s="78"/>
      <c r="G50" s="1"/>
      <c r="H50" s="1"/>
      <c r="I50" s="1"/>
      <c r="J50" s="1"/>
    </row>
    <row r="51" spans="2:10" ht="15.75">
      <c r="B51" s="263" t="s">
        <v>282</v>
      </c>
      <c r="C51" s="364">
        <f>IF(C52*0.1&lt;C50,"Exceed 10% Rule","")</f>
      </c>
      <c r="D51" s="364">
        <f>IF(D52*0.1&lt;D50,"Exceed 10% Rule","")</f>
      </c>
      <c r="E51" s="297">
        <f>IF(E52*0.1+E72&lt;E50,"Exceed 10% Rule","")</f>
      </c>
      <c r="G51" s="1"/>
      <c r="H51" s="1"/>
      <c r="I51" s="1"/>
      <c r="J51" s="1"/>
    </row>
    <row r="52" spans="2:10" ht="15.75">
      <c r="B52" s="265" t="s">
        <v>84</v>
      </c>
      <c r="C52" s="365">
        <f>SUM(C40:C50)</f>
        <v>876607</v>
      </c>
      <c r="D52" s="365">
        <f>SUM(D40:D50)</f>
        <v>860621</v>
      </c>
      <c r="E52" s="305">
        <f>SUM(E40:E50)</f>
        <v>495077</v>
      </c>
      <c r="G52" s="1"/>
      <c r="H52" s="1"/>
      <c r="I52" s="1"/>
      <c r="J52" s="1"/>
    </row>
    <row r="53" spans="2:10" ht="15.75">
      <c r="B53" s="265" t="s">
        <v>85</v>
      </c>
      <c r="C53" s="365">
        <f>C38+C52</f>
        <v>889909</v>
      </c>
      <c r="D53" s="365">
        <f>D38+D52</f>
        <v>890841</v>
      </c>
      <c r="E53" s="305">
        <f>E38+E52</f>
        <v>531578</v>
      </c>
      <c r="G53" s="1"/>
      <c r="H53" s="1"/>
      <c r="I53" s="1"/>
      <c r="J53" s="1"/>
    </row>
    <row r="54" spans="2:10" ht="15.75">
      <c r="B54" s="114" t="s">
        <v>88</v>
      </c>
      <c r="C54" s="263"/>
      <c r="D54" s="263"/>
      <c r="E54" s="74"/>
      <c r="G54" s="1"/>
      <c r="H54" s="1"/>
      <c r="I54" s="1"/>
      <c r="J54" s="1"/>
    </row>
    <row r="55" spans="2:10" ht="15.75">
      <c r="B55" s="76" t="s">
        <v>397</v>
      </c>
      <c r="C55" s="363">
        <v>371894</v>
      </c>
      <c r="D55" s="363">
        <v>380086</v>
      </c>
      <c r="E55" s="78">
        <v>383635</v>
      </c>
      <c r="G55" s="1"/>
      <c r="H55" s="1"/>
      <c r="I55" s="1"/>
      <c r="J55" s="1"/>
    </row>
    <row r="56" spans="2:10" ht="15.75">
      <c r="B56" s="76" t="s">
        <v>398</v>
      </c>
      <c r="C56" s="363">
        <v>113411</v>
      </c>
      <c r="D56" s="363">
        <v>69050</v>
      </c>
      <c r="E56" s="78">
        <v>68150</v>
      </c>
      <c r="G56" s="604" t="str">
        <f>CONCATENATE("Desired Carryover Into ",E1+1,"")</f>
        <v>Desired Carryover Into 2015</v>
      </c>
      <c r="H56" s="605"/>
      <c r="I56" s="605"/>
      <c r="J56" s="606"/>
    </row>
    <row r="57" spans="2:10" ht="15.75">
      <c r="B57" s="76" t="s">
        <v>399</v>
      </c>
      <c r="C57" s="363">
        <v>143422</v>
      </c>
      <c r="D57" s="363">
        <v>144600</v>
      </c>
      <c r="E57" s="78">
        <v>159100</v>
      </c>
      <c r="G57" s="459"/>
      <c r="H57" s="460"/>
      <c r="I57" s="461"/>
      <c r="J57" s="462"/>
    </row>
    <row r="58" spans="2:10" ht="15.75">
      <c r="B58" s="76" t="s">
        <v>400</v>
      </c>
      <c r="C58" s="363">
        <v>0</v>
      </c>
      <c r="D58" s="363">
        <v>20000</v>
      </c>
      <c r="E58" s="78">
        <v>20000</v>
      </c>
      <c r="G58" s="463" t="s">
        <v>287</v>
      </c>
      <c r="H58" s="461"/>
      <c r="I58" s="461"/>
      <c r="J58" s="464">
        <v>0</v>
      </c>
    </row>
    <row r="59" spans="2:10" ht="15.75">
      <c r="B59" s="247" t="s">
        <v>103</v>
      </c>
      <c r="C59" s="363">
        <v>220962</v>
      </c>
      <c r="D59" s="363">
        <v>240604</v>
      </c>
      <c r="E59" s="78">
        <v>254150</v>
      </c>
      <c r="G59" s="459" t="s">
        <v>288</v>
      </c>
      <c r="H59" s="460"/>
      <c r="I59" s="460"/>
      <c r="J59" s="465">
        <f>IF(J58=0,"",ROUND((J58+E72-G71)/inputOth!E6*1000,3)-G76)</f>
      </c>
    </row>
    <row r="60" spans="2:10" ht="15.75">
      <c r="B60" s="271" t="s">
        <v>443</v>
      </c>
      <c r="C60" s="363">
        <v>10000</v>
      </c>
      <c r="D60" s="363"/>
      <c r="E60" s="78"/>
      <c r="G60" s="466" t="str">
        <f>CONCATENATE("",E1," Tot Exp/Non-Appr Must Be:")</f>
        <v>2014 Tot Exp/Non-Appr Must Be:</v>
      </c>
      <c r="H60" s="467"/>
      <c r="I60" s="468"/>
      <c r="J60" s="469">
        <f>IF(J58&gt;0,IF(E69&lt;E53,IF(J58=G71,E69,((J58-G71)*(1-D71))+E53),E69+(J58-G71)),0)</f>
        <v>0</v>
      </c>
    </row>
    <row r="61" spans="2:10" ht="15.75">
      <c r="B61" s="271"/>
      <c r="C61" s="363"/>
      <c r="D61" s="363"/>
      <c r="E61" s="78"/>
      <c r="G61" s="470" t="s">
        <v>315</v>
      </c>
      <c r="H61" s="471"/>
      <c r="I61" s="471"/>
      <c r="J61" s="472">
        <f>IF(J58&gt;0,J60-E69,0)</f>
        <v>0</v>
      </c>
    </row>
    <row r="62" spans="2:10" ht="15.75">
      <c r="B62" s="263" t="s">
        <v>39</v>
      </c>
      <c r="C62" s="363"/>
      <c r="D62" s="363"/>
      <c r="E62" s="86"/>
      <c r="G62" s="1"/>
      <c r="H62" s="1"/>
      <c r="I62" s="1"/>
      <c r="J62" s="1"/>
    </row>
    <row r="63" spans="2:10" ht="15.75">
      <c r="B63" s="263" t="s">
        <v>37</v>
      </c>
      <c r="C63" s="363"/>
      <c r="D63" s="363"/>
      <c r="E63" s="78"/>
      <c r="G63" s="604" t="str">
        <f>CONCATENATE("Projected Carryover Into ",E1+1,"")</f>
        <v>Projected Carryover Into 2015</v>
      </c>
      <c r="H63" s="613"/>
      <c r="I63" s="613"/>
      <c r="J63" s="612"/>
    </row>
    <row r="64" spans="2:10" ht="15.75">
      <c r="B64" s="263" t="s">
        <v>281</v>
      </c>
      <c r="C64" s="364">
        <f>IF(C65*0.1&lt;C63,"Exceed 10% Rule","")</f>
      </c>
      <c r="D64" s="364">
        <f>IF(D65*0.1&lt;D63,"Exceed 10% Rule","")</f>
      </c>
      <c r="E64" s="297">
        <f>IF(E65*0.1&lt;E63,"Exceed 10% Rule","")</f>
      </c>
      <c r="G64" s="497"/>
      <c r="H64" s="460"/>
      <c r="I64" s="460"/>
      <c r="J64" s="492"/>
    </row>
    <row r="65" spans="2:10" ht="15.75">
      <c r="B65" s="265" t="s">
        <v>89</v>
      </c>
      <c r="C65" s="365">
        <f>SUM(C55:C63)</f>
        <v>859689</v>
      </c>
      <c r="D65" s="365">
        <f>SUM(D55:D63)</f>
        <v>854340</v>
      </c>
      <c r="E65" s="305">
        <f>SUM(E55:E63)</f>
        <v>885035</v>
      </c>
      <c r="G65" s="488">
        <f>D66</f>
        <v>36501</v>
      </c>
      <c r="H65" s="478" t="str">
        <f>CONCATENATE("",E1-1," Ending Cash Balance (est.)")</f>
        <v>2013 Ending Cash Balance (est.)</v>
      </c>
      <c r="I65" s="489"/>
      <c r="J65" s="492"/>
    </row>
    <row r="66" spans="2:10" ht="15.75">
      <c r="B66" s="114" t="s">
        <v>198</v>
      </c>
      <c r="C66" s="368">
        <f>C53-C65</f>
        <v>30220</v>
      </c>
      <c r="D66" s="368">
        <f>D53-D65</f>
        <v>36501</v>
      </c>
      <c r="E66" s="290" t="s">
        <v>62</v>
      </c>
      <c r="G66" s="488">
        <f>E52</f>
        <v>495077</v>
      </c>
      <c r="H66" s="461" t="str">
        <f>CONCATENATE("",E1," Non-AV Receipts (est.)")</f>
        <v>2014 Non-AV Receipts (est.)</v>
      </c>
      <c r="I66" s="489"/>
      <c r="J66" s="492"/>
    </row>
    <row r="67" spans="2:11" ht="15.75">
      <c r="B67" s="241" t="str">
        <f>CONCATENATE("",E$1-2,"/",E$1-1," Budget Authority Amount:")</f>
        <v>2012/2013 Budget Authority Amount:</v>
      </c>
      <c r="C67" s="233">
        <f>inputOth!D42</f>
        <v>868488</v>
      </c>
      <c r="D67" s="233">
        <f>inputPrYr!D26</f>
        <v>854340</v>
      </c>
      <c r="E67" s="290" t="s">
        <v>62</v>
      </c>
      <c r="F67" s="273"/>
      <c r="G67" s="490">
        <f>IF(E71&gt;0,E70,E72)</f>
        <v>353457</v>
      </c>
      <c r="H67" s="461" t="str">
        <f>CONCATENATE("",E1," Ad Valorem Tax (est.)")</f>
        <v>2014 Ad Valorem Tax (est.)</v>
      </c>
      <c r="I67" s="489"/>
      <c r="J67" s="492"/>
      <c r="K67" s="475" t="str">
        <f>IF(G67=E72,"","Note: Does not include Delinquent Taxes")</f>
        <v>Note: Does not include Delinquent Taxes</v>
      </c>
    </row>
    <row r="68" spans="2:10" ht="15.75">
      <c r="B68" s="241"/>
      <c r="C68" s="594" t="s">
        <v>284</v>
      </c>
      <c r="D68" s="595"/>
      <c r="E68" s="78"/>
      <c r="F68" s="402">
        <f>IF(E65/0.95-E65&lt;E68,"Exceeds 5%","")</f>
      </c>
      <c r="G68" s="498">
        <f>SUM(G65:G67)</f>
        <v>885035</v>
      </c>
      <c r="H68" s="461" t="str">
        <f>CONCATENATE("Total ",E1," Resources Available")</f>
        <v>Total 2014 Resources Available</v>
      </c>
      <c r="I68" s="499"/>
      <c r="J68" s="492"/>
    </row>
    <row r="69" spans="2:10" ht="15.75">
      <c r="B69" s="405" t="str">
        <f>CONCATENATE(C85,"     ",D85)</f>
        <v>     </v>
      </c>
      <c r="C69" s="596" t="s">
        <v>285</v>
      </c>
      <c r="D69" s="597"/>
      <c r="E69" s="219">
        <f>E65+E68</f>
        <v>885035</v>
      </c>
      <c r="G69" s="500"/>
      <c r="H69" s="501"/>
      <c r="I69" s="460"/>
      <c r="J69" s="492"/>
    </row>
    <row r="70" spans="2:10" ht="15.75">
      <c r="B70" s="405" t="str">
        <f>CONCATENATE(C86,"     ",D86)</f>
        <v>     </v>
      </c>
      <c r="C70" s="274"/>
      <c r="D70" s="194" t="s">
        <v>90</v>
      </c>
      <c r="E70" s="86">
        <f>IF(E69-E53&gt;0,E69-E53,0)</f>
        <v>353457</v>
      </c>
      <c r="G70" s="502">
        <f>ROUND(C65*0.05+C65,0)</f>
        <v>902673</v>
      </c>
      <c r="H70" s="461" t="str">
        <f>CONCATENATE("Less ",E1-2," Expenditures + 5%")</f>
        <v>Less 2012 Expenditures + 5%</v>
      </c>
      <c r="I70" s="499"/>
      <c r="J70" s="492"/>
    </row>
    <row r="71" spans="2:10" ht="15.75">
      <c r="B71" s="194"/>
      <c r="C71" s="404" t="s">
        <v>286</v>
      </c>
      <c r="D71" s="458">
        <f>inputOth!$E$23</f>
        <v>0.03</v>
      </c>
      <c r="E71" s="219">
        <f>ROUND(IF(D71&gt;0,($E$70*D71),0),0)</f>
        <v>10604</v>
      </c>
      <c r="G71" s="503">
        <f>G68-G70</f>
        <v>-17638</v>
      </c>
      <c r="H71" s="494" t="str">
        <f>CONCATENATE("Projected ",E1+1," carryover (est.)")</f>
        <v>Projected 2015 carryover (est.)</v>
      </c>
      <c r="I71" s="504"/>
      <c r="J71" s="505"/>
    </row>
    <row r="72" spans="2:10" ht="15.75">
      <c r="B72" s="51"/>
      <c r="C72" s="602" t="str">
        <f>CONCATENATE("Amount of  ",$E$1-1," Ad Valorem Tax")</f>
        <v>Amount of  2013 Ad Valorem Tax</v>
      </c>
      <c r="D72" s="603"/>
      <c r="E72" s="301">
        <f>E70+E71</f>
        <v>364061</v>
      </c>
      <c r="G72" s="1"/>
      <c r="H72" s="1"/>
      <c r="I72" s="1"/>
      <c r="J72" s="1"/>
    </row>
    <row r="73" spans="2:10" ht="15.75">
      <c r="B73" s="241" t="s">
        <v>109</v>
      </c>
      <c r="C73" s="302">
        <v>13</v>
      </c>
      <c r="D73" s="51"/>
      <c r="E73" s="51"/>
      <c r="G73" s="607" t="s">
        <v>316</v>
      </c>
      <c r="H73" s="608"/>
      <c r="I73" s="608"/>
      <c r="J73" s="609"/>
    </row>
    <row r="74" spans="7:10" ht="15.75">
      <c r="G74" s="477"/>
      <c r="H74" s="478"/>
      <c r="I74" s="479"/>
      <c r="J74" s="480"/>
    </row>
    <row r="75" spans="7:10" ht="15.75">
      <c r="G75" s="481">
        <f>summ!H26</f>
        <v>5.368</v>
      </c>
      <c r="H75" s="478" t="str">
        <f>CONCATENATE("",E1," Fund Mill Rate")</f>
        <v>2014 Fund Mill Rate</v>
      </c>
      <c r="I75" s="479"/>
      <c r="J75" s="480"/>
    </row>
    <row r="76" spans="7:10" ht="15.75">
      <c r="G76" s="482">
        <f>summ!E26</f>
        <v>5.634</v>
      </c>
      <c r="H76" s="478" t="str">
        <f>CONCATENATE("",E1-1," Fund Mill Rate")</f>
        <v>2013 Fund Mill Rate</v>
      </c>
      <c r="I76" s="479"/>
      <c r="J76" s="480"/>
    </row>
    <row r="77" spans="7:10" ht="15.75">
      <c r="G77" s="483">
        <f>summ!H53</f>
        <v>96.518</v>
      </c>
      <c r="H77" s="478" t="str">
        <f>CONCATENATE("Total ",E1," Mill Rate")</f>
        <v>Total 2014 Mill Rate</v>
      </c>
      <c r="I77" s="479"/>
      <c r="J77" s="480"/>
    </row>
    <row r="78" spans="7:10" ht="15.75">
      <c r="G78" s="482">
        <f>summ!E53</f>
        <v>89.61599999999999</v>
      </c>
      <c r="H78" s="484" t="str">
        <f>CONCATENATE("Total ",E1-1," Mill Rate")</f>
        <v>Total 2013 Mill Rate</v>
      </c>
      <c r="I78" s="485"/>
      <c r="J78" s="486"/>
    </row>
    <row r="80" spans="7:9" ht="15.75">
      <c r="G80" s="531" t="s">
        <v>323</v>
      </c>
      <c r="H80" s="530"/>
      <c r="I80" s="529" t="str">
        <f>cert!E63</f>
        <v>Yes</v>
      </c>
    </row>
    <row r="83" spans="3:4" ht="15.75" hidden="1">
      <c r="C83" s="48">
        <f>IF(C27&gt;C29,"See Tab A","")</f>
      </c>
      <c r="D83" s="48">
        <f>IF(D27&gt;D29,"See Tab C","")</f>
      </c>
    </row>
    <row r="84" spans="3:4" ht="15.75" hidden="1">
      <c r="C84" s="48">
        <f>IF(C28&lt;0,"See Tab B","")</f>
      </c>
      <c r="D84" s="48">
        <f>IF(D28&lt;0,"See Tab D","")</f>
      </c>
    </row>
    <row r="85" spans="3:4" ht="15.75" hidden="1">
      <c r="C85" s="48">
        <f>IF(C65&gt;C67,"See Tab A","")</f>
      </c>
      <c r="D85" s="48">
        <f>IF(D65&gt;D67,"See Tab C","")</f>
      </c>
    </row>
    <row r="86" spans="3:4" ht="15.75" hidden="1">
      <c r="C86" s="48">
        <f>IF(C66&lt;0,"See Tab B","")</f>
      </c>
      <c r="D86" s="48">
        <f>IF(D66&lt;0,"See Tab D","")</f>
      </c>
    </row>
  </sheetData>
  <sheetProtection/>
  <mergeCells count="12">
    <mergeCell ref="G22:J22"/>
    <mergeCell ref="G25:J25"/>
    <mergeCell ref="G35:J35"/>
    <mergeCell ref="G56:J56"/>
    <mergeCell ref="G63:J63"/>
    <mergeCell ref="G73:J73"/>
    <mergeCell ref="C30:D30"/>
    <mergeCell ref="C31:D31"/>
    <mergeCell ref="C68:D68"/>
    <mergeCell ref="C69:D69"/>
    <mergeCell ref="C72:D72"/>
    <mergeCell ref="C34:D34"/>
  </mergeCells>
  <conditionalFormatting sqref="E63">
    <cfRule type="cellIs" priority="3" dxfId="309" operator="greaterThan" stopIfTrue="1">
      <formula>$E$65*0.1</formula>
    </cfRule>
  </conditionalFormatting>
  <conditionalFormatting sqref="E68">
    <cfRule type="cellIs" priority="4" dxfId="309" operator="greaterThan" stopIfTrue="1">
      <formula>$E$65/0.95-$E$65</formula>
    </cfRule>
  </conditionalFormatting>
  <conditionalFormatting sqref="E30">
    <cfRule type="cellIs" priority="5" dxfId="309" operator="greaterThan" stopIfTrue="1">
      <formula>$E$27/0.95-$E$27</formula>
    </cfRule>
  </conditionalFormatting>
  <conditionalFormatting sqref="E25">
    <cfRule type="cellIs" priority="6" dxfId="309" operator="greaterThan" stopIfTrue="1">
      <formula>$E$27*0.1</formula>
    </cfRule>
  </conditionalFormatting>
  <conditionalFormatting sqref="C66 C28">
    <cfRule type="cellIs" priority="7" dxfId="2" operator="lessThan" stopIfTrue="1">
      <formula>0</formula>
    </cfRule>
  </conditionalFormatting>
  <conditionalFormatting sqref="C65">
    <cfRule type="cellIs" priority="8" dxfId="2" operator="greaterThan" stopIfTrue="1">
      <formula>$C$67</formula>
    </cfRule>
  </conditionalFormatting>
  <conditionalFormatting sqref="D65">
    <cfRule type="cellIs" priority="9" dxfId="2" operator="greaterThan" stopIfTrue="1">
      <formula>$D$67</formula>
    </cfRule>
  </conditionalFormatting>
  <conditionalFormatting sqref="C63">
    <cfRule type="cellIs" priority="10" dxfId="2" operator="greaterThan" stopIfTrue="1">
      <formula>$C$65*0.1</formula>
    </cfRule>
  </conditionalFormatting>
  <conditionalFormatting sqref="D63">
    <cfRule type="cellIs" priority="11" dxfId="2" operator="greaterThan" stopIfTrue="1">
      <formula>$D$65*0.1</formula>
    </cfRule>
  </conditionalFormatting>
  <conditionalFormatting sqref="E50">
    <cfRule type="cellIs" priority="12" dxfId="309" operator="greaterThan" stopIfTrue="1">
      <formula>$E$52*0.1+E72</formula>
    </cfRule>
  </conditionalFormatting>
  <conditionalFormatting sqref="C50">
    <cfRule type="cellIs" priority="13" dxfId="2" operator="greaterThan" stopIfTrue="1">
      <formula>$C$52*0.1</formula>
    </cfRule>
  </conditionalFormatting>
  <conditionalFormatting sqref="D50">
    <cfRule type="cellIs" priority="14" dxfId="2" operator="greaterThan" stopIfTrue="1">
      <formula>$D$52*0.1</formula>
    </cfRule>
  </conditionalFormatting>
  <conditionalFormatting sqref="C27">
    <cfRule type="cellIs" priority="15" dxfId="2" operator="greaterThan" stopIfTrue="1">
      <formula>$C$29</formula>
    </cfRule>
  </conditionalFormatting>
  <conditionalFormatting sqref="D27">
    <cfRule type="cellIs" priority="16" dxfId="2" operator="greaterThan" stopIfTrue="1">
      <formula>$D$29</formula>
    </cfRule>
  </conditionalFormatting>
  <conditionalFormatting sqref="C25">
    <cfRule type="cellIs" priority="17" dxfId="2" operator="greaterThan" stopIfTrue="1">
      <formula>$C$27*0.1</formula>
    </cfRule>
  </conditionalFormatting>
  <conditionalFormatting sqref="D25">
    <cfRule type="cellIs" priority="18" dxfId="2" operator="greaterThan" stopIfTrue="1">
      <formula>$D$27*0.1</formula>
    </cfRule>
  </conditionalFormatting>
  <conditionalFormatting sqref="E16">
    <cfRule type="cellIs" priority="19" dxfId="309" operator="greaterThan" stopIfTrue="1">
      <formula>$E$18*0.1+E34</formula>
    </cfRule>
  </conditionalFormatting>
  <conditionalFormatting sqref="C16">
    <cfRule type="cellIs" priority="20" dxfId="2" operator="greaterThan" stopIfTrue="1">
      <formula>$C$18*0.1</formula>
    </cfRule>
  </conditionalFormatting>
  <conditionalFormatting sqref="D16">
    <cfRule type="cellIs" priority="21" dxfId="2" operator="greaterThan" stopIfTrue="1">
      <formula>$D$18*0.1</formula>
    </cfRule>
  </conditionalFormatting>
  <conditionalFormatting sqref="D66 D28">
    <cfRule type="cellIs" priority="2" dxfId="0" operator="lessThan" stopIfTrue="1">
      <formula>0</formula>
    </cfRule>
  </conditionalFormatting>
  <printOptions/>
  <pageMargins left="1.12" right="0.5" top="0.74" bottom="0.34" header="0.5" footer="0"/>
  <pageSetup blackAndWhite="1" horizontalDpi="120" verticalDpi="120" orientation="portrait" scale="59" r:id="rId1"/>
  <headerFooter alignWithMargins="0">
    <oddHeader>&amp;RState of Kansas
County
</oddHeader>
  </headerFooter>
</worksheet>
</file>

<file path=xl/worksheets/sheet18.xml><?xml version="1.0" encoding="utf-8"?>
<worksheet xmlns="http://schemas.openxmlformats.org/spreadsheetml/2006/main" xmlns:r="http://schemas.openxmlformats.org/officeDocument/2006/relationships">
  <dimension ref="B1:K81"/>
  <sheetViews>
    <sheetView view="pageBreakPreview" zoomScale="102" zoomScaleSheetLayoutView="102" zoomScalePageLayoutView="0" workbookViewId="0" topLeftCell="A54">
      <selection activeCell="E72" sqref="E72"/>
    </sheetView>
  </sheetViews>
  <sheetFormatPr defaultColWidth="8.796875" defaultRowHeight="15"/>
  <cols>
    <col min="1" max="1" width="2.3984375" style="48" customWidth="1"/>
    <col min="2" max="2" width="31.09765625" style="48" customWidth="1"/>
    <col min="3" max="4" width="15.796875" style="48" customWidth="1"/>
    <col min="5" max="5" width="16.09765625" style="48" customWidth="1"/>
    <col min="6" max="6" width="7.3984375" style="48" customWidth="1"/>
    <col min="7" max="7" width="10.19921875" style="48" customWidth="1"/>
    <col min="8" max="8" width="8.8984375" style="48" customWidth="1"/>
    <col min="9" max="9" width="5" style="48" customWidth="1"/>
    <col min="10" max="10" width="10" style="48" customWidth="1"/>
    <col min="11" max="16384" width="8.8984375" style="48" customWidth="1"/>
  </cols>
  <sheetData>
    <row r="1" spans="2:5" ht="15.75">
      <c r="B1" s="182" t="str">
        <f>(inputPrYr!C2)</f>
        <v>MITCHELL COUNTY</v>
      </c>
      <c r="C1" s="51"/>
      <c r="D1" s="51"/>
      <c r="E1" s="240">
        <f>inputPrYr!C4</f>
        <v>2014</v>
      </c>
    </row>
    <row r="2" spans="2:5" ht="15.75">
      <c r="B2" s="51"/>
      <c r="C2" s="51"/>
      <c r="D2" s="51"/>
      <c r="E2" s="194"/>
    </row>
    <row r="3" spans="2:5" ht="15.75">
      <c r="B3" s="118" t="s">
        <v>155</v>
      </c>
      <c r="C3" s="286"/>
      <c r="D3" s="286"/>
      <c r="E3" s="287"/>
    </row>
    <row r="4" spans="2:5" ht="15.75">
      <c r="B4" s="50" t="s">
        <v>75</v>
      </c>
      <c r="C4" s="511" t="s">
        <v>317</v>
      </c>
      <c r="D4" s="512" t="s">
        <v>318</v>
      </c>
      <c r="E4" s="178" t="s">
        <v>319</v>
      </c>
    </row>
    <row r="5" spans="2:5" ht="15.75">
      <c r="B5" s="393" t="str">
        <f>inputPrYr!B27</f>
        <v>Mental Health</v>
      </c>
      <c r="C5" s="366" t="str">
        <f>CONCATENATE("Actual for ",E1-2,"")</f>
        <v>Actual for 2012</v>
      </c>
      <c r="D5" s="366" t="str">
        <f>CONCATENATE("Estimate for ",E1-1,"")</f>
        <v>Estimate for 2013</v>
      </c>
      <c r="E5" s="256" t="str">
        <f>CONCATENATE("Year for ",E1,"")</f>
        <v>Year for 2014</v>
      </c>
    </row>
    <row r="6" spans="2:5" ht="15.75">
      <c r="B6" s="114" t="s">
        <v>197</v>
      </c>
      <c r="C6" s="363">
        <v>1298</v>
      </c>
      <c r="D6" s="367">
        <f>C28</f>
        <v>0</v>
      </c>
      <c r="E6" s="219">
        <f>D28</f>
        <v>0</v>
      </c>
    </row>
    <row r="7" spans="2:5" ht="15.75">
      <c r="B7" s="244" t="s">
        <v>199</v>
      </c>
      <c r="C7" s="259"/>
      <c r="D7" s="259"/>
      <c r="E7" s="93"/>
    </row>
    <row r="8" spans="2:5" ht="15.75">
      <c r="B8" s="114" t="s">
        <v>76</v>
      </c>
      <c r="C8" s="363">
        <v>43999</v>
      </c>
      <c r="D8" s="367">
        <v>40678</v>
      </c>
      <c r="E8" s="290" t="s">
        <v>62</v>
      </c>
    </row>
    <row r="9" spans="2:5" ht="15.75">
      <c r="B9" s="114" t="s">
        <v>77</v>
      </c>
      <c r="C9" s="363">
        <v>1280</v>
      </c>
      <c r="D9" s="363">
        <v>1300</v>
      </c>
      <c r="E9" s="78">
        <v>1000</v>
      </c>
    </row>
    <row r="10" spans="2:5" ht="15.75">
      <c r="B10" s="114" t="s">
        <v>78</v>
      </c>
      <c r="C10" s="363">
        <v>5515</v>
      </c>
      <c r="D10" s="363">
        <v>5909</v>
      </c>
      <c r="E10" s="219">
        <f>mvalloc!E18</f>
        <v>5283</v>
      </c>
    </row>
    <row r="11" spans="2:5" ht="15.75">
      <c r="B11" s="114" t="s">
        <v>79</v>
      </c>
      <c r="C11" s="363"/>
      <c r="D11" s="363">
        <v>87</v>
      </c>
      <c r="E11" s="219">
        <f>mvalloc!F18</f>
        <v>73</v>
      </c>
    </row>
    <row r="12" spans="2:5" ht="15.75">
      <c r="B12" s="259" t="s">
        <v>148</v>
      </c>
      <c r="C12" s="363"/>
      <c r="D12" s="363">
        <v>685</v>
      </c>
      <c r="E12" s="219">
        <f>mvalloc!G18</f>
        <v>600</v>
      </c>
    </row>
    <row r="13" spans="2:5" ht="15.75">
      <c r="B13" s="261" t="s">
        <v>373</v>
      </c>
      <c r="C13" s="545">
        <v>-2310</v>
      </c>
      <c r="D13" s="545">
        <v>-2324</v>
      </c>
      <c r="E13" s="546">
        <v>-3732</v>
      </c>
    </row>
    <row r="14" spans="2:5" ht="15.75">
      <c r="B14" s="271"/>
      <c r="C14" s="363"/>
      <c r="D14" s="363"/>
      <c r="E14" s="78"/>
    </row>
    <row r="15" spans="2:5" ht="15.75">
      <c r="B15" s="262" t="s">
        <v>83</v>
      </c>
      <c r="C15" s="363"/>
      <c r="D15" s="363"/>
      <c r="E15" s="78"/>
    </row>
    <row r="16" spans="2:5" ht="15.75">
      <c r="B16" s="263" t="s">
        <v>37</v>
      </c>
      <c r="C16" s="363"/>
      <c r="D16" s="363"/>
      <c r="E16" s="78"/>
    </row>
    <row r="17" spans="2:5" ht="15.75">
      <c r="B17" s="263" t="s">
        <v>282</v>
      </c>
      <c r="C17" s="364">
        <f>IF(C18*0.1&lt;C16,"Exceed 10% Rule","")</f>
      </c>
      <c r="D17" s="364">
        <f>IF(D18*0.1&lt;D16,"Exceed 10% Rule","")</f>
      </c>
      <c r="E17" s="297">
        <f>IF(E18*0.1+E34&lt;E16,"Exceed 10% Rule","")</f>
      </c>
    </row>
    <row r="18" spans="2:5" ht="15.75">
      <c r="B18" s="265" t="s">
        <v>84</v>
      </c>
      <c r="C18" s="365">
        <f>SUM(C8:C16)</f>
        <v>48484</v>
      </c>
      <c r="D18" s="365">
        <f>SUM(D8:D16)</f>
        <v>46335</v>
      </c>
      <c r="E18" s="305">
        <f>SUM(E8:E16)</f>
        <v>3224</v>
      </c>
    </row>
    <row r="19" spans="2:5" ht="15.75">
      <c r="B19" s="265" t="s">
        <v>85</v>
      </c>
      <c r="C19" s="365">
        <f>C6+C18</f>
        <v>49782</v>
      </c>
      <c r="D19" s="365">
        <f>D6+D18</f>
        <v>46335</v>
      </c>
      <c r="E19" s="305">
        <f>E6+E18</f>
        <v>3224</v>
      </c>
    </row>
    <row r="20" spans="2:5" ht="15.75">
      <c r="B20" s="114" t="s">
        <v>88</v>
      </c>
      <c r="C20" s="263"/>
      <c r="D20" s="263"/>
      <c r="E20" s="74"/>
    </row>
    <row r="21" spans="2:5" ht="15.75">
      <c r="B21" s="271" t="s">
        <v>413</v>
      </c>
      <c r="C21" s="363">
        <v>49782</v>
      </c>
      <c r="D21" s="363">
        <v>46335</v>
      </c>
      <c r="E21" s="78">
        <v>46335</v>
      </c>
    </row>
    <row r="22" spans="2:10" ht="15.75">
      <c r="B22" s="271"/>
      <c r="C22" s="363"/>
      <c r="D22" s="363"/>
      <c r="E22" s="78"/>
      <c r="G22" s="604" t="str">
        <f>CONCATENATE("Desired Carryover Into ",E1+1,"")</f>
        <v>Desired Carryover Into 2015</v>
      </c>
      <c r="H22" s="605"/>
      <c r="I22" s="605"/>
      <c r="J22" s="606"/>
    </row>
    <row r="23" spans="2:10" ht="15.75">
      <c r="B23" s="271"/>
      <c r="C23" s="363"/>
      <c r="D23" s="363"/>
      <c r="E23" s="78"/>
      <c r="G23" s="470" t="s">
        <v>315</v>
      </c>
      <c r="H23" s="471"/>
      <c r="I23" s="471"/>
      <c r="J23" s="472" t="e">
        <f>IF(#REF!&gt;0,#REF!-E31,0)</f>
        <v>#REF!</v>
      </c>
    </row>
    <row r="24" spans="2:10" ht="15.75">
      <c r="B24" s="263" t="s">
        <v>39</v>
      </c>
      <c r="C24" s="363"/>
      <c r="D24" s="363"/>
      <c r="E24" s="86"/>
      <c r="G24" s="1"/>
      <c r="H24" s="1"/>
      <c r="I24" s="1"/>
      <c r="J24" s="1"/>
    </row>
    <row r="25" spans="2:10" ht="15.75">
      <c r="B25" s="263" t="s">
        <v>37</v>
      </c>
      <c r="C25" s="363"/>
      <c r="D25" s="363"/>
      <c r="E25" s="78"/>
      <c r="G25" s="604" t="str">
        <f>CONCATENATE("Projected Carryover Into ",E1+1,"")</f>
        <v>Projected Carryover Into 2015</v>
      </c>
      <c r="H25" s="611"/>
      <c r="I25" s="611"/>
      <c r="J25" s="612"/>
    </row>
    <row r="26" spans="2:10" ht="15.75">
      <c r="B26" s="263" t="s">
        <v>281</v>
      </c>
      <c r="C26" s="364">
        <f>IF(C27*0.1&lt;C25,"Exceed 10% Rule","")</f>
      </c>
      <c r="D26" s="364">
        <f>IF(D27*0.1&lt;D25,"Exceed 10% Rule","")</f>
      </c>
      <c r="E26" s="297">
        <f>IF(E27*0.1&lt;E25,"Exceed 10% Rule","")</f>
      </c>
      <c r="G26" s="459"/>
      <c r="H26" s="461"/>
      <c r="I26" s="461"/>
      <c r="J26" s="487"/>
    </row>
    <row r="27" spans="2:10" ht="15.75">
      <c r="B27" s="265" t="s">
        <v>89</v>
      </c>
      <c r="C27" s="365">
        <f>SUM(C21:C25)</f>
        <v>49782</v>
      </c>
      <c r="D27" s="365">
        <f>SUM(D21:D25)</f>
        <v>46335</v>
      </c>
      <c r="E27" s="305">
        <f>SUM(E21:E25)</f>
        <v>46335</v>
      </c>
      <c r="G27" s="488">
        <f>D28</f>
        <v>0</v>
      </c>
      <c r="H27" s="478" t="str">
        <f>CONCATENATE("",E1-1," Ending Cash Balance (est.)")</f>
        <v>2013 Ending Cash Balance (est.)</v>
      </c>
      <c r="I27" s="489"/>
      <c r="J27" s="487"/>
    </row>
    <row r="28" spans="2:10" ht="15.75">
      <c r="B28" s="114" t="s">
        <v>198</v>
      </c>
      <c r="C28" s="368">
        <f>C19-C27</f>
        <v>0</v>
      </c>
      <c r="D28" s="368">
        <f>D19-D27</f>
        <v>0</v>
      </c>
      <c r="E28" s="290" t="s">
        <v>62</v>
      </c>
      <c r="G28" s="488">
        <f>E18</f>
        <v>3224</v>
      </c>
      <c r="H28" s="461" t="str">
        <f>CONCATENATE("",E1," Non-AV Receipts (est.)")</f>
        <v>2014 Non-AV Receipts (est.)</v>
      </c>
      <c r="I28" s="489"/>
      <c r="J28" s="487"/>
    </row>
    <row r="29" spans="2:11" ht="15.75">
      <c r="B29" s="241" t="str">
        <f>CONCATENATE("",E$1-2,"/",E$1-1," Budget Authority Amount:")</f>
        <v>2012/2013 Budget Authority Amount:</v>
      </c>
      <c r="C29" s="233">
        <f>inputOth!B43</f>
        <v>46335</v>
      </c>
      <c r="D29" s="233">
        <f>inputPrYr!D27</f>
        <v>46335</v>
      </c>
      <c r="E29" s="290" t="s">
        <v>62</v>
      </c>
      <c r="F29" s="273"/>
      <c r="G29" s="490">
        <f>IF(E33&gt;0,E32,E34)</f>
        <v>43111</v>
      </c>
      <c r="H29" s="461" t="str">
        <f>CONCATENATE("",E1," Ad Valorem Tax (est.)")</f>
        <v>2014 Ad Valorem Tax (est.)</v>
      </c>
      <c r="I29" s="489"/>
      <c r="J29" s="487"/>
      <c r="K29" s="475" t="str">
        <f>IF(G29=E34,"","Note: Does not include Delinquent Taxes")</f>
        <v>Note: Does not include Delinquent Taxes</v>
      </c>
    </row>
    <row r="30" spans="2:10" ht="15.75">
      <c r="B30" s="241"/>
      <c r="C30" s="594" t="s">
        <v>284</v>
      </c>
      <c r="D30" s="595"/>
      <c r="E30" s="78"/>
      <c r="F30" s="402">
        <f>IF(E27/0.95-E27&lt;E30,"Exceeds 5%","")</f>
      </c>
      <c r="G30" s="488">
        <f>SUM(G27:G29)</f>
        <v>46335</v>
      </c>
      <c r="H30" s="461" t="str">
        <f>CONCATENATE("Total ",E1," Resources Available")</f>
        <v>Total 2014 Resources Available</v>
      </c>
      <c r="I30" s="489"/>
      <c r="J30" s="487"/>
    </row>
    <row r="31" spans="2:10" ht="15.75">
      <c r="B31" s="406" t="str">
        <f>CONCATENATE(C78,"     ",D78)</f>
        <v>See Tab A     </v>
      </c>
      <c r="C31" s="596" t="s">
        <v>285</v>
      </c>
      <c r="D31" s="597"/>
      <c r="E31" s="219">
        <f>E27+E30</f>
        <v>46335</v>
      </c>
      <c r="G31" s="491"/>
      <c r="H31" s="461"/>
      <c r="I31" s="461"/>
      <c r="J31" s="487"/>
    </row>
    <row r="32" spans="2:10" ht="15.75">
      <c r="B32" s="406" t="str">
        <f>CONCATENATE(C79,"     ",D79)</f>
        <v>     </v>
      </c>
      <c r="C32" s="274"/>
      <c r="D32" s="194" t="s">
        <v>90</v>
      </c>
      <c r="E32" s="86">
        <f>IF(E31-E19&gt;0,E31-E19,0)</f>
        <v>43111</v>
      </c>
      <c r="G32" s="490">
        <f>ROUND(C27*0.05+C27,0)</f>
        <v>52271</v>
      </c>
      <c r="H32" s="461" t="str">
        <f>CONCATENATE("Less ",E1-2," Expenditures + 5%")</f>
        <v>Less 2012 Expenditures + 5%</v>
      </c>
      <c r="I32" s="489"/>
      <c r="J32" s="492"/>
    </row>
    <row r="33" spans="2:10" ht="15.75">
      <c r="B33" s="194"/>
      <c r="C33" s="404" t="s">
        <v>286</v>
      </c>
      <c r="D33" s="458">
        <f>inputOth!$E$23</f>
        <v>0.03</v>
      </c>
      <c r="E33" s="219">
        <f>ROUND(IF(D33&gt;0,($E$32*D33),0),0)</f>
        <v>1293</v>
      </c>
      <c r="G33" s="493">
        <f>G30-G32</f>
        <v>-5936</v>
      </c>
      <c r="H33" s="494" t="str">
        <f>CONCATENATE("Projected ",E1+1," carryover (est.)")</f>
        <v>Projected 2015 carryover (est.)</v>
      </c>
      <c r="I33" s="495"/>
      <c r="J33" s="496"/>
    </row>
    <row r="34" spans="2:10" ht="15.75">
      <c r="B34" s="51"/>
      <c r="C34" s="602" t="str">
        <f>CONCATENATE("Amount of  ",$E$1-1," Ad Valorem Tax")</f>
        <v>Amount of  2013 Ad Valorem Tax</v>
      </c>
      <c r="D34" s="603"/>
      <c r="E34" s="301">
        <f>E32+E33</f>
        <v>44404</v>
      </c>
      <c r="G34" s="1"/>
      <c r="H34" s="1"/>
      <c r="I34" s="1"/>
      <c r="J34" s="1"/>
    </row>
    <row r="35" spans="2:10" ht="15.75">
      <c r="B35" s="51"/>
      <c r="C35" s="280"/>
      <c r="D35" s="280"/>
      <c r="E35" s="280"/>
      <c r="G35" s="607" t="s">
        <v>316</v>
      </c>
      <c r="H35" s="608"/>
      <c r="I35" s="608"/>
      <c r="J35" s="609"/>
    </row>
    <row r="36" spans="2:10" ht="15.75">
      <c r="B36" s="50" t="s">
        <v>75</v>
      </c>
      <c r="C36" s="511" t="str">
        <f aca="true" t="shared" si="0" ref="C36:E37">C4</f>
        <v>Prior Year </v>
      </c>
      <c r="D36" s="512" t="str">
        <f t="shared" si="0"/>
        <v>Current Year </v>
      </c>
      <c r="E36" s="178" t="str">
        <f t="shared" si="0"/>
        <v>Proposed Budget </v>
      </c>
      <c r="G36" s="477"/>
      <c r="H36" s="478"/>
      <c r="I36" s="479"/>
      <c r="J36" s="480"/>
    </row>
    <row r="37" spans="2:10" ht="15.75">
      <c r="B37" s="392" t="str">
        <f>inputPrYr!B28</f>
        <v>Mental Retardation</v>
      </c>
      <c r="C37" s="366" t="str">
        <f t="shared" si="0"/>
        <v>Actual for 2012</v>
      </c>
      <c r="D37" s="366" t="str">
        <f t="shared" si="0"/>
        <v>Estimate for 2013</v>
      </c>
      <c r="E37" s="256" t="str">
        <f t="shared" si="0"/>
        <v>Year for 2014</v>
      </c>
      <c r="G37" s="481">
        <f>summ!H27</f>
        <v>0.655</v>
      </c>
      <c r="H37" s="478" t="str">
        <f>CONCATENATE("",E1," Fund Mill Rate")</f>
        <v>2014 Fund Mill Rate</v>
      </c>
      <c r="I37" s="479"/>
      <c r="J37" s="480"/>
    </row>
    <row r="38" spans="2:10" ht="15.75">
      <c r="B38" s="114" t="s">
        <v>197</v>
      </c>
      <c r="C38" s="363">
        <v>1223</v>
      </c>
      <c r="D38" s="367">
        <f>C61</f>
        <v>0</v>
      </c>
      <c r="E38" s="219">
        <f>D61</f>
        <v>0</v>
      </c>
      <c r="G38" s="482">
        <f>summ!E27</f>
        <v>0.665</v>
      </c>
      <c r="H38" s="478" t="str">
        <f>CONCATENATE("",E1-1," Fund Mill Rate")</f>
        <v>2013 Fund Mill Rate</v>
      </c>
      <c r="I38" s="479"/>
      <c r="J38" s="480"/>
    </row>
    <row r="39" spans="2:10" ht="15.75">
      <c r="B39" s="257" t="s">
        <v>199</v>
      </c>
      <c r="C39" s="259"/>
      <c r="D39" s="259"/>
      <c r="E39" s="93"/>
      <c r="G39" s="483">
        <f>summ!H53</f>
        <v>96.518</v>
      </c>
      <c r="H39" s="478" t="str">
        <f>CONCATENATE("Total ",E1," Mill Rate")</f>
        <v>Total 2014 Mill Rate</v>
      </c>
      <c r="I39" s="479"/>
      <c r="J39" s="480"/>
    </row>
    <row r="40" spans="2:10" ht="15.75">
      <c r="B40" s="114" t="s">
        <v>76</v>
      </c>
      <c r="C40" s="363">
        <v>48137</v>
      </c>
      <c r="D40" s="367">
        <v>44960</v>
      </c>
      <c r="E40" s="290" t="s">
        <v>62</v>
      </c>
      <c r="G40" s="482">
        <f>summ!E53</f>
        <v>89.61599999999999</v>
      </c>
      <c r="H40" s="484" t="str">
        <f>CONCATENATE("Total ",E1-1," Mill Rate")</f>
        <v>Total 2013 Mill Rate</v>
      </c>
      <c r="I40" s="485"/>
      <c r="J40" s="486"/>
    </row>
    <row r="41" spans="2:10" ht="15.75">
      <c r="B41" s="114" t="s">
        <v>77</v>
      </c>
      <c r="C41" s="363">
        <v>1441</v>
      </c>
      <c r="D41" s="363">
        <v>1400</v>
      </c>
      <c r="E41" s="78">
        <v>1000</v>
      </c>
      <c r="G41" s="1"/>
      <c r="H41" s="1"/>
      <c r="I41" s="1"/>
      <c r="J41" s="1"/>
    </row>
    <row r="42" spans="2:10" ht="15.75">
      <c r="B42" s="114" t="s">
        <v>78</v>
      </c>
      <c r="C42" s="363">
        <v>6112</v>
      </c>
      <c r="D42" s="363">
        <v>6469</v>
      </c>
      <c r="E42" s="219">
        <f>mvalloc!E19</f>
        <v>5840</v>
      </c>
      <c r="G42" s="531" t="s">
        <v>323</v>
      </c>
      <c r="H42" s="530"/>
      <c r="I42" s="529" t="str">
        <f>cert!E63</f>
        <v>Yes</v>
      </c>
      <c r="J42" s="1"/>
    </row>
    <row r="43" spans="2:10" ht="15.75">
      <c r="B43" s="114" t="s">
        <v>79</v>
      </c>
      <c r="C43" s="363"/>
      <c r="D43" s="363">
        <v>95</v>
      </c>
      <c r="E43" s="219">
        <f>mvalloc!F19</f>
        <v>81</v>
      </c>
      <c r="G43" s="1"/>
      <c r="H43" s="1"/>
      <c r="I43" s="1"/>
      <c r="J43" s="1"/>
    </row>
    <row r="44" spans="2:10" ht="15.75">
      <c r="B44" s="259" t="s">
        <v>148</v>
      </c>
      <c r="C44" s="363"/>
      <c r="D44" s="363">
        <v>750</v>
      </c>
      <c r="E44" s="219">
        <f>mvalloc!G19</f>
        <v>664</v>
      </c>
      <c r="G44" s="1"/>
      <c r="H44" s="1"/>
      <c r="I44" s="1"/>
      <c r="J44" s="1"/>
    </row>
    <row r="45" spans="2:10" ht="15.75">
      <c r="B45" s="261" t="s">
        <v>373</v>
      </c>
      <c r="C45" s="545">
        <v>-2527</v>
      </c>
      <c r="D45" s="545">
        <v>-2739</v>
      </c>
      <c r="E45" s="546">
        <v>-4125</v>
      </c>
      <c r="G45" s="1"/>
      <c r="H45" s="1"/>
      <c r="I45" s="1"/>
      <c r="J45" s="1"/>
    </row>
    <row r="46" spans="2:10" ht="15.75">
      <c r="B46" s="271"/>
      <c r="C46" s="363"/>
      <c r="D46" s="363"/>
      <c r="E46" s="78"/>
      <c r="G46" s="1"/>
      <c r="H46" s="1"/>
      <c r="I46" s="1"/>
      <c r="J46" s="1"/>
    </row>
    <row r="47" spans="2:10" ht="15.75">
      <c r="B47" s="271"/>
      <c r="C47" s="363"/>
      <c r="D47" s="363"/>
      <c r="E47" s="78"/>
      <c r="G47" s="1"/>
      <c r="H47" s="1"/>
      <c r="I47" s="1"/>
      <c r="J47" s="1"/>
    </row>
    <row r="48" spans="2:10" ht="15.75">
      <c r="B48" s="262" t="s">
        <v>83</v>
      </c>
      <c r="C48" s="363"/>
      <c r="D48" s="363"/>
      <c r="E48" s="78"/>
      <c r="G48" s="1"/>
      <c r="H48" s="1"/>
      <c r="I48" s="1"/>
      <c r="J48" s="1"/>
    </row>
    <row r="49" spans="2:10" ht="15.75">
      <c r="B49" s="263" t="s">
        <v>37</v>
      </c>
      <c r="C49" s="363"/>
      <c r="D49" s="363"/>
      <c r="E49" s="78"/>
      <c r="G49" s="1"/>
      <c r="H49" s="1"/>
      <c r="I49" s="1"/>
      <c r="J49" s="1"/>
    </row>
    <row r="50" spans="2:10" ht="15.75">
      <c r="B50" s="263" t="s">
        <v>282</v>
      </c>
      <c r="C50" s="364">
        <f>IF(C51*0.1&lt;C49,"Exceed 10% Rule","")</f>
      </c>
      <c r="D50" s="364">
        <f>IF(D51*0.1&lt;D49,"Exceed 10% Rule","")</f>
      </c>
      <c r="E50" s="297">
        <f>IF(E51*0.1+E67&lt;E49,"Exceed 10% Rule","")</f>
      </c>
      <c r="G50" s="1"/>
      <c r="H50" s="1"/>
      <c r="I50" s="1"/>
      <c r="J50" s="1"/>
    </row>
    <row r="51" spans="2:10" ht="15.75">
      <c r="B51" s="265" t="s">
        <v>84</v>
      </c>
      <c r="C51" s="365">
        <f>SUM(C40:C49)</f>
        <v>53163</v>
      </c>
      <c r="D51" s="365">
        <f>SUM(D40:D49)</f>
        <v>50935</v>
      </c>
      <c r="E51" s="305">
        <f>SUM(E40:E49)</f>
        <v>3460</v>
      </c>
      <c r="G51" s="1"/>
      <c r="H51" s="1"/>
      <c r="I51" s="1"/>
      <c r="J51" s="1"/>
    </row>
    <row r="52" spans="2:10" ht="15.75">
      <c r="B52" s="265" t="s">
        <v>85</v>
      </c>
      <c r="C52" s="365">
        <f>C38+C51</f>
        <v>54386</v>
      </c>
      <c r="D52" s="365">
        <f>D38+D51</f>
        <v>50935</v>
      </c>
      <c r="E52" s="305">
        <f>E38+E51</f>
        <v>3460</v>
      </c>
      <c r="G52" s="1"/>
      <c r="H52" s="1"/>
      <c r="I52" s="1"/>
      <c r="J52" s="1"/>
    </row>
    <row r="53" spans="2:10" ht="15.75">
      <c r="B53" s="114" t="s">
        <v>88</v>
      </c>
      <c r="C53" s="263"/>
      <c r="D53" s="263"/>
      <c r="E53" s="74"/>
      <c r="G53" s="1"/>
      <c r="H53" s="1"/>
      <c r="I53" s="1"/>
      <c r="J53" s="1"/>
    </row>
    <row r="54" spans="2:10" ht="15.75">
      <c r="B54" s="271" t="s">
        <v>398</v>
      </c>
      <c r="C54" s="363">
        <v>54386</v>
      </c>
      <c r="D54" s="363">
        <v>50935</v>
      </c>
      <c r="E54" s="78">
        <v>48535</v>
      </c>
      <c r="G54" s="1"/>
      <c r="H54" s="1"/>
      <c r="I54" s="1"/>
      <c r="J54" s="1"/>
    </row>
    <row r="55" spans="2:10" ht="15.75">
      <c r="B55" s="271"/>
      <c r="C55" s="363"/>
      <c r="D55" s="363"/>
      <c r="E55" s="78"/>
      <c r="G55" s="604" t="str">
        <f>CONCATENATE("Desired Carryover Into ",E1+1,"")</f>
        <v>Desired Carryover Into 2015</v>
      </c>
      <c r="H55" s="605"/>
      <c r="I55" s="605"/>
      <c r="J55" s="606"/>
    </row>
    <row r="56" spans="2:10" ht="15.75">
      <c r="B56" s="271"/>
      <c r="C56" s="363"/>
      <c r="D56" s="363"/>
      <c r="E56" s="78"/>
      <c r="G56" s="470" t="s">
        <v>315</v>
      </c>
      <c r="H56" s="471"/>
      <c r="I56" s="471"/>
      <c r="J56" s="472" t="e">
        <f>IF(#REF!&gt;0,#REF!-E64,0)</f>
        <v>#REF!</v>
      </c>
    </row>
    <row r="57" spans="2:10" ht="15.75">
      <c r="B57" s="263" t="s">
        <v>39</v>
      </c>
      <c r="C57" s="363"/>
      <c r="D57" s="363"/>
      <c r="E57" s="86"/>
      <c r="G57" s="1"/>
      <c r="H57" s="1"/>
      <c r="I57" s="1"/>
      <c r="J57" s="1"/>
    </row>
    <row r="58" spans="2:10" ht="15.75">
      <c r="B58" s="263" t="s">
        <v>37</v>
      </c>
      <c r="C58" s="363"/>
      <c r="D58" s="363"/>
      <c r="E58" s="78"/>
      <c r="G58" s="604" t="str">
        <f>CONCATENATE("Projected Carryover Into ",E1+1,"")</f>
        <v>Projected Carryover Into 2015</v>
      </c>
      <c r="H58" s="613"/>
      <c r="I58" s="613"/>
      <c r="J58" s="612"/>
    </row>
    <row r="59" spans="2:10" ht="15.75">
      <c r="B59" s="263" t="s">
        <v>281</v>
      </c>
      <c r="C59" s="364">
        <f>IF(C60*0.1&lt;C58,"Exceed 10% Rule","")</f>
      </c>
      <c r="D59" s="364">
        <f>IF(D60*0.1&lt;D58,"Exceed 10% Rule","")</f>
      </c>
      <c r="E59" s="297">
        <f>IF(E60*0.1&lt;E58,"Exceed 10% Rule","")</f>
      </c>
      <c r="G59" s="497"/>
      <c r="H59" s="460"/>
      <c r="I59" s="460"/>
      <c r="J59" s="492"/>
    </row>
    <row r="60" spans="2:10" ht="15.75">
      <c r="B60" s="265" t="s">
        <v>89</v>
      </c>
      <c r="C60" s="365">
        <f>SUM(C54:C58)</f>
        <v>54386</v>
      </c>
      <c r="D60" s="365">
        <f>SUM(D54:D58)</f>
        <v>50935</v>
      </c>
      <c r="E60" s="305">
        <f>SUM(E54:E58)</f>
        <v>48535</v>
      </c>
      <c r="G60" s="488">
        <f>D61</f>
        <v>0</v>
      </c>
      <c r="H60" s="478" t="str">
        <f>CONCATENATE("",E1-1," Ending Cash Balance (est.)")</f>
        <v>2013 Ending Cash Balance (est.)</v>
      </c>
      <c r="I60" s="489"/>
      <c r="J60" s="492"/>
    </row>
    <row r="61" spans="2:10" ht="15.75">
      <c r="B61" s="114" t="s">
        <v>198</v>
      </c>
      <c r="C61" s="368">
        <f>C52-C60</f>
        <v>0</v>
      </c>
      <c r="D61" s="368">
        <f>D52-D60</f>
        <v>0</v>
      </c>
      <c r="E61" s="290" t="s">
        <v>62</v>
      </c>
      <c r="G61" s="488">
        <f>E51</f>
        <v>3460</v>
      </c>
      <c r="H61" s="461" t="str">
        <f>CONCATENATE("",E1," Non-AV Receipts (est.)")</f>
        <v>2014 Non-AV Receipts (est.)</v>
      </c>
      <c r="I61" s="489"/>
      <c r="J61" s="492"/>
    </row>
    <row r="62" spans="2:11" ht="15.75">
      <c r="B62" s="241" t="str">
        <f>CONCATENATE("",E$1-2,"/",E$1-1," Budget Authority Amount:")</f>
        <v>2012/2013 Budget Authority Amount:</v>
      </c>
      <c r="C62" s="233">
        <f>inputOth!B44</f>
        <v>50935</v>
      </c>
      <c r="D62" s="233">
        <f>inputPrYr!D28</f>
        <v>50935</v>
      </c>
      <c r="E62" s="290" t="s">
        <v>62</v>
      </c>
      <c r="F62" s="273"/>
      <c r="G62" s="490">
        <f>IF(E66&gt;0,E65,E67)</f>
        <v>45075</v>
      </c>
      <c r="H62" s="461" t="str">
        <f>CONCATENATE("",E1," Ad Valorem Tax (est.)")</f>
        <v>2014 Ad Valorem Tax (est.)</v>
      </c>
      <c r="I62" s="489"/>
      <c r="J62" s="492"/>
      <c r="K62" s="475" t="str">
        <f>IF(G62=E67,"","Note: Does not include Delinquent Taxes")</f>
        <v>Note: Does not include Delinquent Taxes</v>
      </c>
    </row>
    <row r="63" spans="2:10" ht="15.75">
      <c r="B63" s="241"/>
      <c r="C63" s="594" t="s">
        <v>284</v>
      </c>
      <c r="D63" s="595"/>
      <c r="E63" s="78"/>
      <c r="F63" s="402">
        <f>IF(E60/0.95-E60&lt;E63,"Exceeds 5%","")</f>
      </c>
      <c r="G63" s="498">
        <f>SUM(G60:G62)</f>
        <v>48535</v>
      </c>
      <c r="H63" s="461" t="str">
        <f>CONCATENATE("Total ",E1," Resources Available")</f>
        <v>Total 2014 Resources Available</v>
      </c>
      <c r="I63" s="499"/>
      <c r="J63" s="492"/>
    </row>
    <row r="64" spans="2:10" ht="15.75">
      <c r="B64" s="405" t="str">
        <f>CONCATENATE(C80,"     ",D80)</f>
        <v>See Tab A     </v>
      </c>
      <c r="C64" s="596" t="s">
        <v>285</v>
      </c>
      <c r="D64" s="597"/>
      <c r="E64" s="219">
        <f>E60+E63</f>
        <v>48535</v>
      </c>
      <c r="G64" s="500"/>
      <c r="H64" s="501"/>
      <c r="I64" s="460"/>
      <c r="J64" s="492"/>
    </row>
    <row r="65" spans="2:10" ht="15.75">
      <c r="B65" s="405" t="str">
        <f>CONCATENATE(C81,"     ",D81)</f>
        <v>     </v>
      </c>
      <c r="C65" s="274"/>
      <c r="D65" s="194" t="s">
        <v>90</v>
      </c>
      <c r="E65" s="86">
        <f>IF(E64-E52&gt;0,E64-E52,0)</f>
        <v>45075</v>
      </c>
      <c r="G65" s="502">
        <f>ROUND(C60*0.05+C60,0)</f>
        <v>57105</v>
      </c>
      <c r="H65" s="461" t="str">
        <f>CONCATENATE("Less ",E1-2," Expenditures + 5%")</f>
        <v>Less 2012 Expenditures + 5%</v>
      </c>
      <c r="I65" s="499"/>
      <c r="J65" s="492"/>
    </row>
    <row r="66" spans="2:10" ht="15.75">
      <c r="B66" s="194"/>
      <c r="C66" s="404" t="s">
        <v>286</v>
      </c>
      <c r="D66" s="458">
        <f>inputOth!$E$23</f>
        <v>0.03</v>
      </c>
      <c r="E66" s="219">
        <f>ROUND(IF(D66&gt;0,($E$65*D66),0),0)</f>
        <v>1352</v>
      </c>
      <c r="G66" s="503">
        <f>G63-G65</f>
        <v>-8570</v>
      </c>
      <c r="H66" s="494" t="str">
        <f>CONCATENATE("Projected ",E1+1," carryover (est.)")</f>
        <v>Projected 2015 carryover (est.)</v>
      </c>
      <c r="I66" s="504"/>
      <c r="J66" s="505"/>
    </row>
    <row r="67" spans="2:10" ht="15.75">
      <c r="B67" s="255"/>
      <c r="C67" s="602" t="str">
        <f>CONCATENATE("Amount of  ",$E$1-1," Ad Valorem Tax")</f>
        <v>Amount of  2013 Ad Valorem Tax</v>
      </c>
      <c r="D67" s="603"/>
      <c r="E67" s="301">
        <f>E65+E66</f>
        <v>46427</v>
      </c>
      <c r="G67" s="1"/>
      <c r="H67" s="1"/>
      <c r="I67" s="1"/>
      <c r="J67" s="1"/>
    </row>
    <row r="68" spans="2:10" ht="15.75">
      <c r="B68" s="241" t="s">
        <v>109</v>
      </c>
      <c r="C68" s="302">
        <v>14</v>
      </c>
      <c r="D68" s="51"/>
      <c r="E68" s="51"/>
      <c r="G68" s="607" t="s">
        <v>316</v>
      </c>
      <c r="H68" s="608"/>
      <c r="I68" s="608"/>
      <c r="J68" s="609"/>
    </row>
    <row r="69" spans="7:10" ht="15.75">
      <c r="G69" s="477"/>
      <c r="H69" s="478"/>
      <c r="I69" s="479"/>
      <c r="J69" s="480"/>
    </row>
    <row r="70" spans="7:10" ht="15.75">
      <c r="G70" s="481">
        <f>summ!H28</f>
        <v>0.685</v>
      </c>
      <c r="H70" s="478" t="str">
        <f>CONCATENATE("",E1," Fund Mill Rate")</f>
        <v>2014 Fund Mill Rate</v>
      </c>
      <c r="I70" s="479"/>
      <c r="J70" s="480"/>
    </row>
    <row r="71" spans="7:10" ht="15.75">
      <c r="G71" s="482">
        <f>summ!E28</f>
        <v>0.735</v>
      </c>
      <c r="H71" s="478" t="str">
        <f>CONCATENATE("",E1-1," Fund Mill Rate")</f>
        <v>2013 Fund Mill Rate</v>
      </c>
      <c r="I71" s="479"/>
      <c r="J71" s="480"/>
    </row>
    <row r="72" spans="7:10" ht="15.75">
      <c r="G72" s="483">
        <f>summ!H53</f>
        <v>96.518</v>
      </c>
      <c r="H72" s="478" t="str">
        <f>CONCATENATE("Total ",E1," Mill Rate")</f>
        <v>Total 2014 Mill Rate</v>
      </c>
      <c r="I72" s="479"/>
      <c r="J72" s="480"/>
    </row>
    <row r="73" spans="7:10" ht="15.75">
      <c r="G73" s="482">
        <f>summ!E53</f>
        <v>89.61599999999999</v>
      </c>
      <c r="H73" s="484" t="str">
        <f>CONCATENATE("Total ",E1-1," Mill Rate")</f>
        <v>Total 2013 Mill Rate</v>
      </c>
      <c r="I73" s="485"/>
      <c r="J73" s="486"/>
    </row>
    <row r="75" spans="7:9" ht="15.75">
      <c r="G75" s="531" t="s">
        <v>323</v>
      </c>
      <c r="H75" s="530"/>
      <c r="I75" s="529" t="str">
        <f>cert!E63</f>
        <v>Yes</v>
      </c>
    </row>
    <row r="78" spans="3:4" ht="15.75" hidden="1">
      <c r="C78" s="48" t="str">
        <f>IF(C27&gt;C29,"See Tab A","")</f>
        <v>See Tab A</v>
      </c>
      <c r="D78" s="48">
        <f>IF(D27&gt;D29,"See Tab C","")</f>
      </c>
    </row>
    <row r="79" spans="3:4" ht="15.75" hidden="1">
      <c r="C79" s="48">
        <f>IF(C28&lt;0,"See Tab B","")</f>
      </c>
      <c r="D79" s="48">
        <f>IF(D28&lt;0,"See Tab D","")</f>
      </c>
    </row>
    <row r="80" spans="3:4" ht="15.75" hidden="1">
      <c r="C80" s="48" t="str">
        <f>IF(C60&gt;C62,"See Tab A","")</f>
        <v>See Tab A</v>
      </c>
      <c r="D80" s="48">
        <f>IF(D60&gt;D62,"See Tab C","")</f>
      </c>
    </row>
    <row r="81" spans="3:4" ht="15.75" hidden="1">
      <c r="C81" s="48">
        <f>IF(C61&lt;0,"See Tab B","")</f>
      </c>
      <c r="D81" s="48">
        <f>IF(D61&lt;0,"See Tab D","")</f>
      </c>
    </row>
  </sheetData>
  <sheetProtection/>
  <mergeCells count="12">
    <mergeCell ref="G22:J22"/>
    <mergeCell ref="G25:J25"/>
    <mergeCell ref="G35:J35"/>
    <mergeCell ref="G55:J55"/>
    <mergeCell ref="G58:J58"/>
    <mergeCell ref="G68:J68"/>
    <mergeCell ref="C63:D63"/>
    <mergeCell ref="C64:D64"/>
    <mergeCell ref="C30:D30"/>
    <mergeCell ref="C31:D31"/>
    <mergeCell ref="C67:D67"/>
    <mergeCell ref="C34:D34"/>
  </mergeCells>
  <conditionalFormatting sqref="E58">
    <cfRule type="cellIs" priority="3" dxfId="309" operator="greaterThan" stopIfTrue="1">
      <formula>$E$60*0.1</formula>
    </cfRule>
  </conditionalFormatting>
  <conditionalFormatting sqref="E63">
    <cfRule type="cellIs" priority="4" dxfId="309" operator="greaterThan" stopIfTrue="1">
      <formula>$E$60/0.95-$E$60</formula>
    </cfRule>
  </conditionalFormatting>
  <conditionalFormatting sqref="E30">
    <cfRule type="cellIs" priority="5" dxfId="309" operator="greaterThan" stopIfTrue="1">
      <formula>$E$27/0.95-$E$27</formula>
    </cfRule>
  </conditionalFormatting>
  <conditionalFormatting sqref="E25">
    <cfRule type="cellIs" priority="6" dxfId="309" operator="greaterThan" stopIfTrue="1">
      <formula>$E$27*0.1</formula>
    </cfRule>
  </conditionalFormatting>
  <conditionalFormatting sqref="C61 C28">
    <cfRule type="cellIs" priority="7" dxfId="2" operator="lessThan" stopIfTrue="1">
      <formula>0</formula>
    </cfRule>
  </conditionalFormatting>
  <conditionalFormatting sqref="C60">
    <cfRule type="cellIs" priority="8" dxfId="2" operator="greaterThan" stopIfTrue="1">
      <formula>$C$62</formula>
    </cfRule>
  </conditionalFormatting>
  <conditionalFormatting sqref="D60">
    <cfRule type="cellIs" priority="9" dxfId="2" operator="greaterThan" stopIfTrue="1">
      <formula>$D$62</formula>
    </cfRule>
  </conditionalFormatting>
  <conditionalFormatting sqref="C58">
    <cfRule type="cellIs" priority="10" dxfId="2" operator="greaterThan" stopIfTrue="1">
      <formula>$C$60*0.1</formula>
    </cfRule>
  </conditionalFormatting>
  <conditionalFormatting sqref="D58">
    <cfRule type="cellIs" priority="11" dxfId="2" operator="greaterThan" stopIfTrue="1">
      <formula>$D$60*0.1</formula>
    </cfRule>
  </conditionalFormatting>
  <conditionalFormatting sqref="E49">
    <cfRule type="cellIs" priority="12" dxfId="309" operator="greaterThan" stopIfTrue="1">
      <formula>$E$51*0.1+E67</formula>
    </cfRule>
  </conditionalFormatting>
  <conditionalFormatting sqref="C49">
    <cfRule type="cellIs" priority="13" dxfId="2" operator="greaterThan" stopIfTrue="1">
      <formula>$C$51*0.1</formula>
    </cfRule>
  </conditionalFormatting>
  <conditionalFormatting sqref="D49">
    <cfRule type="cellIs" priority="14" dxfId="2" operator="greaterThan" stopIfTrue="1">
      <formula>$D$51*0.1</formula>
    </cfRule>
  </conditionalFormatting>
  <conditionalFormatting sqref="C27">
    <cfRule type="cellIs" priority="15" dxfId="2" operator="greaterThan" stopIfTrue="1">
      <formula>$C$29</formula>
    </cfRule>
  </conditionalFormatting>
  <conditionalFormatting sqref="D27">
    <cfRule type="cellIs" priority="16" dxfId="2" operator="greaterThan" stopIfTrue="1">
      <formula>$D$29</formula>
    </cfRule>
  </conditionalFormatting>
  <conditionalFormatting sqref="C25">
    <cfRule type="cellIs" priority="17" dxfId="2" operator="greaterThan" stopIfTrue="1">
      <formula>$C$27*0.1</formula>
    </cfRule>
  </conditionalFormatting>
  <conditionalFormatting sqref="D25">
    <cfRule type="cellIs" priority="18" dxfId="2" operator="greaterThan" stopIfTrue="1">
      <formula>$D$27*0.1</formula>
    </cfRule>
  </conditionalFormatting>
  <conditionalFormatting sqref="E16">
    <cfRule type="cellIs" priority="19" dxfId="309" operator="greaterThan" stopIfTrue="1">
      <formula>$E$18*0.1+E34</formula>
    </cfRule>
  </conditionalFormatting>
  <conditionalFormatting sqref="C16">
    <cfRule type="cellIs" priority="20" dxfId="2" operator="greaterThan" stopIfTrue="1">
      <formula>$C$18*0.1</formula>
    </cfRule>
  </conditionalFormatting>
  <conditionalFormatting sqref="D16">
    <cfRule type="cellIs" priority="21" dxfId="2" operator="greaterThan" stopIfTrue="1">
      <formula>$D$18*0.1</formula>
    </cfRule>
  </conditionalFormatting>
  <conditionalFormatting sqref="D61 D28">
    <cfRule type="cellIs" priority="2" dxfId="0" operator="lessThan" stopIfTrue="1">
      <formula>0</formula>
    </cfRule>
  </conditionalFormatting>
  <printOptions/>
  <pageMargins left="1.12" right="0.5" top="0.74" bottom="0.34" header="0.5" footer="0"/>
  <pageSetup blackAndWhite="1" horizontalDpi="120" verticalDpi="120" orientation="portrait" scale="64" r:id="rId1"/>
  <headerFooter alignWithMargins="0">
    <oddHeader>&amp;RState of Kansas
County
</oddHeader>
  </headerFooter>
</worksheet>
</file>

<file path=xl/worksheets/sheet19.xml><?xml version="1.0" encoding="utf-8"?>
<worksheet xmlns="http://schemas.openxmlformats.org/spreadsheetml/2006/main" xmlns:r="http://schemas.openxmlformats.org/officeDocument/2006/relationships">
  <dimension ref="B1:K87"/>
  <sheetViews>
    <sheetView view="pageBreakPreview" zoomScale="113" zoomScaleSheetLayoutView="113" zoomScalePageLayoutView="0" workbookViewId="0" topLeftCell="A55">
      <selection activeCell="D71" sqref="D71"/>
    </sheetView>
  </sheetViews>
  <sheetFormatPr defaultColWidth="8.796875" defaultRowHeight="15"/>
  <cols>
    <col min="1" max="1" width="2.3984375" style="48" customWidth="1"/>
    <col min="2" max="2" width="31.09765625" style="48" customWidth="1"/>
    <col min="3" max="4" width="15.796875" style="48" customWidth="1"/>
    <col min="5" max="5" width="16.09765625" style="48" customWidth="1"/>
    <col min="6" max="6" width="7.3984375" style="48" customWidth="1"/>
    <col min="7" max="7" width="10.19921875" style="48" customWidth="1"/>
    <col min="8" max="8" width="8.8984375" style="48" customWidth="1"/>
    <col min="9" max="9" width="5" style="48" customWidth="1"/>
    <col min="10" max="10" width="10" style="48" customWidth="1"/>
    <col min="11" max="16384" width="8.8984375" style="48" customWidth="1"/>
  </cols>
  <sheetData>
    <row r="1" spans="2:5" ht="15.75">
      <c r="B1" s="182" t="str">
        <f>(inputPrYr!C2)</f>
        <v>MITCHELL COUNTY</v>
      </c>
      <c r="C1" s="51"/>
      <c r="D1" s="51"/>
      <c r="E1" s="240">
        <f>inputPrYr!C4</f>
        <v>2014</v>
      </c>
    </row>
    <row r="2" spans="2:5" ht="15.75">
      <c r="B2" s="51"/>
      <c r="C2" s="51"/>
      <c r="D2" s="51"/>
      <c r="E2" s="194"/>
    </row>
    <row r="3" spans="2:5" ht="15.75">
      <c r="B3" s="118" t="s">
        <v>155</v>
      </c>
      <c r="C3" s="286"/>
      <c r="D3" s="286"/>
      <c r="E3" s="287"/>
    </row>
    <row r="4" spans="2:5" ht="15.75">
      <c r="B4" s="50" t="s">
        <v>75</v>
      </c>
      <c r="C4" s="511" t="s">
        <v>317</v>
      </c>
      <c r="D4" s="512" t="s">
        <v>318</v>
      </c>
      <c r="E4" s="178" t="s">
        <v>319</v>
      </c>
    </row>
    <row r="5" spans="2:5" ht="15.75">
      <c r="B5" s="393" t="str">
        <f>inputPrYr!B29</f>
        <v>Election Expense</v>
      </c>
      <c r="C5" s="366" t="str">
        <f>CONCATENATE("Actual for ",E1-2,"")</f>
        <v>Actual for 2012</v>
      </c>
      <c r="D5" s="366" t="str">
        <f>CONCATENATE("Estimate for ",E1-1,"")</f>
        <v>Estimate for 2013</v>
      </c>
      <c r="E5" s="256" t="str">
        <f>CONCATENATE("Year for ",E1,"")</f>
        <v>Year for 2014</v>
      </c>
    </row>
    <row r="6" spans="2:5" ht="15.75">
      <c r="B6" s="114" t="s">
        <v>197</v>
      </c>
      <c r="C6" s="363">
        <v>37902</v>
      </c>
      <c r="D6" s="367">
        <f>C33</f>
        <v>29764</v>
      </c>
      <c r="E6" s="219">
        <f>D33</f>
        <v>10500</v>
      </c>
    </row>
    <row r="7" spans="2:5" ht="15.75">
      <c r="B7" s="244" t="s">
        <v>199</v>
      </c>
      <c r="C7" s="259"/>
      <c r="D7" s="259"/>
      <c r="E7" s="93"/>
    </row>
    <row r="8" spans="2:5" ht="15.75">
      <c r="B8" s="114" t="s">
        <v>76</v>
      </c>
      <c r="C8" s="363">
        <v>24418</v>
      </c>
      <c r="D8" s="367">
        <v>5618</v>
      </c>
      <c r="E8" s="290" t="s">
        <v>62</v>
      </c>
    </row>
    <row r="9" spans="2:5" ht="15.75">
      <c r="B9" s="114" t="s">
        <v>77</v>
      </c>
      <c r="C9" s="363">
        <v>619</v>
      </c>
      <c r="D9" s="363">
        <v>600</v>
      </c>
      <c r="E9" s="78">
        <v>500</v>
      </c>
    </row>
    <row r="10" spans="2:5" ht="15.75">
      <c r="B10" s="114" t="s">
        <v>78</v>
      </c>
      <c r="C10" s="363">
        <v>1439</v>
      </c>
      <c r="D10" s="363">
        <v>3281</v>
      </c>
      <c r="E10" s="219">
        <f>mvalloc!E20</f>
        <v>730</v>
      </c>
    </row>
    <row r="11" spans="2:5" ht="15.75">
      <c r="B11" s="114" t="s">
        <v>79</v>
      </c>
      <c r="C11" s="363"/>
      <c r="D11" s="363">
        <v>48</v>
      </c>
      <c r="E11" s="219">
        <f>mvalloc!F20</f>
        <v>10</v>
      </c>
    </row>
    <row r="12" spans="2:5" ht="15.75">
      <c r="B12" s="259" t="s">
        <v>148</v>
      </c>
      <c r="C12" s="363"/>
      <c r="D12" s="363">
        <v>380</v>
      </c>
      <c r="E12" s="219">
        <f>mvalloc!G20</f>
        <v>83</v>
      </c>
    </row>
    <row r="13" spans="2:5" ht="15.75">
      <c r="B13" s="261" t="s">
        <v>373</v>
      </c>
      <c r="C13" s="545">
        <v>-1282</v>
      </c>
      <c r="D13" s="545">
        <v>-1691</v>
      </c>
      <c r="E13" s="546">
        <v>-516</v>
      </c>
    </row>
    <row r="14" spans="2:5" ht="15.75">
      <c r="B14" s="271" t="s">
        <v>375</v>
      </c>
      <c r="C14" s="363">
        <v>4086</v>
      </c>
      <c r="D14" s="363">
        <v>2500</v>
      </c>
      <c r="E14" s="78">
        <v>2500</v>
      </c>
    </row>
    <row r="15" spans="2:5" ht="15.75">
      <c r="B15" s="271"/>
      <c r="C15" s="363"/>
      <c r="D15" s="363"/>
      <c r="E15" s="78"/>
    </row>
    <row r="16" spans="2:5" ht="15.75">
      <c r="B16" s="262" t="s">
        <v>83</v>
      </c>
      <c r="C16" s="363"/>
      <c r="D16" s="363"/>
      <c r="E16" s="78"/>
    </row>
    <row r="17" spans="2:5" ht="15.75">
      <c r="B17" s="263" t="s">
        <v>37</v>
      </c>
      <c r="C17" s="363"/>
      <c r="D17" s="363"/>
      <c r="E17" s="78"/>
    </row>
    <row r="18" spans="2:5" ht="15.75">
      <c r="B18" s="263" t="s">
        <v>38</v>
      </c>
      <c r="C18" s="364">
        <f>IF(C19*0.1&lt;C17,"Exceed 10% Rule","")</f>
      </c>
      <c r="D18" s="364">
        <f>IF(D19*0.1&lt;D17,"Exceed 10% Rule","")</f>
      </c>
      <c r="E18" s="297">
        <f>IF(E19*0.1+E39&lt;E17,"Exceed 10% Rule","")</f>
      </c>
    </row>
    <row r="19" spans="2:5" ht="15.75">
      <c r="B19" s="265" t="s">
        <v>84</v>
      </c>
      <c r="C19" s="365">
        <f>SUM(C8:C17)</f>
        <v>29280</v>
      </c>
      <c r="D19" s="365">
        <f>SUM(D8:D17)</f>
        <v>10736</v>
      </c>
      <c r="E19" s="305">
        <f>SUM(E8:E17)</f>
        <v>3307</v>
      </c>
    </row>
    <row r="20" spans="2:5" ht="15.75">
      <c r="B20" s="265" t="s">
        <v>85</v>
      </c>
      <c r="C20" s="365">
        <f>C6+C19</f>
        <v>67182</v>
      </c>
      <c r="D20" s="365">
        <f>D6+D19</f>
        <v>40500</v>
      </c>
      <c r="E20" s="305">
        <f>E6+E19</f>
        <v>13807</v>
      </c>
    </row>
    <row r="21" spans="2:5" ht="15.75">
      <c r="B21" s="114" t="s">
        <v>88</v>
      </c>
      <c r="C21" s="263"/>
      <c r="D21" s="263"/>
      <c r="E21" s="74"/>
    </row>
    <row r="22" spans="2:5" ht="15.75">
      <c r="B22" s="76" t="s">
        <v>397</v>
      </c>
      <c r="C22" s="363">
        <v>0</v>
      </c>
      <c r="D22" s="363">
        <v>15000</v>
      </c>
      <c r="E22" s="78">
        <v>22500</v>
      </c>
    </row>
    <row r="23" spans="2:10" ht="15.75">
      <c r="B23" s="76" t="s">
        <v>398</v>
      </c>
      <c r="C23" s="363">
        <v>27372</v>
      </c>
      <c r="D23" s="363">
        <v>2500</v>
      </c>
      <c r="E23" s="78">
        <v>5500</v>
      </c>
      <c r="G23" s="604" t="str">
        <f>CONCATENATE("Desired Carryover Into ",E1+1,"")</f>
        <v>Desired Carryover Into 2015</v>
      </c>
      <c r="H23" s="605"/>
      <c r="I23" s="605"/>
      <c r="J23" s="606"/>
    </row>
    <row r="24" spans="2:10" ht="15.75">
      <c r="B24" s="76" t="s">
        <v>399</v>
      </c>
      <c r="C24" s="363">
        <v>7546</v>
      </c>
      <c r="D24" s="363">
        <v>2500</v>
      </c>
      <c r="E24" s="78">
        <v>7500</v>
      </c>
      <c r="G24" s="459"/>
      <c r="H24" s="460"/>
      <c r="I24" s="461"/>
      <c r="J24" s="462"/>
    </row>
    <row r="25" spans="2:10" ht="15.75">
      <c r="B25" s="76" t="s">
        <v>400</v>
      </c>
      <c r="C25" s="363">
        <v>0</v>
      </c>
      <c r="D25" s="363">
        <v>10000</v>
      </c>
      <c r="E25" s="78">
        <v>5000</v>
      </c>
      <c r="G25" s="463" t="s">
        <v>287</v>
      </c>
      <c r="H25" s="461"/>
      <c r="I25" s="461"/>
      <c r="J25" s="464">
        <v>0</v>
      </c>
    </row>
    <row r="26" spans="2:10" ht="15.75">
      <c r="B26" s="247" t="s">
        <v>103</v>
      </c>
      <c r="C26" s="363">
        <v>0</v>
      </c>
      <c r="D26" s="363"/>
      <c r="E26" s="78"/>
      <c r="G26" s="459" t="s">
        <v>288</v>
      </c>
      <c r="H26" s="460"/>
      <c r="I26" s="460"/>
      <c r="J26" s="465">
        <f>IF(J25=0,"",ROUND((J25+E39-G38)/inputOth!E6*1000,3)-G43)</f>
      </c>
    </row>
    <row r="27" spans="2:10" ht="15.75">
      <c r="B27" s="271" t="s">
        <v>445</v>
      </c>
      <c r="C27" s="363">
        <v>2500</v>
      </c>
      <c r="D27" s="363"/>
      <c r="E27" s="78"/>
      <c r="G27" s="466" t="str">
        <f>CONCATENATE("",E1," Tot Exp/Non-Appr Must Be:")</f>
        <v>2014 Tot Exp/Non-Appr Must Be:</v>
      </c>
      <c r="H27" s="467"/>
      <c r="I27" s="468"/>
      <c r="J27" s="469">
        <f>IF(J25&gt;0,IF(E36&lt;E20,IF(J25=G38,E36,((J25-G38)*(1-D38))+E20),E36+(J25-G38)),0)</f>
        <v>0</v>
      </c>
    </row>
    <row r="28" spans="2:10" ht="15.75">
      <c r="B28" s="271"/>
      <c r="C28" s="363"/>
      <c r="D28" s="363"/>
      <c r="E28" s="78"/>
      <c r="G28" s="470" t="s">
        <v>315</v>
      </c>
      <c r="H28" s="471"/>
      <c r="I28" s="471"/>
      <c r="J28" s="472">
        <f>IF(J25&gt;0,J27-E36,0)</f>
        <v>0</v>
      </c>
    </row>
    <row r="29" spans="2:10" ht="15.75">
      <c r="B29" s="263" t="s">
        <v>39</v>
      </c>
      <c r="C29" s="363"/>
      <c r="D29" s="363"/>
      <c r="E29" s="86"/>
      <c r="G29" s="1"/>
      <c r="H29" s="1"/>
      <c r="I29" s="1"/>
      <c r="J29" s="1"/>
    </row>
    <row r="30" spans="2:10" ht="15.75">
      <c r="B30" s="263" t="s">
        <v>37</v>
      </c>
      <c r="C30" s="363"/>
      <c r="D30" s="363"/>
      <c r="E30" s="78"/>
      <c r="G30" s="604" t="str">
        <f>CONCATENATE("Projected Carryover Into ",E1+1,"")</f>
        <v>Projected Carryover Into 2015</v>
      </c>
      <c r="H30" s="611"/>
      <c r="I30" s="611"/>
      <c r="J30" s="612"/>
    </row>
    <row r="31" spans="2:10" ht="15.75">
      <c r="B31" s="263" t="s">
        <v>40</v>
      </c>
      <c r="C31" s="364">
        <f>IF(C32*0.1&lt;C30,"Exceed 10% Rule","")</f>
      </c>
      <c r="D31" s="364">
        <f>IF(D32*0.1&lt;D30,"Exceed 10% Rule","")</f>
      </c>
      <c r="E31" s="297">
        <f>IF(E32*0.1&lt;E30,"Exceed 10% Rule","")</f>
      </c>
      <c r="G31" s="459"/>
      <c r="H31" s="461"/>
      <c r="I31" s="461"/>
      <c r="J31" s="487"/>
    </row>
    <row r="32" spans="2:10" ht="15.75">
      <c r="B32" s="265" t="s">
        <v>89</v>
      </c>
      <c r="C32" s="365">
        <f>SUM(C22:C30)</f>
        <v>37418</v>
      </c>
      <c r="D32" s="365">
        <f>SUM(D22:D30)</f>
        <v>30000</v>
      </c>
      <c r="E32" s="305">
        <f>SUM(E22:E30)</f>
        <v>40500</v>
      </c>
      <c r="G32" s="488">
        <f>D33</f>
        <v>10500</v>
      </c>
      <c r="H32" s="478" t="str">
        <f>CONCATENATE("",E1-1," Ending Cash Balance (est.)")</f>
        <v>2013 Ending Cash Balance (est.)</v>
      </c>
      <c r="I32" s="489"/>
      <c r="J32" s="487"/>
    </row>
    <row r="33" spans="2:10" ht="15.75">
      <c r="B33" s="114" t="s">
        <v>198</v>
      </c>
      <c r="C33" s="368">
        <f>C20-C32</f>
        <v>29764</v>
      </c>
      <c r="D33" s="368">
        <f>D20-D32</f>
        <v>10500</v>
      </c>
      <c r="E33" s="290" t="s">
        <v>62</v>
      </c>
      <c r="G33" s="488">
        <f>E19</f>
        <v>3307</v>
      </c>
      <c r="H33" s="461" t="str">
        <f>CONCATENATE("",E1," Non-AV Receipts (est.)")</f>
        <v>2014 Non-AV Receipts (est.)</v>
      </c>
      <c r="I33" s="489"/>
      <c r="J33" s="487"/>
    </row>
    <row r="34" spans="2:11" ht="15.75">
      <c r="B34" s="241" t="str">
        <f>CONCATENATE("",E$1-2,"/",E$1-1," Budget Authority Amount:")</f>
        <v>2012/2013 Budget Authority Amount:</v>
      </c>
      <c r="C34" s="233">
        <f>inputOth!D45</f>
        <v>39586</v>
      </c>
      <c r="D34" s="233">
        <f>inputPrYr!D29</f>
        <v>40500</v>
      </c>
      <c r="E34" s="290" t="s">
        <v>62</v>
      </c>
      <c r="F34" s="273"/>
      <c r="G34" s="490">
        <f>IF(E38&gt;0,E37,E39)</f>
        <v>26693</v>
      </c>
      <c r="H34" s="461" t="str">
        <f>CONCATENATE("",E1," Ad Valorem Tax (est.)")</f>
        <v>2014 Ad Valorem Tax (est.)</v>
      </c>
      <c r="I34" s="489"/>
      <c r="J34" s="487"/>
      <c r="K34" s="475" t="str">
        <f>IF(G34=E39,"","Note: Does not include Delinquent Taxes")</f>
        <v>Note: Does not include Delinquent Taxes</v>
      </c>
    </row>
    <row r="35" spans="2:10" ht="15.75">
      <c r="B35" s="241"/>
      <c r="C35" s="594" t="s">
        <v>284</v>
      </c>
      <c r="D35" s="595"/>
      <c r="E35" s="78"/>
      <c r="F35" s="402">
        <f>IF(E32/0.95-E32&lt;E35,"Exceeds 5%","")</f>
      </c>
      <c r="G35" s="488">
        <f>SUM(G32:G34)</f>
        <v>40500</v>
      </c>
      <c r="H35" s="461" t="str">
        <f>CONCATENATE("Total ",E1," Resources Available")</f>
        <v>Total 2014 Resources Available</v>
      </c>
      <c r="I35" s="489"/>
      <c r="J35" s="487"/>
    </row>
    <row r="36" spans="2:10" ht="15.75">
      <c r="B36" s="406" t="str">
        <f>CONCATENATE(C84,"     ",D84)</f>
        <v>     </v>
      </c>
      <c r="C36" s="596" t="s">
        <v>285</v>
      </c>
      <c r="D36" s="597"/>
      <c r="E36" s="219">
        <f>E32+E35</f>
        <v>40500</v>
      </c>
      <c r="G36" s="491"/>
      <c r="H36" s="461"/>
      <c r="I36" s="461"/>
      <c r="J36" s="487"/>
    </row>
    <row r="37" spans="2:10" ht="15.75">
      <c r="B37" s="406" t="str">
        <f>CONCATENATE(C85,"     ",D85)</f>
        <v>     </v>
      </c>
      <c r="C37" s="274"/>
      <c r="D37" s="194" t="s">
        <v>90</v>
      </c>
      <c r="E37" s="86">
        <f>IF(E36-E20&gt;0,E36-E20,0)</f>
        <v>26693</v>
      </c>
      <c r="G37" s="490">
        <f>ROUND(C32*0.05+C32,0)</f>
        <v>39289</v>
      </c>
      <c r="H37" s="461" t="str">
        <f>CONCATENATE("Less ",E1-2," Expenditures + 5%")</f>
        <v>Less 2012 Expenditures + 5%</v>
      </c>
      <c r="I37" s="489"/>
      <c r="J37" s="492"/>
    </row>
    <row r="38" spans="2:10" ht="15.75">
      <c r="B38" s="194"/>
      <c r="C38" s="404" t="s">
        <v>286</v>
      </c>
      <c r="D38" s="458">
        <f>inputOth!$E$23</f>
        <v>0.03</v>
      </c>
      <c r="E38" s="219">
        <f>ROUND(IF(D38&gt;0,($E$37*D38),0),0)</f>
        <v>801</v>
      </c>
      <c r="G38" s="493">
        <f>G35-G37</f>
        <v>1211</v>
      </c>
      <c r="H38" s="494" t="str">
        <f>CONCATENATE("Projected ",E1+1," carryover (est.)")</f>
        <v>Projected 2015 carryover (est.)</v>
      </c>
      <c r="I38" s="495"/>
      <c r="J38" s="496"/>
    </row>
    <row r="39" spans="2:10" ht="15.75">
      <c r="B39" s="51"/>
      <c r="C39" s="602" t="str">
        <f>CONCATENATE("Amount of  ",$E$1-1," Ad Valorem Tax")</f>
        <v>Amount of  2013 Ad Valorem Tax</v>
      </c>
      <c r="D39" s="603"/>
      <c r="E39" s="301">
        <f>E37+E38</f>
        <v>27494</v>
      </c>
      <c r="G39" s="1"/>
      <c r="H39" s="1"/>
      <c r="I39" s="1"/>
      <c r="J39" s="1"/>
    </row>
    <row r="40" spans="2:10" ht="15.75">
      <c r="B40" s="51"/>
      <c r="C40" s="280"/>
      <c r="D40" s="280"/>
      <c r="E40" s="280"/>
      <c r="G40" s="607" t="s">
        <v>316</v>
      </c>
      <c r="H40" s="608"/>
      <c r="I40" s="608"/>
      <c r="J40" s="609"/>
    </row>
    <row r="41" spans="2:10" ht="15.75">
      <c r="B41" s="50" t="s">
        <v>75</v>
      </c>
      <c r="C41" s="511" t="str">
        <f aca="true" t="shared" si="0" ref="C41:E42">C4</f>
        <v>Prior Year </v>
      </c>
      <c r="D41" s="512" t="str">
        <f t="shared" si="0"/>
        <v>Current Year </v>
      </c>
      <c r="E41" s="178" t="str">
        <f t="shared" si="0"/>
        <v>Proposed Budget </v>
      </c>
      <c r="G41" s="477"/>
      <c r="H41" s="478"/>
      <c r="I41" s="479"/>
      <c r="J41" s="480"/>
    </row>
    <row r="42" spans="2:10" ht="15.75">
      <c r="B42" s="392" t="str">
        <f>inputPrYr!B30</f>
        <v>Historical Museum</v>
      </c>
      <c r="C42" s="366" t="str">
        <f t="shared" si="0"/>
        <v>Actual for 2012</v>
      </c>
      <c r="D42" s="366" t="str">
        <f t="shared" si="0"/>
        <v>Estimate for 2013</v>
      </c>
      <c r="E42" s="256" t="str">
        <f t="shared" si="0"/>
        <v>Year for 2014</v>
      </c>
      <c r="G42" s="481">
        <f>summ!H29</f>
        <v>0.405</v>
      </c>
      <c r="H42" s="478" t="str">
        <f>CONCATENATE("",E1," Fund Mill Rate")</f>
        <v>2014 Fund Mill Rate</v>
      </c>
      <c r="I42" s="479"/>
      <c r="J42" s="480"/>
    </row>
    <row r="43" spans="2:10" ht="15.75">
      <c r="B43" s="114" t="s">
        <v>197</v>
      </c>
      <c r="C43" s="363">
        <v>2382</v>
      </c>
      <c r="D43" s="367">
        <f>C67</f>
        <v>3963</v>
      </c>
      <c r="E43" s="219">
        <f>D67</f>
        <v>1234</v>
      </c>
      <c r="G43" s="482">
        <f>summ!E29</f>
        <v>0.092</v>
      </c>
      <c r="H43" s="478" t="str">
        <f>CONCATENATE("",E1-1," Fund Mill Rate")</f>
        <v>2013 Fund Mill Rate</v>
      </c>
      <c r="I43" s="479"/>
      <c r="J43" s="480"/>
    </row>
    <row r="44" spans="2:10" ht="15.75">
      <c r="B44" s="257" t="s">
        <v>199</v>
      </c>
      <c r="C44" s="259"/>
      <c r="D44" s="259"/>
      <c r="E44" s="93"/>
      <c r="G44" s="483">
        <f>summ!H53</f>
        <v>96.518</v>
      </c>
      <c r="H44" s="478" t="str">
        <f>CONCATENATE("Total ",E1," Mill Rate")</f>
        <v>Total 2014 Mill Rate</v>
      </c>
      <c r="I44" s="479"/>
      <c r="J44" s="480"/>
    </row>
    <row r="45" spans="2:10" ht="15.75">
      <c r="B45" s="114" t="s">
        <v>76</v>
      </c>
      <c r="C45" s="363">
        <v>47146</v>
      </c>
      <c r="D45" s="367">
        <v>42310</v>
      </c>
      <c r="E45" s="290" t="s">
        <v>62</v>
      </c>
      <c r="G45" s="482">
        <f>summ!E53</f>
        <v>89.61599999999999</v>
      </c>
      <c r="H45" s="484" t="str">
        <f>CONCATENATE("Total ",E1-1," Mill Rate")</f>
        <v>Total 2013 Mill Rate</v>
      </c>
      <c r="I45" s="485"/>
      <c r="J45" s="486"/>
    </row>
    <row r="46" spans="2:10" ht="15.75">
      <c r="B46" s="114" t="s">
        <v>77</v>
      </c>
      <c r="C46" s="363">
        <v>956</v>
      </c>
      <c r="D46" s="363">
        <v>100</v>
      </c>
      <c r="E46" s="78">
        <v>100</v>
      </c>
      <c r="G46" s="1"/>
      <c r="H46" s="1"/>
      <c r="I46" s="1"/>
      <c r="J46" s="1"/>
    </row>
    <row r="47" spans="2:10" ht="15.75">
      <c r="B47" s="114" t="s">
        <v>78</v>
      </c>
      <c r="C47" s="363">
        <v>4954</v>
      </c>
      <c r="D47" s="363">
        <v>6338</v>
      </c>
      <c r="E47" s="219">
        <f>mvalloc!E21</f>
        <v>5495</v>
      </c>
      <c r="G47" s="531" t="s">
        <v>323</v>
      </c>
      <c r="H47" s="530"/>
      <c r="I47" s="529" t="str">
        <f>cert!E63</f>
        <v>Yes</v>
      </c>
      <c r="J47" s="1"/>
    </row>
    <row r="48" spans="2:10" ht="15.75">
      <c r="B48" s="114" t="s">
        <v>79</v>
      </c>
      <c r="C48" s="363"/>
      <c r="D48" s="363">
        <v>94</v>
      </c>
      <c r="E48" s="219">
        <f>mvalloc!F21</f>
        <v>76</v>
      </c>
      <c r="G48" s="1"/>
      <c r="H48" s="1"/>
      <c r="I48" s="1"/>
      <c r="J48" s="1"/>
    </row>
    <row r="49" spans="2:10" ht="15.75">
      <c r="B49" s="259" t="s">
        <v>148</v>
      </c>
      <c r="C49" s="363"/>
      <c r="D49" s="363">
        <v>735</v>
      </c>
      <c r="E49" s="219">
        <f>mvalloc!G21</f>
        <v>625</v>
      </c>
      <c r="G49" s="1"/>
      <c r="H49" s="1"/>
      <c r="I49" s="1"/>
      <c r="J49" s="1"/>
    </row>
    <row r="50" spans="2:10" ht="15.75">
      <c r="B50" s="261" t="s">
        <v>373</v>
      </c>
      <c r="C50" s="545">
        <v>-2475</v>
      </c>
      <c r="D50" s="545">
        <v>-3306</v>
      </c>
      <c r="E50" s="546">
        <v>-3883</v>
      </c>
      <c r="G50" s="1"/>
      <c r="H50" s="1"/>
      <c r="I50" s="1"/>
      <c r="J50" s="1"/>
    </row>
    <row r="51" spans="2:10" ht="15.75">
      <c r="B51" s="271" t="s">
        <v>375</v>
      </c>
      <c r="C51" s="363"/>
      <c r="D51" s="363"/>
      <c r="E51" s="78"/>
      <c r="G51" s="1"/>
      <c r="H51" s="1"/>
      <c r="I51" s="1"/>
      <c r="J51" s="1"/>
    </row>
    <row r="52" spans="2:10" ht="15.75">
      <c r="B52" s="271"/>
      <c r="C52" s="363"/>
      <c r="D52" s="363"/>
      <c r="E52" s="78"/>
      <c r="G52" s="1"/>
      <c r="H52" s="1"/>
      <c r="I52" s="1"/>
      <c r="J52" s="1"/>
    </row>
    <row r="53" spans="2:10" ht="15.75">
      <c r="B53" s="271"/>
      <c r="C53" s="363"/>
      <c r="D53" s="363"/>
      <c r="E53" s="78"/>
      <c r="G53" s="1"/>
      <c r="H53" s="1"/>
      <c r="I53" s="1"/>
      <c r="J53" s="1"/>
    </row>
    <row r="54" spans="2:10" ht="15.75">
      <c r="B54" s="262" t="s">
        <v>83</v>
      </c>
      <c r="C54" s="363"/>
      <c r="D54" s="363"/>
      <c r="E54" s="78"/>
      <c r="G54" s="1"/>
      <c r="H54" s="1"/>
      <c r="I54" s="1"/>
      <c r="J54" s="1"/>
    </row>
    <row r="55" spans="2:10" ht="15.75">
      <c r="B55" s="263" t="s">
        <v>37</v>
      </c>
      <c r="C55" s="363"/>
      <c r="D55" s="363"/>
      <c r="E55" s="78"/>
      <c r="G55" s="1"/>
      <c r="H55" s="1"/>
      <c r="I55" s="1"/>
      <c r="J55" s="1"/>
    </row>
    <row r="56" spans="2:10" ht="15.75">
      <c r="B56" s="263" t="s">
        <v>38</v>
      </c>
      <c r="C56" s="364">
        <f>IF(C57*0.1&lt;C55,"Exceed 10% Rule","")</f>
      </c>
      <c r="D56" s="364">
        <f>IF(D57*0.1&lt;D55,"Exceed 10% Rule","")</f>
      </c>
      <c r="E56" s="297">
        <f>IF(E57*0.1+E73&lt;E55,"Exceed 10% Rule","")</f>
      </c>
      <c r="G56" s="1"/>
      <c r="H56" s="1"/>
      <c r="I56" s="1"/>
      <c r="J56" s="1"/>
    </row>
    <row r="57" spans="2:10" ht="15.75">
      <c r="B57" s="265" t="s">
        <v>84</v>
      </c>
      <c r="C57" s="365">
        <f>SUM(C45:C55)</f>
        <v>50581</v>
      </c>
      <c r="D57" s="365">
        <f>SUM(D45:D55)</f>
        <v>46271</v>
      </c>
      <c r="E57" s="305">
        <f>SUM(E45:E55)</f>
        <v>2413</v>
      </c>
      <c r="G57" s="1"/>
      <c r="H57" s="1"/>
      <c r="I57" s="1"/>
      <c r="J57" s="1"/>
    </row>
    <row r="58" spans="2:10" ht="15.75">
      <c r="B58" s="265" t="s">
        <v>85</v>
      </c>
      <c r="C58" s="365">
        <f>C43+C57</f>
        <v>52963</v>
      </c>
      <c r="D58" s="365">
        <f>D43+D57</f>
        <v>50234</v>
      </c>
      <c r="E58" s="305">
        <f>E43+E57</f>
        <v>3647</v>
      </c>
      <c r="G58" s="1"/>
      <c r="H58" s="1"/>
      <c r="I58" s="1"/>
      <c r="J58" s="1"/>
    </row>
    <row r="59" spans="2:10" ht="15.75">
      <c r="B59" s="114" t="s">
        <v>88</v>
      </c>
      <c r="C59" s="263"/>
      <c r="D59" s="263"/>
      <c r="E59" s="74"/>
      <c r="G59" s="1"/>
      <c r="H59" s="1"/>
      <c r="I59" s="1"/>
      <c r="J59" s="1"/>
    </row>
    <row r="60" spans="2:10" ht="15.75">
      <c r="B60" s="271" t="s">
        <v>402</v>
      </c>
      <c r="C60" s="363">
        <v>49000</v>
      </c>
      <c r="D60" s="363">
        <v>49000</v>
      </c>
      <c r="E60" s="78">
        <v>55100</v>
      </c>
      <c r="G60" s="1"/>
      <c r="H60" s="1"/>
      <c r="I60" s="1"/>
      <c r="J60" s="1"/>
    </row>
    <row r="61" spans="2:10" ht="15.75">
      <c r="B61" s="271"/>
      <c r="C61" s="363"/>
      <c r="D61" s="363"/>
      <c r="E61" s="78"/>
      <c r="G61" s="466" t="str">
        <f>CONCATENATE("",E1," Tot Exp/Non-Appr Must Be:")</f>
        <v>2014 Tot Exp/Non-Appr Must Be:</v>
      </c>
      <c r="H61" s="467"/>
      <c r="I61" s="468"/>
      <c r="J61" s="469" t="e">
        <f>IF(#REF!&gt;0,IF(E70&lt;E58,IF(#REF!=G72,E70,((#REF!-G72)*(1-D72))+E58),E70+(#REF!-G72)),0)</f>
        <v>#REF!</v>
      </c>
    </row>
    <row r="62" spans="2:10" ht="15.75">
      <c r="B62" s="271"/>
      <c r="C62" s="363"/>
      <c r="D62" s="363"/>
      <c r="E62" s="78"/>
      <c r="G62" s="470" t="s">
        <v>315</v>
      </c>
      <c r="H62" s="471"/>
      <c r="I62" s="471"/>
      <c r="J62" s="472" t="e">
        <f>IF(#REF!&gt;0,J61-E70,0)</f>
        <v>#REF!</v>
      </c>
    </row>
    <row r="63" spans="2:10" ht="15.75">
      <c r="B63" s="263" t="s">
        <v>39</v>
      </c>
      <c r="C63" s="363"/>
      <c r="D63" s="363"/>
      <c r="E63" s="86"/>
      <c r="G63" s="1"/>
      <c r="H63" s="1"/>
      <c r="I63" s="1"/>
      <c r="J63" s="1"/>
    </row>
    <row r="64" spans="2:10" ht="15.75">
      <c r="B64" s="263" t="s">
        <v>37</v>
      </c>
      <c r="C64" s="363"/>
      <c r="D64" s="363"/>
      <c r="E64" s="78"/>
      <c r="G64" s="604" t="str">
        <f>CONCATENATE("Projected Carryover Into ",E1+1,"")</f>
        <v>Projected Carryover Into 2015</v>
      </c>
      <c r="H64" s="613"/>
      <c r="I64" s="613"/>
      <c r="J64" s="612"/>
    </row>
    <row r="65" spans="2:10" ht="15.75">
      <c r="B65" s="263" t="s">
        <v>40</v>
      </c>
      <c r="C65" s="364">
        <f>IF(C66*0.1&lt;C64,"Exceed 10% Rule","")</f>
      </c>
      <c r="D65" s="364">
        <f>IF(D66*0.1&lt;D64,"Exceed 10% Rule","")</f>
      </c>
      <c r="E65" s="297">
        <f>IF(E66*0.1&lt;E64,"Exceed 10% Rule","")</f>
      </c>
      <c r="G65" s="497"/>
      <c r="H65" s="460"/>
      <c r="I65" s="460"/>
      <c r="J65" s="492"/>
    </row>
    <row r="66" spans="2:10" ht="15.75">
      <c r="B66" s="265" t="s">
        <v>89</v>
      </c>
      <c r="C66" s="365">
        <f>SUM(C60:C64)</f>
        <v>49000</v>
      </c>
      <c r="D66" s="365">
        <f>SUM(D60:D64)</f>
        <v>49000</v>
      </c>
      <c r="E66" s="305">
        <f>SUM(E60:E64)</f>
        <v>55100</v>
      </c>
      <c r="G66" s="488">
        <f>D67</f>
        <v>1234</v>
      </c>
      <c r="H66" s="478" t="str">
        <f>CONCATENATE("",E1-1," Ending Cash Balance (est.)")</f>
        <v>2013 Ending Cash Balance (est.)</v>
      </c>
      <c r="I66" s="489"/>
      <c r="J66" s="492"/>
    </row>
    <row r="67" spans="2:10" ht="15.75">
      <c r="B67" s="114" t="s">
        <v>198</v>
      </c>
      <c r="C67" s="368">
        <f>C58-C66</f>
        <v>3963</v>
      </c>
      <c r="D67" s="368">
        <f>D58-D66</f>
        <v>1234</v>
      </c>
      <c r="E67" s="290" t="s">
        <v>62</v>
      </c>
      <c r="G67" s="488">
        <f>E57</f>
        <v>2413</v>
      </c>
      <c r="H67" s="461" t="str">
        <f>CONCATENATE("",E1," Non-AV Receipts (est.)")</f>
        <v>2014 Non-AV Receipts (est.)</v>
      </c>
      <c r="I67" s="489"/>
      <c r="J67" s="492"/>
    </row>
    <row r="68" spans="2:11" ht="15.75">
      <c r="B68" s="241" t="str">
        <f>CONCATENATE("",E$1-2,"/",E$1-1," Budget Authority Amount:")</f>
        <v>2012/2013 Budget Authority Amount:</v>
      </c>
      <c r="C68" s="233">
        <f>inputOth!B46</f>
        <v>49000</v>
      </c>
      <c r="D68" s="233">
        <f>inputPrYr!D30</f>
        <v>49000</v>
      </c>
      <c r="E68" s="290" t="s">
        <v>62</v>
      </c>
      <c r="F68" s="273"/>
      <c r="G68" s="490">
        <f>IF(E72&gt;0,E71,E73)</f>
        <v>51453</v>
      </c>
      <c r="H68" s="461" t="str">
        <f>CONCATENATE("",E1," Ad Valorem Tax (est.)")</f>
        <v>2014 Ad Valorem Tax (est.)</v>
      </c>
      <c r="I68" s="489"/>
      <c r="J68" s="492"/>
      <c r="K68" s="475" t="str">
        <f>IF(G68=E73,"","Note: Does not include Delinquent Taxes")</f>
        <v>Note: Does not include Delinquent Taxes</v>
      </c>
    </row>
    <row r="69" spans="2:10" ht="15.75">
      <c r="B69" s="241"/>
      <c r="C69" s="594" t="s">
        <v>284</v>
      </c>
      <c r="D69" s="595"/>
      <c r="E69" s="78"/>
      <c r="F69" s="402">
        <f>IF(E66/0.95-E66&lt;E69,"Exceeds 5%","")</f>
      </c>
      <c r="G69" s="498">
        <f>SUM(G66:G68)</f>
        <v>55100</v>
      </c>
      <c r="H69" s="461" t="str">
        <f>CONCATENATE("Total ",E1," Resources Available")</f>
        <v>Total 2014 Resources Available</v>
      </c>
      <c r="I69" s="499"/>
      <c r="J69" s="492"/>
    </row>
    <row r="70" spans="2:10" ht="15.75">
      <c r="B70" s="405" t="str">
        <f>CONCATENATE(C86,"     ",D86)</f>
        <v>     </v>
      </c>
      <c r="C70" s="596" t="s">
        <v>285</v>
      </c>
      <c r="D70" s="597"/>
      <c r="E70" s="219">
        <f>E66+E69</f>
        <v>55100</v>
      </c>
      <c r="G70" s="500"/>
      <c r="H70" s="501"/>
      <c r="I70" s="460"/>
      <c r="J70" s="492"/>
    </row>
    <row r="71" spans="2:10" ht="15.75">
      <c r="B71" s="405" t="str">
        <f>CONCATENATE(C87,"     ",D87)</f>
        <v>     </v>
      </c>
      <c r="C71" s="274"/>
      <c r="D71" s="194" t="s">
        <v>90</v>
      </c>
      <c r="E71" s="86">
        <f>IF(E70-E58&gt;0,E70-E58,0)</f>
        <v>51453</v>
      </c>
      <c r="G71" s="502">
        <f>ROUND(C66*0.05+C66,0)</f>
        <v>51450</v>
      </c>
      <c r="H71" s="461" t="str">
        <f>CONCATENATE("Less ",E1-2," Expenditures + 5%")</f>
        <v>Less 2012 Expenditures + 5%</v>
      </c>
      <c r="I71" s="499"/>
      <c r="J71" s="492"/>
    </row>
    <row r="72" spans="2:10" ht="15.75">
      <c r="B72" s="194"/>
      <c r="C72" s="404" t="s">
        <v>286</v>
      </c>
      <c r="D72" s="458">
        <f>inputOth!$E$23</f>
        <v>0.03</v>
      </c>
      <c r="E72" s="219">
        <f>ROUND(IF(D72&gt;0,($E$71*D72),0),0)</f>
        <v>1544</v>
      </c>
      <c r="G72" s="503">
        <f>G69-G71</f>
        <v>3650</v>
      </c>
      <c r="H72" s="494" t="str">
        <f>CONCATENATE("Projected ",E1+1," carryover (est.)")</f>
        <v>Projected 2015 carryover (est.)</v>
      </c>
      <c r="I72" s="504"/>
      <c r="J72" s="505"/>
    </row>
    <row r="73" spans="2:10" ht="15.75">
      <c r="B73" s="51"/>
      <c r="C73" s="602" t="str">
        <f>CONCATENATE("Amount of  ",$E$1-1," Ad Valorem Tax")</f>
        <v>Amount of  2013 Ad Valorem Tax</v>
      </c>
      <c r="D73" s="603"/>
      <c r="E73" s="301">
        <f>E71+E72</f>
        <v>52997</v>
      </c>
      <c r="G73" s="1"/>
      <c r="H73" s="1"/>
      <c r="I73" s="1"/>
      <c r="J73" s="1"/>
    </row>
    <row r="74" spans="2:10" ht="15.75">
      <c r="B74" s="241" t="s">
        <v>109</v>
      </c>
      <c r="C74" s="302">
        <v>15</v>
      </c>
      <c r="D74" s="51"/>
      <c r="E74" s="51"/>
      <c r="G74" s="607" t="s">
        <v>316</v>
      </c>
      <c r="H74" s="608"/>
      <c r="I74" s="608"/>
      <c r="J74" s="609"/>
    </row>
    <row r="75" spans="7:10" ht="15.75">
      <c r="G75" s="477"/>
      <c r="H75" s="478"/>
      <c r="I75" s="479"/>
      <c r="J75" s="480"/>
    </row>
    <row r="76" spans="7:10" ht="15.75">
      <c r="G76" s="481">
        <f>summ!H30</f>
        <v>0.781</v>
      </c>
      <c r="H76" s="478" t="str">
        <f>CONCATENATE("",E1," Fund Mill Rate")</f>
        <v>2014 Fund Mill Rate</v>
      </c>
      <c r="I76" s="479"/>
      <c r="J76" s="480"/>
    </row>
    <row r="77" spans="7:10" ht="15.75">
      <c r="G77" s="482">
        <f>summ!E30</f>
        <v>0.692</v>
      </c>
      <c r="H77" s="478" t="str">
        <f>CONCATENATE("",E1-1," Fund Mill Rate")</f>
        <v>2013 Fund Mill Rate</v>
      </c>
      <c r="I77" s="479"/>
      <c r="J77" s="480"/>
    </row>
    <row r="78" spans="7:10" ht="15.75">
      <c r="G78" s="483">
        <f>summ!H53</f>
        <v>96.518</v>
      </c>
      <c r="H78" s="478" t="str">
        <f>CONCATENATE("Total ",E1," Mill Rate")</f>
        <v>Total 2014 Mill Rate</v>
      </c>
      <c r="I78" s="479"/>
      <c r="J78" s="480"/>
    </row>
    <row r="79" spans="7:10" ht="15.75">
      <c r="G79" s="482">
        <f>summ!E53</f>
        <v>89.61599999999999</v>
      </c>
      <c r="H79" s="484" t="str">
        <f>CONCATENATE("Total ",E1-1," Mill Rate")</f>
        <v>Total 2013 Mill Rate</v>
      </c>
      <c r="I79" s="485"/>
      <c r="J79" s="486"/>
    </row>
    <row r="81" spans="7:9" ht="15.75">
      <c r="G81" s="531" t="s">
        <v>323</v>
      </c>
      <c r="H81" s="530"/>
      <c r="I81" s="529" t="str">
        <f>cert!E63</f>
        <v>Yes</v>
      </c>
    </row>
    <row r="84" spans="3:4" ht="15.75" hidden="1">
      <c r="C84" s="48">
        <f>IF(C32&gt;C34,"See Tab A","")</f>
      </c>
      <c r="D84" s="48">
        <f>IF(D32&gt;D34,"See Tab C","")</f>
      </c>
    </row>
    <row r="85" spans="3:4" ht="15.75" hidden="1">
      <c r="C85" s="48">
        <f>IF(C33&lt;0,"See Tab B","")</f>
      </c>
      <c r="D85" s="48">
        <f>IF(D33&lt;0,"See Tab D","")</f>
      </c>
    </row>
    <row r="86" spans="3:4" ht="15.75" hidden="1">
      <c r="C86" s="48">
        <f>IF(C66&gt;C68,"See Tab A","")</f>
      </c>
      <c r="D86" s="48">
        <f>IF(D66&gt;D68,"See Tab C","")</f>
      </c>
    </row>
    <row r="87" spans="3:4" ht="15.75" hidden="1">
      <c r="C87" s="48">
        <f>IF(C67&lt;0,"See Tab B","")</f>
      </c>
      <c r="D87" s="48">
        <f>IF(D67&lt;0,"See Tab D","")</f>
      </c>
    </row>
  </sheetData>
  <sheetProtection/>
  <mergeCells count="11">
    <mergeCell ref="G23:J23"/>
    <mergeCell ref="G30:J30"/>
    <mergeCell ref="G40:J40"/>
    <mergeCell ref="G64:J64"/>
    <mergeCell ref="G74:J74"/>
    <mergeCell ref="C35:D35"/>
    <mergeCell ref="C36:D36"/>
    <mergeCell ref="C69:D69"/>
    <mergeCell ref="C70:D70"/>
    <mergeCell ref="C73:D73"/>
    <mergeCell ref="C39:D39"/>
  </mergeCells>
  <conditionalFormatting sqref="E64">
    <cfRule type="cellIs" priority="3" dxfId="309" operator="greaterThan" stopIfTrue="1">
      <formula>$E$66*0.1</formula>
    </cfRule>
  </conditionalFormatting>
  <conditionalFormatting sqref="E69">
    <cfRule type="cellIs" priority="4" dxfId="309" operator="greaterThan" stopIfTrue="1">
      <formula>$E$66/0.95-$E$66</formula>
    </cfRule>
  </conditionalFormatting>
  <conditionalFormatting sqref="E35">
    <cfRule type="cellIs" priority="5" dxfId="309" operator="greaterThan" stopIfTrue="1">
      <formula>$E$32/0.95-$E$32</formula>
    </cfRule>
  </conditionalFormatting>
  <conditionalFormatting sqref="E30">
    <cfRule type="cellIs" priority="6" dxfId="309" operator="greaterThan" stopIfTrue="1">
      <formula>$E$32*0.1</formula>
    </cfRule>
  </conditionalFormatting>
  <conditionalFormatting sqref="C67 C33">
    <cfRule type="cellIs" priority="7" dxfId="2" operator="lessThan" stopIfTrue="1">
      <formula>0</formula>
    </cfRule>
  </conditionalFormatting>
  <conditionalFormatting sqref="C66">
    <cfRule type="cellIs" priority="8" dxfId="2" operator="greaterThan" stopIfTrue="1">
      <formula>$C$68</formula>
    </cfRule>
  </conditionalFormatting>
  <conditionalFormatting sqref="D66">
    <cfRule type="cellIs" priority="9" dxfId="2" operator="greaterThan" stopIfTrue="1">
      <formula>$D$68</formula>
    </cfRule>
  </conditionalFormatting>
  <conditionalFormatting sqref="C64">
    <cfRule type="cellIs" priority="10" dxfId="2" operator="greaterThan" stopIfTrue="1">
      <formula>$C$66*0.1</formula>
    </cfRule>
  </conditionalFormatting>
  <conditionalFormatting sqref="D64">
    <cfRule type="cellIs" priority="11" dxfId="2" operator="greaterThan" stopIfTrue="1">
      <formula>$D$66*0.1</formula>
    </cfRule>
  </conditionalFormatting>
  <conditionalFormatting sqref="E55">
    <cfRule type="cellIs" priority="12" dxfId="309" operator="greaterThan" stopIfTrue="1">
      <formula>$E$57*0.1+E73</formula>
    </cfRule>
  </conditionalFormatting>
  <conditionalFormatting sqref="C55">
    <cfRule type="cellIs" priority="13" dxfId="2" operator="greaterThan" stopIfTrue="1">
      <formula>$C$57*0.1</formula>
    </cfRule>
  </conditionalFormatting>
  <conditionalFormatting sqref="D55">
    <cfRule type="cellIs" priority="14" dxfId="2" operator="greaterThan" stopIfTrue="1">
      <formula>$D$57*0.1</formula>
    </cfRule>
  </conditionalFormatting>
  <conditionalFormatting sqref="C32">
    <cfRule type="cellIs" priority="15" dxfId="2" operator="greaterThan" stopIfTrue="1">
      <formula>$C$34</formula>
    </cfRule>
  </conditionalFormatting>
  <conditionalFormatting sqref="D32">
    <cfRule type="cellIs" priority="16" dxfId="2" operator="greaterThan" stopIfTrue="1">
      <formula>$D$34</formula>
    </cfRule>
  </conditionalFormatting>
  <conditionalFormatting sqref="C30">
    <cfRule type="cellIs" priority="17" dxfId="2" operator="greaterThan" stopIfTrue="1">
      <formula>$C$32*0.1</formula>
    </cfRule>
  </conditionalFormatting>
  <conditionalFormatting sqref="D30">
    <cfRule type="cellIs" priority="18" dxfId="2" operator="greaterThan" stopIfTrue="1">
      <formula>$D$32*0.1</formula>
    </cfRule>
  </conditionalFormatting>
  <conditionalFormatting sqref="E17">
    <cfRule type="cellIs" priority="19" dxfId="309" operator="greaterThan" stopIfTrue="1">
      <formula>$E$19*0.1+E39</formula>
    </cfRule>
  </conditionalFormatting>
  <conditionalFormatting sqref="C17">
    <cfRule type="cellIs" priority="20" dxfId="2" operator="greaterThan" stopIfTrue="1">
      <formula>$C$19*0.1</formula>
    </cfRule>
  </conditionalFormatting>
  <conditionalFormatting sqref="D17">
    <cfRule type="cellIs" priority="21" dxfId="2" operator="greaterThan" stopIfTrue="1">
      <formula>$D$19*0.1</formula>
    </cfRule>
  </conditionalFormatting>
  <conditionalFormatting sqref="D67 D33">
    <cfRule type="cellIs" priority="2" dxfId="0" operator="lessThan" stopIfTrue="1">
      <formula>0</formula>
    </cfRule>
  </conditionalFormatting>
  <printOptions/>
  <pageMargins left="1.12" right="0.5" top="0.74" bottom="0.34" header="0.5" footer="0"/>
  <pageSetup blackAndWhite="1" horizontalDpi="120" verticalDpi="120" orientation="portrait" scale="59" r:id="rId1"/>
  <headerFooter alignWithMargins="0">
    <oddHeader>&amp;RState of Kansas
County
</oddHeader>
  </headerFooter>
</worksheet>
</file>

<file path=xl/worksheets/sheet2.xml><?xml version="1.0" encoding="utf-8"?>
<worksheet xmlns="http://schemas.openxmlformats.org/spreadsheetml/2006/main" xmlns:r="http://schemas.openxmlformats.org/officeDocument/2006/relationships">
  <dimension ref="A1:E68"/>
  <sheetViews>
    <sheetView view="pageBreakPreview" zoomScale="99" zoomScaleSheetLayoutView="99" zoomScalePageLayoutView="0" workbookViewId="0" topLeftCell="A19">
      <selection activeCell="E19" sqref="E19"/>
    </sheetView>
  </sheetViews>
  <sheetFormatPr defaultColWidth="8.796875" defaultRowHeight="15"/>
  <cols>
    <col min="1" max="1" width="18.59765625" style="48" customWidth="1"/>
    <col min="2" max="2" width="20.796875" style="48" customWidth="1"/>
    <col min="3" max="3" width="10" style="48" customWidth="1"/>
    <col min="4" max="4" width="15.296875" style="48" customWidth="1"/>
    <col min="5" max="5" width="15.796875" style="48" customWidth="1"/>
    <col min="6" max="16384" width="8.8984375" style="48" customWidth="1"/>
  </cols>
  <sheetData>
    <row r="1" spans="1:5" ht="15.75">
      <c r="A1" s="110" t="str">
        <f>inputPrYr!C2</f>
        <v>MITCHELL COUNTY</v>
      </c>
      <c r="B1" s="91"/>
      <c r="C1" s="91"/>
      <c r="D1" s="91"/>
      <c r="E1" s="91">
        <f>inputPrYr!C4</f>
        <v>2014</v>
      </c>
    </row>
    <row r="2" spans="1:5" ht="15.75">
      <c r="A2" s="110"/>
      <c r="B2" s="91"/>
      <c r="C2" s="91"/>
      <c r="D2" s="91"/>
      <c r="E2" s="91"/>
    </row>
    <row r="3" spans="1:5" ht="15.75">
      <c r="A3" s="552" t="s">
        <v>30</v>
      </c>
      <c r="B3" s="553"/>
      <c r="C3" s="553"/>
      <c r="D3" s="553"/>
      <c r="E3" s="553"/>
    </row>
    <row r="4" spans="1:5" ht="15.75">
      <c r="A4" s="91"/>
      <c r="B4" s="91"/>
      <c r="C4" s="91"/>
      <c r="D4" s="91"/>
      <c r="E4" s="91"/>
    </row>
    <row r="5" spans="1:5" ht="15.75">
      <c r="A5" s="90" t="str">
        <f>CONCATENATE("From the County Clerks ",E1," Budget Information:")</f>
        <v>From the County Clerks 2014 Budget Information:</v>
      </c>
      <c r="B5" s="92"/>
      <c r="C5" s="61"/>
      <c r="D5" s="51"/>
      <c r="E5" s="111"/>
    </row>
    <row r="6" spans="1:5" ht="15.75">
      <c r="A6" s="112" t="str">
        <f>CONCATENATE("Total Assessed Valuation for ",E1-1,"")</f>
        <v>Total Assessed Valuation for 2013</v>
      </c>
      <c r="B6" s="98"/>
      <c r="C6" s="98"/>
      <c r="D6" s="98"/>
      <c r="E6" s="78">
        <v>67815680</v>
      </c>
    </row>
    <row r="7" spans="1:5" ht="15.75">
      <c r="A7" s="112" t="str">
        <f>CONCATENATE("New Improvements for ",E1-1,"")</f>
        <v>New Improvements for 2013</v>
      </c>
      <c r="B7" s="98"/>
      <c r="C7" s="98"/>
      <c r="D7" s="98"/>
      <c r="E7" s="113">
        <v>2137220</v>
      </c>
    </row>
    <row r="8" spans="1:5" ht="15.75">
      <c r="A8" s="112" t="str">
        <f>CONCATENATE("Personal Property excluding oil, gas, and mobile homes- ",E1-1,"")</f>
        <v>Personal Property excluding oil, gas, and mobile homes- 2013</v>
      </c>
      <c r="B8" s="98"/>
      <c r="C8" s="98"/>
      <c r="D8" s="98"/>
      <c r="E8" s="113">
        <v>3036426</v>
      </c>
    </row>
    <row r="9" spans="1:5" ht="15.75">
      <c r="A9" s="112" t="str">
        <f>CONCATENATE("Property that has changed in use for ",E1-1,"")</f>
        <v>Property that has changed in use for 2013</v>
      </c>
      <c r="B9" s="98"/>
      <c r="C9" s="98"/>
      <c r="D9" s="98"/>
      <c r="E9" s="113">
        <v>199446</v>
      </c>
    </row>
    <row r="10" spans="1:5" ht="15.75">
      <c r="A10" s="112" t="str">
        <f>CONCATENATE("Personal Property excluding oil, gas, and mobile homes- ",E1-2,"")</f>
        <v>Personal Property excluding oil, gas, and mobile homes- 2012</v>
      </c>
      <c r="B10" s="98"/>
      <c r="C10" s="98"/>
      <c r="D10" s="98"/>
      <c r="E10" s="113">
        <v>3136486</v>
      </c>
    </row>
    <row r="11" spans="1:5" ht="15.75">
      <c r="A11" s="112" t="str">
        <f>CONCATENATE("Gross earnings (intangible) tax esitmate for ",E1,"")</f>
        <v>Gross earnings (intangible) tax esitmate for 2014</v>
      </c>
      <c r="B11" s="98"/>
      <c r="C11" s="98"/>
      <c r="D11" s="98"/>
      <c r="E11" s="78">
        <v>25155</v>
      </c>
    </row>
    <row r="12" spans="1:5" ht="15.75">
      <c r="A12" s="114" t="s">
        <v>242</v>
      </c>
      <c r="B12" s="98"/>
      <c r="C12" s="98"/>
      <c r="D12" s="81"/>
      <c r="E12" s="78"/>
    </row>
    <row r="13" spans="1:5" ht="15.75">
      <c r="A13" s="51"/>
      <c r="B13" s="51"/>
      <c r="C13" s="51"/>
      <c r="D13" s="67"/>
      <c r="E13" s="67"/>
    </row>
    <row r="14" spans="1:5" ht="15.75">
      <c r="A14" s="90" t="str">
        <f>CONCATENATE("From the County Treasurer's ",E1," Budget Information:")</f>
        <v>From the County Treasurer's 2014 Budget Information:</v>
      </c>
      <c r="B14" s="92"/>
      <c r="C14" s="92"/>
      <c r="D14" s="111"/>
      <c r="E14" s="111"/>
    </row>
    <row r="15" spans="1:5" ht="15.75">
      <c r="A15" s="79" t="s">
        <v>48</v>
      </c>
      <c r="B15" s="80"/>
      <c r="C15" s="80"/>
      <c r="D15" s="115"/>
      <c r="E15" s="78">
        <v>712288</v>
      </c>
    </row>
    <row r="16" spans="1:5" ht="15.75">
      <c r="A16" s="112" t="s">
        <v>49</v>
      </c>
      <c r="B16" s="98"/>
      <c r="C16" s="98"/>
      <c r="D16" s="116"/>
      <c r="E16" s="78">
        <v>9871</v>
      </c>
    </row>
    <row r="17" spans="1:5" ht="15.75">
      <c r="A17" s="112" t="s">
        <v>160</v>
      </c>
      <c r="B17" s="98"/>
      <c r="C17" s="98"/>
      <c r="D17" s="116"/>
      <c r="E17" s="78">
        <v>80956</v>
      </c>
    </row>
    <row r="18" spans="1:5" ht="15.75">
      <c r="A18" s="112" t="s">
        <v>243</v>
      </c>
      <c r="B18" s="98"/>
      <c r="C18" s="98"/>
      <c r="D18" s="117"/>
      <c r="E18" s="78"/>
    </row>
    <row r="19" spans="1:5" ht="15.75">
      <c r="A19" s="112" t="s">
        <v>244</v>
      </c>
      <c r="B19" s="98"/>
      <c r="C19" s="98"/>
      <c r="D19" s="117"/>
      <c r="E19" s="78"/>
    </row>
    <row r="20" spans="1:5" ht="15.75">
      <c r="A20" s="51"/>
      <c r="B20" s="51"/>
      <c r="C20" s="51"/>
      <c r="D20" s="51"/>
      <c r="E20" s="51"/>
    </row>
    <row r="21" spans="1:5" ht="15.75">
      <c r="A21" s="118" t="s">
        <v>245</v>
      </c>
      <c r="B21" s="51"/>
      <c r="C21" s="51"/>
      <c r="D21" s="51"/>
      <c r="E21" s="51"/>
    </row>
    <row r="22" spans="1:5" ht="15.75">
      <c r="A22" s="507" t="str">
        <f>CONCATENATE("Actual Delinquency for ",E1-3," Tax - (rate .01213 = 1.213%, key in 1.2)")</f>
        <v>Actual Delinquency for 2011 Tax - (rate .01213 = 1.213%, key in 1.2)</v>
      </c>
      <c r="B22" s="80"/>
      <c r="C22" s="80"/>
      <c r="D22" s="85"/>
      <c r="E22" s="506">
        <v>0.03</v>
      </c>
    </row>
    <row r="23" spans="1:5" ht="15.75">
      <c r="A23" s="510" t="s">
        <v>312</v>
      </c>
      <c r="B23" s="80"/>
      <c r="C23" s="80"/>
      <c r="D23" s="80"/>
      <c r="E23" s="509">
        <v>0.03</v>
      </c>
    </row>
    <row r="24" spans="1:5" ht="15.75">
      <c r="A24" s="49" t="s">
        <v>246</v>
      </c>
      <c r="B24" s="49"/>
      <c r="C24" s="49"/>
      <c r="D24" s="49"/>
      <c r="E24" s="49"/>
    </row>
    <row r="25" spans="1:5" ht="15.75">
      <c r="A25" s="119"/>
      <c r="B25" s="119"/>
      <c r="C25" s="119"/>
      <c r="D25" s="119"/>
      <c r="E25" s="119"/>
    </row>
    <row r="26" spans="1:5" ht="15.75">
      <c r="A26" s="557" t="str">
        <f>CONCATENATE("From the ",E1-2," Budget Certificate Page")</f>
        <v>From the 2012 Budget Certificate Page</v>
      </c>
      <c r="B26" s="558"/>
      <c r="C26" s="119"/>
      <c r="D26" s="119"/>
      <c r="E26" s="119"/>
    </row>
    <row r="27" spans="1:5" ht="15.75">
      <c r="A27" s="120"/>
      <c r="B27" s="559" t="str">
        <f>CONCATENATE("",E1-2,"                         Expenditure Amt Budget Authority")</f>
        <v>2012                         Expenditure Amt Budget Authority</v>
      </c>
      <c r="C27" s="562" t="str">
        <f>CONCATENATE("Note: If the ",E1-2," budget was amended, then the")</f>
        <v>Note: If the 2012 budget was amended, then the</v>
      </c>
      <c r="D27" s="563"/>
      <c r="E27" s="563"/>
    </row>
    <row r="28" spans="1:5" ht="15.75">
      <c r="A28" s="121" t="s">
        <v>33</v>
      </c>
      <c r="B28" s="560"/>
      <c r="C28" s="122" t="s">
        <v>34</v>
      </c>
      <c r="D28" s="123"/>
      <c r="E28" s="123"/>
    </row>
    <row r="29" spans="1:5" ht="15.75">
      <c r="A29" s="124"/>
      <c r="B29" s="561"/>
      <c r="C29" s="122" t="s">
        <v>35</v>
      </c>
      <c r="D29" s="123"/>
      <c r="E29" s="123"/>
    </row>
    <row r="30" spans="1:5" ht="15.75">
      <c r="A30" s="124"/>
      <c r="B30" s="537"/>
      <c r="C30" s="538" t="s">
        <v>451</v>
      </c>
      <c r="D30" s="539" t="s">
        <v>453</v>
      </c>
      <c r="E30" s="123"/>
    </row>
    <row r="31" spans="1:5" ht="15.75">
      <c r="A31" s="124"/>
      <c r="B31" s="537"/>
      <c r="C31" s="540" t="s">
        <v>452</v>
      </c>
      <c r="D31" s="541" t="s">
        <v>451</v>
      </c>
      <c r="E31" s="123"/>
    </row>
    <row r="32" spans="1:5" ht="15.75">
      <c r="A32" s="125" t="str">
        <f>inputPrYr!B16</f>
        <v>General</v>
      </c>
      <c r="B32" s="126">
        <v>3371323</v>
      </c>
      <c r="C32" s="122">
        <v>0</v>
      </c>
      <c r="D32" s="542">
        <f>SUM(B32:C32)</f>
        <v>3371323</v>
      </c>
      <c r="E32" s="123"/>
    </row>
    <row r="33" spans="1:5" ht="15.75">
      <c r="A33" s="125" t="str">
        <f>inputPrYr!B17</f>
        <v>Debt Service</v>
      </c>
      <c r="B33" s="71"/>
      <c r="C33" s="122"/>
      <c r="D33" s="542">
        <f aca="true" t="shared" si="0" ref="D33:D63">SUM(B33:C33)</f>
        <v>0</v>
      </c>
      <c r="E33" s="123"/>
    </row>
    <row r="34" spans="1:5" ht="15.75">
      <c r="A34" s="125" t="str">
        <f>inputPrYr!B18</f>
        <v>Road &amp; Bridge</v>
      </c>
      <c r="B34" s="71">
        <v>2174126</v>
      </c>
      <c r="C34" s="543">
        <v>106826</v>
      </c>
      <c r="D34" s="542">
        <f t="shared" si="0"/>
        <v>2280952</v>
      </c>
      <c r="E34" s="119"/>
    </row>
    <row r="35" spans="1:5" ht="15.75">
      <c r="A35" s="125" t="str">
        <f>inputPrYr!B19</f>
        <v>Special bridge</v>
      </c>
      <c r="B35" s="71">
        <v>150000</v>
      </c>
      <c r="C35" s="543">
        <v>78269</v>
      </c>
      <c r="D35" s="542">
        <f t="shared" si="0"/>
        <v>228269</v>
      </c>
      <c r="E35" s="119"/>
    </row>
    <row r="36" spans="1:5" ht="15.75">
      <c r="A36" s="125" t="str">
        <f>inputPrYr!B20</f>
        <v>Fair Building</v>
      </c>
      <c r="B36" s="71">
        <v>22000</v>
      </c>
      <c r="C36" s="543"/>
      <c r="D36" s="542">
        <f t="shared" si="0"/>
        <v>22000</v>
      </c>
      <c r="E36" s="119"/>
    </row>
    <row r="37" spans="1:5" ht="15.75">
      <c r="A37" s="125" t="str">
        <f>inputPrYr!B21</f>
        <v>Conservation</v>
      </c>
      <c r="B37" s="71">
        <v>21000</v>
      </c>
      <c r="C37" s="543"/>
      <c r="D37" s="542">
        <f t="shared" si="0"/>
        <v>21000</v>
      </c>
      <c r="E37" s="119"/>
    </row>
    <row r="38" spans="1:5" ht="15.75">
      <c r="A38" s="125" t="str">
        <f>inputPrYr!B22</f>
        <v>Noxious Weed</v>
      </c>
      <c r="B38" s="71">
        <v>378979</v>
      </c>
      <c r="C38" s="543"/>
      <c r="D38" s="542">
        <f t="shared" si="0"/>
        <v>378979</v>
      </c>
      <c r="E38" s="119"/>
    </row>
    <row r="39" spans="1:5" ht="15.75">
      <c r="A39" s="125" t="str">
        <f>inputPrYr!B23</f>
        <v>Ambulance</v>
      </c>
      <c r="B39" s="71">
        <v>1040677</v>
      </c>
      <c r="C39" s="543">
        <v>21824</v>
      </c>
      <c r="D39" s="542">
        <f t="shared" si="0"/>
        <v>1062501</v>
      </c>
      <c r="E39" s="119"/>
    </row>
    <row r="40" spans="1:5" ht="15.75">
      <c r="A40" s="125" t="str">
        <f>inputPrYr!B24</f>
        <v>Services for the Elderly</v>
      </c>
      <c r="B40" s="71">
        <v>74216</v>
      </c>
      <c r="C40" s="543"/>
      <c r="D40" s="542">
        <f t="shared" si="0"/>
        <v>74216</v>
      </c>
      <c r="E40" s="119"/>
    </row>
    <row r="41" spans="1:5" ht="15.75">
      <c r="A41" s="125" t="str">
        <f>inputPrYr!B25</f>
        <v>Hospital Maintenance</v>
      </c>
      <c r="B41" s="71">
        <v>124031</v>
      </c>
      <c r="C41" s="543"/>
      <c r="D41" s="542">
        <f t="shared" si="0"/>
        <v>124031</v>
      </c>
      <c r="E41" s="119"/>
    </row>
    <row r="42" spans="1:5" ht="15.75">
      <c r="A42" s="125" t="str">
        <f>inputPrYr!B26</f>
        <v>County Health</v>
      </c>
      <c r="B42" s="71">
        <v>837666</v>
      </c>
      <c r="C42" s="543">
        <v>30822</v>
      </c>
      <c r="D42" s="542">
        <f t="shared" si="0"/>
        <v>868488</v>
      </c>
      <c r="E42" s="119"/>
    </row>
    <row r="43" spans="1:5" ht="15.75">
      <c r="A43" s="125" t="str">
        <f>inputPrYr!B27</f>
        <v>Mental Health</v>
      </c>
      <c r="B43" s="71">
        <v>46335</v>
      </c>
      <c r="C43" s="543"/>
      <c r="D43" s="542">
        <f t="shared" si="0"/>
        <v>46335</v>
      </c>
      <c r="E43" s="119"/>
    </row>
    <row r="44" spans="1:5" ht="15.75">
      <c r="A44" s="125" t="str">
        <f>inputPrYr!B28</f>
        <v>Mental Retardation</v>
      </c>
      <c r="B44" s="71">
        <v>50935</v>
      </c>
      <c r="C44" s="543"/>
      <c r="D44" s="542">
        <f t="shared" si="0"/>
        <v>50935</v>
      </c>
      <c r="E44" s="119"/>
    </row>
    <row r="45" spans="1:5" ht="15.75">
      <c r="A45" s="125" t="str">
        <f>inputPrYr!B29</f>
        <v>Election Expense</v>
      </c>
      <c r="B45" s="71">
        <v>35500</v>
      </c>
      <c r="C45" s="543">
        <v>4086</v>
      </c>
      <c r="D45" s="542">
        <f t="shared" si="0"/>
        <v>39586</v>
      </c>
      <c r="E45" s="119"/>
    </row>
    <row r="46" spans="1:5" ht="15.75">
      <c r="A46" s="125" t="str">
        <f>inputPrYr!B30</f>
        <v>Historical Museum</v>
      </c>
      <c r="B46" s="71">
        <v>49000</v>
      </c>
      <c r="C46" s="543"/>
      <c r="D46" s="542">
        <f t="shared" si="0"/>
        <v>49000</v>
      </c>
      <c r="E46" s="119"/>
    </row>
    <row r="47" spans="1:5" ht="15.75">
      <c r="A47" s="125" t="str">
        <f>inputPrYr!B31</f>
        <v>Employee Benefits</v>
      </c>
      <c r="B47" s="71">
        <v>160000</v>
      </c>
      <c r="C47" s="543"/>
      <c r="D47" s="542">
        <f t="shared" si="0"/>
        <v>160000</v>
      </c>
      <c r="E47" s="119"/>
    </row>
    <row r="48" spans="1:5" ht="15.75">
      <c r="A48" s="125" t="str">
        <f>inputPrYr!B32</f>
        <v>Special Reappraisal</v>
      </c>
      <c r="B48" s="71">
        <v>323000</v>
      </c>
      <c r="C48" s="543"/>
      <c r="D48" s="542">
        <f t="shared" si="0"/>
        <v>323000</v>
      </c>
      <c r="E48" s="119"/>
    </row>
    <row r="49" spans="1:5" ht="15.75">
      <c r="A49" s="125"/>
      <c r="B49" s="71"/>
      <c r="C49" s="543"/>
      <c r="D49" s="542">
        <f t="shared" si="0"/>
        <v>0</v>
      </c>
      <c r="E49" s="119"/>
    </row>
    <row r="50" spans="1:5" ht="15.75">
      <c r="A50" s="125"/>
      <c r="B50" s="71"/>
      <c r="C50" s="543"/>
      <c r="D50" s="542">
        <f t="shared" si="0"/>
        <v>0</v>
      </c>
      <c r="E50" s="119"/>
    </row>
    <row r="51" spans="1:5" ht="15.75">
      <c r="A51" s="125" t="str">
        <f>inputPrYr!B37</f>
        <v>Noxious Weed C.O.</v>
      </c>
      <c r="B51" s="71">
        <v>62518</v>
      </c>
      <c r="C51" s="543"/>
      <c r="D51" s="542">
        <f t="shared" si="0"/>
        <v>62518</v>
      </c>
      <c r="E51" s="119"/>
    </row>
    <row r="52" spans="1:5" ht="15.75">
      <c r="A52" s="125" t="str">
        <f>inputPrYr!B38</f>
        <v>Ambulance Spec. Equip.</v>
      </c>
      <c r="B52" s="71">
        <v>126993</v>
      </c>
      <c r="C52" s="543"/>
      <c r="D52" s="542">
        <f t="shared" si="0"/>
        <v>126993</v>
      </c>
      <c r="E52" s="119"/>
    </row>
    <row r="53" spans="1:5" ht="15.75">
      <c r="A53" s="125" t="str">
        <f>inputPrYr!B39</f>
        <v>County Health C.O.</v>
      </c>
      <c r="B53" s="71">
        <v>61996</v>
      </c>
      <c r="C53" s="543"/>
      <c r="D53" s="542">
        <f t="shared" si="0"/>
        <v>61996</v>
      </c>
      <c r="E53" s="119"/>
    </row>
    <row r="54" spans="1:5" ht="15.75">
      <c r="A54" s="125" t="str">
        <f>inputPrYr!B40</f>
        <v>Spec. Reappraisal Equip.</v>
      </c>
      <c r="B54" s="71">
        <v>74500</v>
      </c>
      <c r="C54" s="543"/>
      <c r="D54" s="542">
        <f t="shared" si="0"/>
        <v>74500</v>
      </c>
      <c r="E54" s="119"/>
    </row>
    <row r="55" spans="1:5" ht="15.75">
      <c r="A55" s="125" t="str">
        <f>inputPrYr!B41</f>
        <v>Alcohol Treatment</v>
      </c>
      <c r="B55" s="71">
        <v>15584</v>
      </c>
      <c r="C55" s="543"/>
      <c r="D55" s="542">
        <f t="shared" si="0"/>
        <v>15584</v>
      </c>
      <c r="E55" s="119"/>
    </row>
    <row r="56" spans="1:5" ht="15.75">
      <c r="A56" s="125" t="str">
        <f>inputPrYr!B42</f>
        <v>911 Fund</v>
      </c>
      <c r="B56" s="71">
        <v>119670</v>
      </c>
      <c r="C56" s="543"/>
      <c r="D56" s="542">
        <f t="shared" si="0"/>
        <v>119670</v>
      </c>
      <c r="E56" s="119"/>
    </row>
    <row r="57" spans="1:5" ht="15.75">
      <c r="A57" s="125" t="str">
        <f>inputPrYr!B43</f>
        <v>Emergency 911</v>
      </c>
      <c r="B57" s="71">
        <v>110833</v>
      </c>
      <c r="C57" s="543"/>
      <c r="D57" s="542">
        <f t="shared" si="0"/>
        <v>110833</v>
      </c>
      <c r="E57" s="119"/>
    </row>
    <row r="58" spans="1:5" ht="15.75">
      <c r="A58" s="125" t="str">
        <f>inputPrYr!B44</f>
        <v>Mitchell- 911</v>
      </c>
      <c r="B58" s="71">
        <v>50000</v>
      </c>
      <c r="C58" s="543"/>
      <c r="D58" s="542">
        <f t="shared" si="0"/>
        <v>50000</v>
      </c>
      <c r="E58" s="119"/>
    </row>
    <row r="59" spans="1:5" ht="15.75">
      <c r="A59" s="125" t="str">
        <f>inputPrYr!B45</f>
        <v>Courthouse Technology</v>
      </c>
      <c r="B59" s="71">
        <v>47300</v>
      </c>
      <c r="C59" s="543"/>
      <c r="D59" s="542">
        <f t="shared" si="0"/>
        <v>47300</v>
      </c>
      <c r="E59" s="119"/>
    </row>
    <row r="60" spans="1:5" ht="15.75">
      <c r="A60" s="125" t="str">
        <f>inputPrYr!B46</f>
        <v>Reg. of Deeds Technology</v>
      </c>
      <c r="B60" s="71">
        <v>28573</v>
      </c>
      <c r="C60" s="543"/>
      <c r="D60" s="542">
        <f t="shared" si="0"/>
        <v>28573</v>
      </c>
      <c r="E60" s="119"/>
    </row>
    <row r="61" spans="1:5" ht="15.75">
      <c r="A61" s="125" t="str">
        <f>inputPrYr!B47</f>
        <v>Courthouse Renovation</v>
      </c>
      <c r="B61" s="71">
        <v>96303</v>
      </c>
      <c r="C61" s="543">
        <v>186060</v>
      </c>
      <c r="D61" s="542">
        <f t="shared" si="0"/>
        <v>282363</v>
      </c>
      <c r="E61" s="119"/>
    </row>
    <row r="62" spans="1:5" ht="15.75">
      <c r="A62" s="125" t="str">
        <f>inputPrYr!B48</f>
        <v>Election Technology</v>
      </c>
      <c r="B62" s="71">
        <v>28220</v>
      </c>
      <c r="C62" s="543"/>
      <c r="D62" s="542">
        <f t="shared" si="0"/>
        <v>28220</v>
      </c>
      <c r="E62" s="119"/>
    </row>
    <row r="63" spans="1:5" ht="15.75">
      <c r="A63" s="125" t="str">
        <f>inputPrYr!B49</f>
        <v>Solid Waste</v>
      </c>
      <c r="B63" s="71">
        <v>553000</v>
      </c>
      <c r="C63" s="543"/>
      <c r="D63" s="542">
        <f t="shared" si="0"/>
        <v>553000</v>
      </c>
      <c r="E63" s="119"/>
    </row>
    <row r="64" spans="1:5" ht="15.75">
      <c r="A64" s="125"/>
      <c r="B64" s="71"/>
      <c r="C64" s="543"/>
      <c r="D64" s="119"/>
      <c r="E64" s="119"/>
    </row>
    <row r="65" spans="1:5" ht="15.75">
      <c r="A65" s="125"/>
      <c r="B65" s="71"/>
      <c r="C65" s="543"/>
      <c r="D65" s="119"/>
      <c r="E65" s="119"/>
    </row>
    <row r="66" spans="1:5" ht="15.75">
      <c r="A66" s="125"/>
      <c r="B66" s="71"/>
      <c r="C66" s="543"/>
      <c r="D66" s="119"/>
      <c r="E66" s="119"/>
    </row>
    <row r="67" ht="15.75">
      <c r="C67" s="544"/>
    </row>
    <row r="68" ht="15.75">
      <c r="C68" s="544"/>
    </row>
  </sheetData>
  <sheetProtection/>
  <mergeCells count="4">
    <mergeCell ref="A3:E3"/>
    <mergeCell ref="A26:B26"/>
    <mergeCell ref="B27:B29"/>
    <mergeCell ref="C27:E27"/>
  </mergeCells>
  <printOptions/>
  <pageMargins left="0.75" right="0.75" top="1" bottom="1" header="0.5" footer="0.5"/>
  <pageSetup horizontalDpi="600" verticalDpi="600" orientation="portrait" scale="59" r:id="rId1"/>
</worksheet>
</file>

<file path=xl/worksheets/sheet20.xml><?xml version="1.0" encoding="utf-8"?>
<worksheet xmlns="http://schemas.openxmlformats.org/spreadsheetml/2006/main" xmlns:r="http://schemas.openxmlformats.org/officeDocument/2006/relationships">
  <dimension ref="B1:K88"/>
  <sheetViews>
    <sheetView view="pageBreakPreview" zoomScale="96" zoomScaleSheetLayoutView="96" zoomScalePageLayoutView="0" workbookViewId="0" topLeftCell="A61">
      <selection activeCell="E80" sqref="E80"/>
    </sheetView>
  </sheetViews>
  <sheetFormatPr defaultColWidth="8.796875" defaultRowHeight="15"/>
  <cols>
    <col min="1" max="1" width="2.3984375" style="48" customWidth="1"/>
    <col min="2" max="2" width="31.09765625" style="48" customWidth="1"/>
    <col min="3" max="4" width="15.796875" style="48" customWidth="1"/>
    <col min="5" max="5" width="16.19921875" style="48" customWidth="1"/>
    <col min="6" max="6" width="7.3984375" style="48" customWidth="1"/>
    <col min="7" max="7" width="10.19921875" style="48" customWidth="1"/>
    <col min="8" max="8" width="8.8984375" style="48" customWidth="1"/>
    <col min="9" max="9" width="5" style="48" customWidth="1"/>
    <col min="10" max="10" width="10" style="48" customWidth="1"/>
    <col min="11" max="16384" width="8.8984375" style="48" customWidth="1"/>
  </cols>
  <sheetData>
    <row r="1" spans="2:5" ht="15.75">
      <c r="B1" s="182" t="str">
        <f>(inputPrYr!C2)</f>
        <v>MITCHELL COUNTY</v>
      </c>
      <c r="C1" s="51"/>
      <c r="D1" s="51"/>
      <c r="E1" s="240">
        <f>inputPrYr!C4</f>
        <v>2014</v>
      </c>
    </row>
    <row r="2" spans="2:5" ht="15.75">
      <c r="B2" s="51"/>
      <c r="C2" s="51"/>
      <c r="D2" s="51"/>
      <c r="E2" s="194"/>
    </row>
    <row r="3" spans="2:5" ht="15.75">
      <c r="B3" s="118" t="s">
        <v>155</v>
      </c>
      <c r="C3" s="286"/>
      <c r="D3" s="286"/>
      <c r="E3" s="287"/>
    </row>
    <row r="4" spans="2:5" ht="15.75">
      <c r="B4" s="50" t="s">
        <v>75</v>
      </c>
      <c r="C4" s="511" t="s">
        <v>317</v>
      </c>
      <c r="D4" s="512" t="s">
        <v>318</v>
      </c>
      <c r="E4" s="178" t="s">
        <v>319</v>
      </c>
    </row>
    <row r="5" spans="2:5" ht="15.75">
      <c r="B5" s="393" t="str">
        <f>inputPrYr!B31</f>
        <v>Employee Benefits</v>
      </c>
      <c r="C5" s="366" t="str">
        <f>CONCATENATE("Actual for ",E1-2,"")</f>
        <v>Actual for 2012</v>
      </c>
      <c r="D5" s="366" t="str">
        <f>CONCATENATE("Estimate for ",E1-1,"")</f>
        <v>Estimate for 2013</v>
      </c>
      <c r="E5" s="256" t="str">
        <f>CONCATENATE("Year for ",E1,"")</f>
        <v>Year for 2014</v>
      </c>
    </row>
    <row r="6" spans="2:5" ht="15.75">
      <c r="B6" s="114" t="s">
        <v>197</v>
      </c>
      <c r="C6" s="363">
        <v>192524</v>
      </c>
      <c r="D6" s="367">
        <f>C30</f>
        <v>155319</v>
      </c>
      <c r="E6" s="219">
        <f>D30</f>
        <v>102795</v>
      </c>
    </row>
    <row r="7" spans="2:5" ht="15.75">
      <c r="B7" s="244" t="s">
        <v>199</v>
      </c>
      <c r="C7" s="259"/>
      <c r="D7" s="259"/>
      <c r="E7" s="93"/>
    </row>
    <row r="8" spans="2:5" ht="15.75">
      <c r="B8" s="114" t="s">
        <v>76</v>
      </c>
      <c r="C8" s="363"/>
      <c r="D8" s="367">
        <f>IF(inputPrYr!H31&gt;0,inputPrYr!H31,inputPrYr!E31)</f>
        <v>0</v>
      </c>
      <c r="E8" s="290" t="s">
        <v>62</v>
      </c>
    </row>
    <row r="9" spans="2:5" ht="15.75">
      <c r="B9" s="114" t="s">
        <v>77</v>
      </c>
      <c r="C9" s="363">
        <v>1335</v>
      </c>
      <c r="D9" s="363"/>
      <c r="E9" s="78"/>
    </row>
    <row r="10" spans="2:5" ht="15.75">
      <c r="B10" s="114" t="s">
        <v>78</v>
      </c>
      <c r="C10" s="363"/>
      <c r="D10" s="363"/>
      <c r="E10" s="219" t="str">
        <f>mvalloc!E22</f>
        <v>  </v>
      </c>
    </row>
    <row r="11" spans="2:5" ht="15.75">
      <c r="B11" s="114" t="s">
        <v>79</v>
      </c>
      <c r="C11" s="363"/>
      <c r="D11" s="363"/>
      <c r="E11" s="219" t="str">
        <f>mvalloc!F22</f>
        <v>  </v>
      </c>
    </row>
    <row r="12" spans="2:5" ht="15.75">
      <c r="B12" s="259" t="s">
        <v>148</v>
      </c>
      <c r="C12" s="363"/>
      <c r="D12" s="363"/>
      <c r="E12" s="219" t="str">
        <f>mvalloc!G22</f>
        <v>  </v>
      </c>
    </row>
    <row r="13" spans="2:5" ht="15.75">
      <c r="B13" s="261" t="s">
        <v>373</v>
      </c>
      <c r="C13" s="363"/>
      <c r="D13" s="363"/>
      <c r="E13" s="78"/>
    </row>
    <row r="14" spans="2:5" ht="15.75">
      <c r="B14" s="271" t="s">
        <v>375</v>
      </c>
      <c r="C14" s="363">
        <v>64787</v>
      </c>
      <c r="D14" s="363">
        <v>25000</v>
      </c>
      <c r="E14" s="78">
        <v>25000</v>
      </c>
    </row>
    <row r="15" spans="2:5" ht="15.75">
      <c r="B15" s="271"/>
      <c r="C15" s="363"/>
      <c r="D15" s="363"/>
      <c r="E15" s="78"/>
    </row>
    <row r="16" spans="2:5" ht="15.75">
      <c r="B16" s="262" t="s">
        <v>83</v>
      </c>
      <c r="C16" s="363"/>
      <c r="D16" s="363"/>
      <c r="E16" s="78"/>
    </row>
    <row r="17" spans="2:5" ht="15.75">
      <c r="B17" s="263" t="s">
        <v>37</v>
      </c>
      <c r="C17" s="363"/>
      <c r="D17" s="363"/>
      <c r="E17" s="78"/>
    </row>
    <row r="18" spans="2:5" ht="15.75">
      <c r="B18" s="263" t="s">
        <v>282</v>
      </c>
      <c r="C18" s="364">
        <f>IF(C19*0.1&lt;C17,"Exceed 10% Rule","")</f>
      </c>
      <c r="D18" s="364">
        <f>IF(D19*0.1&lt;D17,"Exceed 10% Rule","")</f>
      </c>
      <c r="E18" s="297">
        <f>IF(E19*0.1+E36&lt;E17,"Exceed 10% Rule","")</f>
      </c>
    </row>
    <row r="19" spans="2:5" ht="15.75">
      <c r="B19" s="265" t="s">
        <v>84</v>
      </c>
      <c r="C19" s="365">
        <f>SUM(C8:C17)</f>
        <v>66122</v>
      </c>
      <c r="D19" s="365">
        <f>SUM(D8:D17)</f>
        <v>25000</v>
      </c>
      <c r="E19" s="305">
        <f>SUM(E8:E17)</f>
        <v>25000</v>
      </c>
    </row>
    <row r="20" spans="2:5" ht="15.75">
      <c r="B20" s="265" t="s">
        <v>85</v>
      </c>
      <c r="C20" s="365">
        <f>C6+C19</f>
        <v>258646</v>
      </c>
      <c r="D20" s="365">
        <f>D6+D19</f>
        <v>180319</v>
      </c>
      <c r="E20" s="305">
        <f>E6+E19</f>
        <v>127795</v>
      </c>
    </row>
    <row r="21" spans="2:5" ht="15.75">
      <c r="B21" s="114" t="s">
        <v>88</v>
      </c>
      <c r="C21" s="263"/>
      <c r="D21" s="263"/>
      <c r="E21" s="74"/>
    </row>
    <row r="22" spans="2:5" ht="15.75">
      <c r="B22" s="271" t="s">
        <v>103</v>
      </c>
      <c r="C22" s="363">
        <v>52547</v>
      </c>
      <c r="D22" s="363">
        <v>77524</v>
      </c>
      <c r="E22" s="78">
        <v>77524</v>
      </c>
    </row>
    <row r="23" spans="2:10" ht="15.75">
      <c r="B23" s="271" t="s">
        <v>446</v>
      </c>
      <c r="C23" s="363">
        <v>50780</v>
      </c>
      <c r="D23" s="363"/>
      <c r="E23" s="78"/>
      <c r="G23" s="604" t="str">
        <f>CONCATENATE("Desired Carryover Into ",E1+1,"")</f>
        <v>Desired Carryover Into 2015</v>
      </c>
      <c r="H23" s="605"/>
      <c r="I23" s="605"/>
      <c r="J23" s="606"/>
    </row>
    <row r="24" spans="2:10" ht="15.75">
      <c r="B24" s="271"/>
      <c r="C24" s="363"/>
      <c r="D24" s="363"/>
      <c r="E24" s="78"/>
      <c r="G24" s="459"/>
      <c r="H24" s="460"/>
      <c r="I24" s="461"/>
      <c r="J24" s="462"/>
    </row>
    <row r="25" spans="2:10" ht="15.75">
      <c r="B25" s="271"/>
      <c r="C25" s="363"/>
      <c r="D25" s="363"/>
      <c r="E25" s="78"/>
      <c r="G25" s="470" t="s">
        <v>315</v>
      </c>
      <c r="H25" s="471"/>
      <c r="I25" s="471"/>
      <c r="J25" s="472" t="e">
        <f>IF(#REF!&gt;0,#REF!-E33,0)</f>
        <v>#REF!</v>
      </c>
    </row>
    <row r="26" spans="2:10" ht="15.75">
      <c r="B26" s="263" t="s">
        <v>39</v>
      </c>
      <c r="C26" s="363"/>
      <c r="D26" s="363"/>
      <c r="E26" s="86"/>
      <c r="G26" s="1"/>
      <c r="H26" s="1"/>
      <c r="I26" s="1"/>
      <c r="J26" s="1"/>
    </row>
    <row r="27" spans="2:10" ht="15.75">
      <c r="B27" s="263" t="s">
        <v>37</v>
      </c>
      <c r="C27" s="363"/>
      <c r="D27" s="363"/>
      <c r="E27" s="78"/>
      <c r="G27" s="604" t="str">
        <f>CONCATENATE("Projected Carryover Into ",E1+1,"")</f>
        <v>Projected Carryover Into 2015</v>
      </c>
      <c r="H27" s="611"/>
      <c r="I27" s="611"/>
      <c r="J27" s="612"/>
    </row>
    <row r="28" spans="2:10" ht="15.75">
      <c r="B28" s="263" t="s">
        <v>281</v>
      </c>
      <c r="C28" s="364">
        <f>IF(C29*0.1&lt;C27,"Exceed 10% Rule","")</f>
      </c>
      <c r="D28" s="364">
        <f>IF(D29*0.1&lt;D27,"Exceed 10% Rule","")</f>
      </c>
      <c r="E28" s="297">
        <f>IF(E29*0.1&lt;E27,"Exceed 10% Rule","")</f>
      </c>
      <c r="G28" s="459"/>
      <c r="H28" s="461"/>
      <c r="I28" s="461"/>
      <c r="J28" s="487"/>
    </row>
    <row r="29" spans="2:10" ht="15.75">
      <c r="B29" s="265" t="s">
        <v>89</v>
      </c>
      <c r="C29" s="365">
        <f>SUM(C22:C27)</f>
        <v>103327</v>
      </c>
      <c r="D29" s="365">
        <f>SUM(D22:D27)</f>
        <v>77524</v>
      </c>
      <c r="E29" s="305">
        <f>SUM(E22:E27)</f>
        <v>77524</v>
      </c>
      <c r="G29" s="488">
        <f>D30</f>
        <v>102795</v>
      </c>
      <c r="H29" s="478" t="str">
        <f>CONCATENATE("",E1-1," Ending Cash Balance (est.)")</f>
        <v>2013 Ending Cash Balance (est.)</v>
      </c>
      <c r="I29" s="489"/>
      <c r="J29" s="487"/>
    </row>
    <row r="30" spans="2:10" ht="15.75">
      <c r="B30" s="114" t="s">
        <v>198</v>
      </c>
      <c r="C30" s="368">
        <f>C20-C29</f>
        <v>155319</v>
      </c>
      <c r="D30" s="368">
        <f>D20-D29</f>
        <v>102795</v>
      </c>
      <c r="E30" s="290" t="s">
        <v>62</v>
      </c>
      <c r="G30" s="488">
        <f>E19</f>
        <v>25000</v>
      </c>
      <c r="H30" s="461" t="str">
        <f>CONCATENATE("",E1," Non-AV Receipts (est.)")</f>
        <v>2014 Non-AV Receipts (est.)</v>
      </c>
      <c r="I30" s="489"/>
      <c r="J30" s="487"/>
    </row>
    <row r="31" spans="2:11" ht="15.75">
      <c r="B31" s="241" t="str">
        <f>CONCATENATE("",E$1-2,"/",E$1-1," Budget Authority Amount:")</f>
        <v>2012/2013 Budget Authority Amount:</v>
      </c>
      <c r="C31" s="233">
        <f>inputOth!B47</f>
        <v>160000</v>
      </c>
      <c r="D31" s="233">
        <f>inputPrYr!D31</f>
        <v>77524</v>
      </c>
      <c r="E31" s="290" t="s">
        <v>62</v>
      </c>
      <c r="F31" s="273"/>
      <c r="G31" s="490">
        <f>IF(E35&gt;0,E34,E36)</f>
        <v>0</v>
      </c>
      <c r="H31" s="461" t="str">
        <f>CONCATENATE("",E1," Ad Valorem Tax (est.)")</f>
        <v>2014 Ad Valorem Tax (est.)</v>
      </c>
      <c r="I31" s="489"/>
      <c r="J31" s="487"/>
      <c r="K31" s="475">
        <f>IF(G31=E36,"","Note: Does not include Delinquent Taxes")</f>
      </c>
    </row>
    <row r="32" spans="2:10" ht="15.75">
      <c r="B32" s="241"/>
      <c r="C32" s="594" t="s">
        <v>284</v>
      </c>
      <c r="D32" s="595"/>
      <c r="E32" s="78"/>
      <c r="F32" s="402">
        <f>IF(E29/0.95-E29&lt;E32,"Exceeds 5%","")</f>
      </c>
      <c r="G32" s="488">
        <f>SUM(G29:G31)</f>
        <v>127795</v>
      </c>
      <c r="H32" s="461" t="str">
        <f>CONCATENATE("Total ",E1," Resources Available")</f>
        <v>Total 2014 Resources Available</v>
      </c>
      <c r="I32" s="489"/>
      <c r="J32" s="487"/>
    </row>
    <row r="33" spans="2:10" ht="15.75">
      <c r="B33" s="406" t="str">
        <f>CONCATENATE(C85,"     ",D85)</f>
        <v>     </v>
      </c>
      <c r="C33" s="596" t="s">
        <v>285</v>
      </c>
      <c r="D33" s="597"/>
      <c r="E33" s="219">
        <f>E29+E32</f>
        <v>77524</v>
      </c>
      <c r="G33" s="491"/>
      <c r="H33" s="461"/>
      <c r="I33" s="461"/>
      <c r="J33" s="487"/>
    </row>
    <row r="34" spans="2:10" ht="15.75">
      <c r="B34" s="406" t="str">
        <f>CONCATENATE(C86,"     ",D86)</f>
        <v>     </v>
      </c>
      <c r="C34" s="274"/>
      <c r="D34" s="194" t="s">
        <v>90</v>
      </c>
      <c r="E34" s="86">
        <f>IF(E33-E20&gt;0,E33-E20,0)</f>
        <v>0</v>
      </c>
      <c r="G34" s="490">
        <f>ROUND(C29*0.05+C29,0)</f>
        <v>108493</v>
      </c>
      <c r="H34" s="461" t="str">
        <f>CONCATENATE("Less ",E1-2," Expenditures + 5%")</f>
        <v>Less 2012 Expenditures + 5%</v>
      </c>
      <c r="I34" s="489"/>
      <c r="J34" s="492"/>
    </row>
    <row r="35" spans="2:10" ht="15.75">
      <c r="B35" s="194"/>
      <c r="C35" s="404" t="s">
        <v>286</v>
      </c>
      <c r="D35" s="458">
        <f>inputOth!$E$23</f>
        <v>0.03</v>
      </c>
      <c r="E35" s="219">
        <f>ROUND(IF(D35&gt;0,($E$34*D35),0),0)</f>
        <v>0</v>
      </c>
      <c r="G35" s="493">
        <f>G32-G34</f>
        <v>19302</v>
      </c>
      <c r="H35" s="494" t="str">
        <f>CONCATENATE("Projected ",E1+1," carryover (est.)")</f>
        <v>Projected 2015 carryover (est.)</v>
      </c>
      <c r="I35" s="495"/>
      <c r="J35" s="496"/>
    </row>
    <row r="36" spans="2:10" ht="15.75">
      <c r="B36" s="51"/>
      <c r="C36" s="602" t="str">
        <f>CONCATENATE("Amount of  ",$E$1-1," Ad Valorem Tax")</f>
        <v>Amount of  2013 Ad Valorem Tax</v>
      </c>
      <c r="D36" s="603"/>
      <c r="E36" s="301">
        <f>E34+E35</f>
        <v>0</v>
      </c>
      <c r="G36" s="1"/>
      <c r="H36" s="1"/>
      <c r="I36" s="1"/>
      <c r="J36" s="1"/>
    </row>
    <row r="37" spans="2:10" ht="15.75">
      <c r="B37" s="51"/>
      <c r="C37" s="280"/>
      <c r="D37" s="280"/>
      <c r="E37" s="280"/>
      <c r="G37" s="607" t="s">
        <v>316</v>
      </c>
      <c r="H37" s="608"/>
      <c r="I37" s="608"/>
      <c r="J37" s="609"/>
    </row>
    <row r="38" spans="2:10" ht="15.75">
      <c r="B38" s="50" t="s">
        <v>75</v>
      </c>
      <c r="C38" s="511" t="str">
        <f aca="true" t="shared" si="0" ref="C38:E39">C4</f>
        <v>Prior Year </v>
      </c>
      <c r="D38" s="512" t="str">
        <f t="shared" si="0"/>
        <v>Current Year </v>
      </c>
      <c r="E38" s="178" t="str">
        <f t="shared" si="0"/>
        <v>Proposed Budget </v>
      </c>
      <c r="G38" s="477"/>
      <c r="H38" s="478"/>
      <c r="I38" s="479"/>
      <c r="J38" s="480"/>
    </row>
    <row r="39" spans="2:10" ht="15.75">
      <c r="B39" s="392" t="str">
        <f>inputPrYr!B32</f>
        <v>Special Reappraisal</v>
      </c>
      <c r="C39" s="366" t="str">
        <f t="shared" si="0"/>
        <v>Actual for 2012</v>
      </c>
      <c r="D39" s="366" t="str">
        <f t="shared" si="0"/>
        <v>Estimate for 2013</v>
      </c>
      <c r="E39" s="256" t="str">
        <f t="shared" si="0"/>
        <v>Year for 2014</v>
      </c>
      <c r="G39" s="481" t="str">
        <f>summ!H31</f>
        <v>  </v>
      </c>
      <c r="H39" s="478" t="str">
        <f>CONCATENATE("",E1," Fund Mill Rate")</f>
        <v>2014 Fund Mill Rate</v>
      </c>
      <c r="I39" s="479"/>
      <c r="J39" s="480"/>
    </row>
    <row r="40" spans="2:10" ht="15.75">
      <c r="B40" s="114" t="s">
        <v>197</v>
      </c>
      <c r="C40" s="363">
        <v>47598</v>
      </c>
      <c r="D40" s="367">
        <f>C68</f>
        <v>56998</v>
      </c>
      <c r="E40" s="219">
        <f>D68</f>
        <v>24560</v>
      </c>
      <c r="G40" s="482" t="str">
        <f>summ!E31</f>
        <v>  </v>
      </c>
      <c r="H40" s="478" t="str">
        <f>CONCATENATE("",E1-1," Fund Mill Rate")</f>
        <v>2013 Fund Mill Rate</v>
      </c>
      <c r="I40" s="479"/>
      <c r="J40" s="480"/>
    </row>
    <row r="41" spans="2:10" ht="15.75">
      <c r="B41" s="257" t="s">
        <v>199</v>
      </c>
      <c r="C41" s="259"/>
      <c r="D41" s="259"/>
      <c r="E41" s="93"/>
      <c r="G41" s="483">
        <f>summ!H53</f>
        <v>96.518</v>
      </c>
      <c r="H41" s="478" t="str">
        <f>CONCATENATE("Total ",E1," Mill Rate")</f>
        <v>Total 2014 Mill Rate</v>
      </c>
      <c r="I41" s="479"/>
      <c r="J41" s="480"/>
    </row>
    <row r="42" spans="2:10" ht="15.75">
      <c r="B42" s="114" t="s">
        <v>76</v>
      </c>
      <c r="C42" s="363">
        <v>287541</v>
      </c>
      <c r="D42" s="367">
        <v>264822</v>
      </c>
      <c r="E42" s="290" t="s">
        <v>62</v>
      </c>
      <c r="G42" s="482">
        <f>summ!E53</f>
        <v>89.61599999999999</v>
      </c>
      <c r="H42" s="484" t="str">
        <f>CONCATENATE("Total ",E1-1," Mill Rate")</f>
        <v>Total 2013 Mill Rate</v>
      </c>
      <c r="I42" s="485"/>
      <c r="J42" s="486"/>
    </row>
    <row r="43" spans="2:10" ht="15.75">
      <c r="B43" s="114" t="s">
        <v>77</v>
      </c>
      <c r="C43" s="363">
        <v>6664</v>
      </c>
      <c r="D43" s="363">
        <v>700</v>
      </c>
      <c r="E43" s="78">
        <v>700</v>
      </c>
      <c r="G43" s="1"/>
      <c r="H43" s="1"/>
      <c r="I43" s="1"/>
      <c r="J43" s="1"/>
    </row>
    <row r="44" spans="2:10" ht="15.75">
      <c r="B44" s="114" t="s">
        <v>78</v>
      </c>
      <c r="C44" s="363">
        <v>29896</v>
      </c>
      <c r="D44" s="363">
        <v>38651</v>
      </c>
      <c r="E44" s="219">
        <f>mvalloc!E23</f>
        <v>34396</v>
      </c>
      <c r="G44" s="531" t="s">
        <v>323</v>
      </c>
      <c r="H44" s="530"/>
      <c r="I44" s="529" t="str">
        <f>cert!E63</f>
        <v>Yes</v>
      </c>
      <c r="J44" s="1"/>
    </row>
    <row r="45" spans="2:10" ht="15.75">
      <c r="B45" s="114" t="s">
        <v>79</v>
      </c>
      <c r="C45" s="363"/>
      <c r="D45" s="363">
        <v>570</v>
      </c>
      <c r="E45" s="219">
        <f>mvalloc!F23</f>
        <v>477</v>
      </c>
      <c r="G45" s="1"/>
      <c r="H45" s="1"/>
      <c r="I45" s="1"/>
      <c r="J45" s="1"/>
    </row>
    <row r="46" spans="2:10" ht="15.75">
      <c r="B46" s="259" t="s">
        <v>148</v>
      </c>
      <c r="C46" s="363"/>
      <c r="D46" s="363">
        <v>4482</v>
      </c>
      <c r="E46" s="219">
        <f>mvalloc!G23</f>
        <v>3909</v>
      </c>
      <c r="G46" s="1"/>
      <c r="H46" s="1"/>
      <c r="I46" s="1"/>
      <c r="J46" s="1"/>
    </row>
    <row r="47" spans="2:10" ht="15.75">
      <c r="B47" s="261" t="s">
        <v>373</v>
      </c>
      <c r="C47" s="545">
        <v>-15096</v>
      </c>
      <c r="D47" s="545">
        <v>-20163</v>
      </c>
      <c r="E47" s="546">
        <v>-24287</v>
      </c>
      <c r="G47" s="1"/>
      <c r="H47" s="1"/>
      <c r="I47" s="1"/>
      <c r="J47" s="1"/>
    </row>
    <row r="48" spans="2:10" ht="15.75">
      <c r="B48" s="271" t="s">
        <v>375</v>
      </c>
      <c r="C48" s="363">
        <v>15947</v>
      </c>
      <c r="D48" s="363">
        <v>13500</v>
      </c>
      <c r="E48" s="78">
        <v>13500</v>
      </c>
      <c r="G48" s="1"/>
      <c r="H48" s="1"/>
      <c r="I48" s="1"/>
      <c r="J48" s="1"/>
    </row>
    <row r="49" spans="2:10" ht="15.75">
      <c r="B49" s="271"/>
      <c r="C49" s="363"/>
      <c r="D49" s="363"/>
      <c r="E49" s="78"/>
      <c r="G49" s="1"/>
      <c r="H49" s="1"/>
      <c r="I49" s="1"/>
      <c r="J49" s="1"/>
    </row>
    <row r="50" spans="2:10" ht="15.75">
      <c r="B50" s="271"/>
      <c r="C50" s="363"/>
      <c r="D50" s="363"/>
      <c r="E50" s="78"/>
      <c r="G50" s="1"/>
      <c r="H50" s="1"/>
      <c r="I50" s="1"/>
      <c r="J50" s="1"/>
    </row>
    <row r="51" spans="2:10" ht="15.75">
      <c r="B51" s="262" t="s">
        <v>83</v>
      </c>
      <c r="C51" s="363"/>
      <c r="D51" s="363"/>
      <c r="E51" s="78"/>
      <c r="G51" s="1"/>
      <c r="H51" s="1"/>
      <c r="I51" s="1"/>
      <c r="J51" s="1"/>
    </row>
    <row r="52" spans="2:10" ht="15.75">
      <c r="B52" s="263" t="s">
        <v>37</v>
      </c>
      <c r="C52" s="363"/>
      <c r="D52" s="363"/>
      <c r="E52" s="78"/>
      <c r="G52" s="1"/>
      <c r="H52" s="1"/>
      <c r="I52" s="1"/>
      <c r="J52" s="1"/>
    </row>
    <row r="53" spans="2:10" ht="15.75">
      <c r="B53" s="263" t="s">
        <v>282</v>
      </c>
      <c r="C53" s="364">
        <f>IF(C54*0.1&lt;C52,"Exceed 10% Rule","")</f>
      </c>
      <c r="D53" s="364">
        <f>IF(D54*0.1&lt;D52,"Exceed 10% Rule","")</f>
      </c>
      <c r="E53" s="297">
        <f>IF(E54*0.1+E74&lt;E52,"Exceed 10% Rule","")</f>
      </c>
      <c r="G53" s="1"/>
      <c r="H53" s="1"/>
      <c r="I53" s="1"/>
      <c r="J53" s="1"/>
    </row>
    <row r="54" spans="2:10" ht="15.75">
      <c r="B54" s="265" t="s">
        <v>84</v>
      </c>
      <c r="C54" s="365">
        <f>SUM(C42:C52)</f>
        <v>324952</v>
      </c>
      <c r="D54" s="365">
        <f>SUM(D42:D52)</f>
        <v>302562</v>
      </c>
      <c r="E54" s="305">
        <f>SUM(E42:E52)</f>
        <v>28695</v>
      </c>
      <c r="G54" s="1"/>
      <c r="H54" s="1"/>
      <c r="I54" s="1"/>
      <c r="J54" s="1"/>
    </row>
    <row r="55" spans="2:10" ht="15.75">
      <c r="B55" s="265" t="s">
        <v>85</v>
      </c>
      <c r="C55" s="365">
        <f>C40+C54</f>
        <v>372550</v>
      </c>
      <c r="D55" s="365">
        <f>D40+D54</f>
        <v>359560</v>
      </c>
      <c r="E55" s="305">
        <f>E40+E54</f>
        <v>53255</v>
      </c>
      <c r="G55" s="1"/>
      <c r="H55" s="1"/>
      <c r="I55" s="1"/>
      <c r="J55" s="1"/>
    </row>
    <row r="56" spans="2:10" ht="15.75">
      <c r="B56" s="114" t="s">
        <v>88</v>
      </c>
      <c r="C56" s="263"/>
      <c r="D56" s="263"/>
      <c r="E56" s="74"/>
      <c r="G56" s="1"/>
      <c r="H56" s="1"/>
      <c r="I56" s="1"/>
      <c r="J56" s="1"/>
    </row>
    <row r="57" spans="2:10" ht="15.75">
      <c r="B57" s="76" t="s">
        <v>397</v>
      </c>
      <c r="C57" s="363">
        <v>173926</v>
      </c>
      <c r="D57" s="363">
        <v>176000</v>
      </c>
      <c r="E57" s="78">
        <v>172000</v>
      </c>
      <c r="G57" s="1"/>
      <c r="H57" s="1"/>
      <c r="I57" s="1"/>
      <c r="J57" s="1"/>
    </row>
    <row r="58" spans="2:10" ht="15.75">
      <c r="B58" s="76" t="s">
        <v>398</v>
      </c>
      <c r="C58" s="363">
        <v>10937</v>
      </c>
      <c r="D58" s="363">
        <v>22000</v>
      </c>
      <c r="E58" s="78">
        <v>17000</v>
      </c>
      <c r="G58" s="604" t="str">
        <f>CONCATENATE("Desired Carryover Into ",E1+1,"")</f>
        <v>Desired Carryover Into 2015</v>
      </c>
      <c r="H58" s="605"/>
      <c r="I58" s="605"/>
      <c r="J58" s="606"/>
    </row>
    <row r="59" spans="2:10" ht="15.75">
      <c r="B59" s="76" t="s">
        <v>399</v>
      </c>
      <c r="C59" s="363">
        <v>8575</v>
      </c>
      <c r="D59" s="363">
        <v>11000</v>
      </c>
      <c r="E59" s="78">
        <v>10000</v>
      </c>
      <c r="G59" s="459"/>
      <c r="H59" s="460"/>
      <c r="I59" s="461"/>
      <c r="J59" s="462"/>
    </row>
    <row r="60" spans="2:10" ht="15.75">
      <c r="B60" s="76" t="s">
        <v>400</v>
      </c>
      <c r="C60" s="363">
        <v>1399</v>
      </c>
      <c r="D60" s="363">
        <v>6000</v>
      </c>
      <c r="E60" s="78">
        <v>6000</v>
      </c>
      <c r="G60" s="463" t="s">
        <v>287</v>
      </c>
      <c r="H60" s="461"/>
      <c r="I60" s="461"/>
      <c r="J60" s="464">
        <v>0</v>
      </c>
    </row>
    <row r="61" spans="2:10" ht="15.75">
      <c r="B61" s="247" t="s">
        <v>103</v>
      </c>
      <c r="C61" s="363">
        <v>120715</v>
      </c>
      <c r="D61" s="363">
        <v>120000</v>
      </c>
      <c r="E61" s="78">
        <v>111000</v>
      </c>
      <c r="G61" s="459" t="s">
        <v>288</v>
      </c>
      <c r="H61" s="460"/>
      <c r="I61" s="460"/>
      <c r="J61" s="465">
        <f>IF(J60=0,"",ROUND((J60+E74-G73)/inputOth!E6*1000,3)-G78)</f>
      </c>
    </row>
    <row r="62" spans="2:10" ht="15.75">
      <c r="B62" s="271" t="s">
        <v>490</v>
      </c>
      <c r="C62" s="363"/>
      <c r="D62" s="363"/>
      <c r="E62" s="78">
        <v>5000</v>
      </c>
      <c r="G62" s="466" t="str">
        <f>CONCATENATE("",E1," Tot Exp/Non-Appr Must Be:")</f>
        <v>2014 Tot Exp/Non-Appr Must Be:</v>
      </c>
      <c r="H62" s="467"/>
      <c r="I62" s="468"/>
      <c r="J62" s="469">
        <f>IF(J60&gt;0,IF(E71&lt;E55,IF(J60=G73,E71,((J60-G73)*(1-D73))+E55),E71+(J60-G73)),0)</f>
        <v>0</v>
      </c>
    </row>
    <row r="63" spans="2:10" ht="15.75">
      <c r="B63" s="271"/>
      <c r="C63" s="363"/>
      <c r="D63" s="363"/>
      <c r="E63" s="78"/>
      <c r="G63" s="470" t="s">
        <v>315</v>
      </c>
      <c r="H63" s="471"/>
      <c r="I63" s="471"/>
      <c r="J63" s="472">
        <f>IF(J60&gt;0,J62-E71,0)</f>
        <v>0</v>
      </c>
    </row>
    <row r="64" spans="2:10" ht="15.75">
      <c r="B64" s="263" t="s">
        <v>39</v>
      </c>
      <c r="C64" s="363"/>
      <c r="D64" s="363"/>
      <c r="E64" s="86"/>
      <c r="G64" s="1"/>
      <c r="H64" s="1"/>
      <c r="I64" s="1"/>
      <c r="J64" s="1"/>
    </row>
    <row r="65" spans="2:10" ht="15.75">
      <c r="B65" s="263" t="s">
        <v>37</v>
      </c>
      <c r="C65" s="363"/>
      <c r="D65" s="363"/>
      <c r="E65" s="78"/>
      <c r="G65" s="604" t="str">
        <f>CONCATENATE("Projected Carryover Into ",E1+1,"")</f>
        <v>Projected Carryover Into 2015</v>
      </c>
      <c r="H65" s="613"/>
      <c r="I65" s="613"/>
      <c r="J65" s="612"/>
    </row>
    <row r="66" spans="2:10" ht="15.75">
      <c r="B66" s="263" t="s">
        <v>281</v>
      </c>
      <c r="C66" s="364">
        <f>IF(C67*0.1&lt;C65,"Exceed 10% Rule","")</f>
      </c>
      <c r="D66" s="364">
        <f>IF(D67*0.1&lt;D65,"Exceed 10% Rule","")</f>
      </c>
      <c r="E66" s="297">
        <f>IF(E67*0.1&lt;E65,"Exceed 10% Rule","")</f>
      </c>
      <c r="G66" s="497"/>
      <c r="H66" s="460"/>
      <c r="I66" s="460"/>
      <c r="J66" s="492"/>
    </row>
    <row r="67" spans="2:10" ht="15.75">
      <c r="B67" s="265" t="s">
        <v>89</v>
      </c>
      <c r="C67" s="365">
        <f>SUM(C57:C65)</f>
        <v>315552</v>
      </c>
      <c r="D67" s="365">
        <f>SUM(D57:D65)</f>
        <v>335000</v>
      </c>
      <c r="E67" s="305">
        <f>SUM(E57:E65)</f>
        <v>321000</v>
      </c>
      <c r="G67" s="488">
        <f>D68</f>
        <v>24560</v>
      </c>
      <c r="H67" s="478" t="str">
        <f>CONCATENATE("",E1-1," Ending Cash Balance (est.)")</f>
        <v>2013 Ending Cash Balance (est.)</v>
      </c>
      <c r="I67" s="489"/>
      <c r="J67" s="492"/>
    </row>
    <row r="68" spans="2:10" ht="15.75">
      <c r="B68" s="114" t="s">
        <v>198</v>
      </c>
      <c r="C68" s="368">
        <f>C55-C67</f>
        <v>56998</v>
      </c>
      <c r="D68" s="368">
        <f>D55-D67</f>
        <v>24560</v>
      </c>
      <c r="E68" s="290" t="s">
        <v>62</v>
      </c>
      <c r="G68" s="488">
        <f>E54</f>
        <v>28695</v>
      </c>
      <c r="H68" s="461" t="str">
        <f>CONCATENATE("",E1," Non-AV Receipts (est.)")</f>
        <v>2014 Non-AV Receipts (est.)</v>
      </c>
      <c r="I68" s="489"/>
      <c r="J68" s="492"/>
    </row>
    <row r="69" spans="2:11" ht="15.75">
      <c r="B69" s="241" t="str">
        <f>CONCATENATE("",E$1-2,"/",E$1-1," Budget Authority Amount:")</f>
        <v>2012/2013 Budget Authority Amount:</v>
      </c>
      <c r="C69" s="233">
        <f>inputOth!B48</f>
        <v>323000</v>
      </c>
      <c r="D69" s="233">
        <f>inputPrYr!D32</f>
        <v>335000</v>
      </c>
      <c r="E69" s="290" t="s">
        <v>62</v>
      </c>
      <c r="F69" s="273"/>
      <c r="G69" s="490">
        <f>IF(E73&gt;0,E72,E74)</f>
        <v>267745</v>
      </c>
      <c r="H69" s="461" t="str">
        <f>CONCATENATE("",E1," Ad Valorem Tax (est.)")</f>
        <v>2014 Ad Valorem Tax (est.)</v>
      </c>
      <c r="I69" s="489"/>
      <c r="J69" s="492"/>
      <c r="K69" s="475" t="str">
        <f>IF(G69=E74,"","Note: Does not include Delinquent Taxes")</f>
        <v>Note: Does not include Delinquent Taxes</v>
      </c>
    </row>
    <row r="70" spans="2:10" ht="15.75">
      <c r="B70" s="241"/>
      <c r="C70" s="594" t="s">
        <v>284</v>
      </c>
      <c r="D70" s="595"/>
      <c r="E70" s="78"/>
      <c r="F70" s="402">
        <f>IF(E67/0.95-E67&lt;E70,"Exceeds 5%","")</f>
      </c>
      <c r="G70" s="498">
        <f>SUM(G67:G69)</f>
        <v>321000</v>
      </c>
      <c r="H70" s="461" t="str">
        <f>CONCATENATE("Total ",E1," Resources Available")</f>
        <v>Total 2014 Resources Available</v>
      </c>
      <c r="I70" s="499"/>
      <c r="J70" s="492"/>
    </row>
    <row r="71" spans="2:10" ht="15.75">
      <c r="B71" s="405" t="str">
        <f>CONCATENATE(C87,"     ",D87)</f>
        <v>     </v>
      </c>
      <c r="C71" s="596" t="s">
        <v>285</v>
      </c>
      <c r="D71" s="597"/>
      <c r="E71" s="219">
        <f>E67+E70</f>
        <v>321000</v>
      </c>
      <c r="G71" s="500"/>
      <c r="H71" s="501"/>
      <c r="I71" s="460"/>
      <c r="J71" s="492"/>
    </row>
    <row r="72" spans="2:10" ht="15.75">
      <c r="B72" s="405" t="str">
        <f>CONCATENATE(C88,"     ",D88)</f>
        <v>     </v>
      </c>
      <c r="C72" s="274"/>
      <c r="D72" s="194" t="s">
        <v>90</v>
      </c>
      <c r="E72" s="86">
        <f>IF(E71-E55&gt;0,E71-E55,0)</f>
        <v>267745</v>
      </c>
      <c r="G72" s="502">
        <f>ROUND(C67*0.05+C67,0)</f>
        <v>331330</v>
      </c>
      <c r="H72" s="461" t="str">
        <f>CONCATENATE("Less ",E1-2," Expenditures + 5%")</f>
        <v>Less 2012 Expenditures + 5%</v>
      </c>
      <c r="I72" s="499"/>
      <c r="J72" s="492"/>
    </row>
    <row r="73" spans="2:10" ht="15.75">
      <c r="B73" s="194"/>
      <c r="C73" s="404" t="s">
        <v>286</v>
      </c>
      <c r="D73" s="458">
        <f>inputOth!$E$23</f>
        <v>0.03</v>
      </c>
      <c r="E73" s="219">
        <f>ROUND(IF(D73&gt;0,($E$72*D73),0),0)</f>
        <v>8032</v>
      </c>
      <c r="G73" s="503">
        <f>G70-G72</f>
        <v>-10330</v>
      </c>
      <c r="H73" s="494" t="str">
        <f>CONCATENATE("Projected ",E1+1," carryover (est.)")</f>
        <v>Projected 2015 carryover (est.)</v>
      </c>
      <c r="I73" s="504"/>
      <c r="J73" s="505"/>
    </row>
    <row r="74" spans="2:10" ht="15.75">
      <c r="B74" s="51"/>
      <c r="C74" s="602" t="str">
        <f>CONCATENATE("Amount of  ",$E$1-1," Ad Valorem Tax")</f>
        <v>Amount of  2013 Ad Valorem Tax</v>
      </c>
      <c r="D74" s="603"/>
      <c r="E74" s="301">
        <f>E72+E73</f>
        <v>275777</v>
      </c>
      <c r="G74" s="1"/>
      <c r="H74" s="1"/>
      <c r="I74" s="1"/>
      <c r="J74" s="1"/>
    </row>
    <row r="75" spans="2:10" ht="15.75">
      <c r="B75" s="241" t="s">
        <v>109</v>
      </c>
      <c r="C75" s="302">
        <v>16</v>
      </c>
      <c r="D75" s="51"/>
      <c r="E75" s="51"/>
      <c r="G75" s="607" t="s">
        <v>316</v>
      </c>
      <c r="H75" s="608"/>
      <c r="I75" s="608"/>
      <c r="J75" s="609"/>
    </row>
    <row r="76" spans="7:10" ht="15.75">
      <c r="G76" s="477"/>
      <c r="H76" s="478"/>
      <c r="I76" s="479"/>
      <c r="J76" s="480"/>
    </row>
    <row r="77" spans="7:10" ht="15.75">
      <c r="G77" s="481">
        <f>summ!H32</f>
        <v>4.067</v>
      </c>
      <c r="H77" s="478" t="str">
        <f>CONCATENATE("",E1," Fund Mill Rate")</f>
        <v>2014 Fund Mill Rate</v>
      </c>
      <c r="I77" s="479"/>
      <c r="J77" s="480"/>
    </row>
    <row r="78" spans="7:10" ht="15.75">
      <c r="G78" s="482">
        <f>summ!E32</f>
        <v>4.328</v>
      </c>
      <c r="H78" s="478" t="str">
        <f>CONCATENATE("",E1-1," Fund Mill Rate")</f>
        <v>2013 Fund Mill Rate</v>
      </c>
      <c r="I78" s="479"/>
      <c r="J78" s="480"/>
    </row>
    <row r="79" spans="7:10" ht="15.75">
      <c r="G79" s="483">
        <f>summ!H53</f>
        <v>96.518</v>
      </c>
      <c r="H79" s="478" t="str">
        <f>CONCATENATE("Total ",E1," Mill Rate")</f>
        <v>Total 2014 Mill Rate</v>
      </c>
      <c r="I79" s="479"/>
      <c r="J79" s="480"/>
    </row>
    <row r="80" spans="7:10" ht="15.75">
      <c r="G80" s="482">
        <f>summ!E53</f>
        <v>89.61599999999999</v>
      </c>
      <c r="H80" s="484" t="str">
        <f>CONCATENATE("Total ",E1-1," Mill Rate")</f>
        <v>Total 2013 Mill Rate</v>
      </c>
      <c r="I80" s="485"/>
      <c r="J80" s="486"/>
    </row>
    <row r="82" spans="7:9" ht="15.75">
      <c r="G82" s="531" t="s">
        <v>323</v>
      </c>
      <c r="H82" s="530"/>
      <c r="I82" s="529" t="str">
        <f>cert!E63</f>
        <v>Yes</v>
      </c>
    </row>
    <row r="85" spans="3:4" ht="15.75" hidden="1">
      <c r="C85" s="48">
        <f>IF(C29&gt;C31,"See Tab A","")</f>
      </c>
      <c r="D85" s="48">
        <f>IF(D29&gt;D31,"See Tab C","")</f>
      </c>
    </row>
    <row r="86" spans="3:4" ht="15.75" hidden="1">
      <c r="C86" s="48">
        <f>IF(C30&lt;0,"See Tab B","")</f>
      </c>
      <c r="D86" s="48">
        <f>IF(D30&lt;0,"See Tab D","")</f>
      </c>
    </row>
    <row r="87" spans="3:4" ht="15.75" hidden="1">
      <c r="C87" s="48">
        <f>IF(C67&gt;C69,"See Tab A","")</f>
      </c>
      <c r="D87" s="48">
        <f>IF(D67&gt;D69,"See Tab C","")</f>
      </c>
    </row>
    <row r="88" spans="3:4" ht="15.75" hidden="1">
      <c r="C88" s="48">
        <f>IF(C68&lt;0,"See Tab B","")</f>
      </c>
      <c r="D88" s="48">
        <f>IF(D68&lt;0,"See Tab D","")</f>
      </c>
    </row>
  </sheetData>
  <sheetProtection/>
  <mergeCells count="12">
    <mergeCell ref="G23:J23"/>
    <mergeCell ref="G27:J27"/>
    <mergeCell ref="G37:J37"/>
    <mergeCell ref="G58:J58"/>
    <mergeCell ref="G65:J65"/>
    <mergeCell ref="G75:J75"/>
    <mergeCell ref="C32:D32"/>
    <mergeCell ref="C33:D33"/>
    <mergeCell ref="C70:D70"/>
    <mergeCell ref="C71:D71"/>
    <mergeCell ref="C74:D74"/>
    <mergeCell ref="C36:D36"/>
  </mergeCells>
  <conditionalFormatting sqref="E65">
    <cfRule type="cellIs" priority="3" dxfId="309" operator="greaterThan" stopIfTrue="1">
      <formula>$E$67*0.1</formula>
    </cfRule>
  </conditionalFormatting>
  <conditionalFormatting sqref="E70">
    <cfRule type="cellIs" priority="4" dxfId="309" operator="greaterThan" stopIfTrue="1">
      <formula>$E$67/0.95-$E$67</formula>
    </cfRule>
  </conditionalFormatting>
  <conditionalFormatting sqref="E32">
    <cfRule type="cellIs" priority="5" dxfId="309" operator="greaterThan" stopIfTrue="1">
      <formula>$E$29/0.95-$E$29</formula>
    </cfRule>
  </conditionalFormatting>
  <conditionalFormatting sqref="E27">
    <cfRule type="cellIs" priority="6" dxfId="309" operator="greaterThan" stopIfTrue="1">
      <formula>$E$29*0.1</formula>
    </cfRule>
  </conditionalFormatting>
  <conditionalFormatting sqref="C68 C30">
    <cfRule type="cellIs" priority="7" dxfId="2" operator="lessThan" stopIfTrue="1">
      <formula>0</formula>
    </cfRule>
  </conditionalFormatting>
  <conditionalFormatting sqref="C67">
    <cfRule type="cellIs" priority="8" dxfId="2" operator="greaterThan" stopIfTrue="1">
      <formula>$C$69</formula>
    </cfRule>
  </conditionalFormatting>
  <conditionalFormatting sqref="D67">
    <cfRule type="cellIs" priority="9" dxfId="2" operator="greaterThan" stopIfTrue="1">
      <formula>$D$69</formula>
    </cfRule>
  </conditionalFormatting>
  <conditionalFormatting sqref="C65">
    <cfRule type="cellIs" priority="10" dxfId="2" operator="greaterThan" stopIfTrue="1">
      <formula>$C$67*0.1</formula>
    </cfRule>
  </conditionalFormatting>
  <conditionalFormatting sqref="D65">
    <cfRule type="cellIs" priority="11" dxfId="2" operator="greaterThan" stopIfTrue="1">
      <formula>$D$67*0.1</formula>
    </cfRule>
  </conditionalFormatting>
  <conditionalFormatting sqref="E52">
    <cfRule type="cellIs" priority="12" dxfId="309" operator="greaterThan" stopIfTrue="1">
      <formula>$E$54*0.1+E74</formula>
    </cfRule>
  </conditionalFormatting>
  <conditionalFormatting sqref="C52">
    <cfRule type="cellIs" priority="13" dxfId="2" operator="greaterThan" stopIfTrue="1">
      <formula>$C$54*0.1</formula>
    </cfRule>
  </conditionalFormatting>
  <conditionalFormatting sqref="D52">
    <cfRule type="cellIs" priority="14" dxfId="2" operator="greaterThan" stopIfTrue="1">
      <formula>$D$54*0.1</formula>
    </cfRule>
  </conditionalFormatting>
  <conditionalFormatting sqref="C29">
    <cfRule type="cellIs" priority="15" dxfId="2" operator="greaterThan" stopIfTrue="1">
      <formula>$C$31</formula>
    </cfRule>
  </conditionalFormatting>
  <conditionalFormatting sqref="D29">
    <cfRule type="cellIs" priority="16" dxfId="2" operator="greaterThan" stopIfTrue="1">
      <formula>$D$31</formula>
    </cfRule>
  </conditionalFormatting>
  <conditionalFormatting sqref="C27">
    <cfRule type="cellIs" priority="17" dxfId="2" operator="greaterThan" stopIfTrue="1">
      <formula>$C$29*0.1</formula>
    </cfRule>
  </conditionalFormatting>
  <conditionalFormatting sqref="D27">
    <cfRule type="cellIs" priority="18" dxfId="2" operator="greaterThan" stopIfTrue="1">
      <formula>$D$29*0.1</formula>
    </cfRule>
  </conditionalFormatting>
  <conditionalFormatting sqref="E17">
    <cfRule type="cellIs" priority="19" dxfId="309" operator="greaterThan" stopIfTrue="1">
      <formula>$E$19*0.1+E36</formula>
    </cfRule>
  </conditionalFormatting>
  <conditionalFormatting sqref="C17">
    <cfRule type="cellIs" priority="20" dxfId="2" operator="greaterThan" stopIfTrue="1">
      <formula>$C$19*0.1</formula>
    </cfRule>
  </conditionalFormatting>
  <conditionalFormatting sqref="D17">
    <cfRule type="cellIs" priority="21" dxfId="2" operator="greaterThan" stopIfTrue="1">
      <formula>$D$19*0.1</formula>
    </cfRule>
  </conditionalFormatting>
  <conditionalFormatting sqref="D68 D30">
    <cfRule type="cellIs" priority="2" dxfId="0" operator="lessThan" stopIfTrue="1">
      <formula>0</formula>
    </cfRule>
  </conditionalFormatting>
  <printOptions/>
  <pageMargins left="1.12" right="0.5" top="0.74" bottom="0.34" header="0.5" footer="0"/>
  <pageSetup blackAndWhite="1" horizontalDpi="120" verticalDpi="120" orientation="portrait" scale="58" r:id="rId1"/>
  <headerFooter alignWithMargins="0">
    <oddHeader>&amp;RState of Kansas
County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6"/>
  <sheetViews>
    <sheetView view="pageBreakPreview" zoomScale="99" zoomScaleSheetLayoutView="99" zoomScalePageLayoutView="0" workbookViewId="0" topLeftCell="A4">
      <selection activeCell="C67" sqref="C67"/>
    </sheetView>
  </sheetViews>
  <sheetFormatPr defaultColWidth="8.796875" defaultRowHeight="15"/>
  <cols>
    <col min="1" max="1" width="2.3984375" style="48" customWidth="1"/>
    <col min="2" max="2" width="31.09765625" style="48" customWidth="1"/>
    <col min="3" max="4" width="15.796875" style="48" customWidth="1"/>
    <col min="5" max="5" width="16.09765625" style="48" customWidth="1"/>
    <col min="6" max="16384" width="8.8984375" style="48" customWidth="1"/>
  </cols>
  <sheetData>
    <row r="1" spans="2:5" ht="15.75">
      <c r="B1" s="182" t="str">
        <f>(inputPrYr!C2)</f>
        <v>MITCHELL COUNTY</v>
      </c>
      <c r="C1" s="51"/>
      <c r="D1" s="51"/>
      <c r="E1" s="240">
        <f>inputPrYr!C4</f>
        <v>2014</v>
      </c>
    </row>
    <row r="2" spans="2:5" ht="15.75">
      <c r="B2" s="51"/>
      <c r="C2" s="51"/>
      <c r="D2" s="51"/>
      <c r="E2" s="194"/>
    </row>
    <row r="3" spans="2:5" ht="15.75">
      <c r="B3" s="118" t="s">
        <v>156</v>
      </c>
      <c r="C3" s="286"/>
      <c r="D3" s="286"/>
      <c r="E3" s="287"/>
    </row>
    <row r="4" spans="2:5" ht="15.75">
      <c r="B4" s="51"/>
      <c r="C4" s="280"/>
      <c r="D4" s="280"/>
      <c r="E4" s="280"/>
    </row>
    <row r="5" spans="2:5" ht="15.75">
      <c r="B5" s="50" t="s">
        <v>75</v>
      </c>
      <c r="C5" s="276" t="str">
        <f>general!C4</f>
        <v>Prior Year </v>
      </c>
      <c r="D5" s="178" t="str">
        <f>general!D4</f>
        <v>Current Year </v>
      </c>
      <c r="E5" s="178" t="str">
        <f>general!E4</f>
        <v>Proposed Budget </v>
      </c>
    </row>
    <row r="6" spans="2:5" ht="15.75">
      <c r="B6" s="393" t="str">
        <f>inputPrYr!B37</f>
        <v>Noxious Weed C.O.</v>
      </c>
      <c r="C6" s="269" t="str">
        <f>general!C5</f>
        <v>Actual for 2012</v>
      </c>
      <c r="D6" s="269" t="str">
        <f>general!D5</f>
        <v>Estimate for 2013</v>
      </c>
      <c r="E6" s="256" t="str">
        <f>general!E5</f>
        <v>Year for 2014</v>
      </c>
    </row>
    <row r="7" spans="2:5" ht="15.75">
      <c r="B7" s="114" t="s">
        <v>197</v>
      </c>
      <c r="C7" s="78">
        <v>92090</v>
      </c>
      <c r="D7" s="219">
        <f>C30</f>
        <v>97541</v>
      </c>
      <c r="E7" s="219">
        <f>D30</f>
        <v>87541</v>
      </c>
    </row>
    <row r="8" spans="2:5" ht="15.75">
      <c r="B8" s="289" t="s">
        <v>199</v>
      </c>
      <c r="C8" s="74"/>
      <c r="D8" s="74"/>
      <c r="E8" s="74"/>
    </row>
    <row r="9" spans="2:5" ht="15.75">
      <c r="B9" s="271" t="s">
        <v>414</v>
      </c>
      <c r="C9" s="78">
        <v>10000</v>
      </c>
      <c r="D9" s="78">
        <v>0</v>
      </c>
      <c r="E9" s="78">
        <v>0</v>
      </c>
    </row>
    <row r="10" spans="2:5" ht="15.75">
      <c r="B10" s="271"/>
      <c r="C10" s="78"/>
      <c r="D10" s="78"/>
      <c r="E10" s="78"/>
    </row>
    <row r="11" spans="2:5" ht="15.75">
      <c r="B11" s="271"/>
      <c r="C11" s="78"/>
      <c r="D11" s="78"/>
      <c r="E11" s="78"/>
    </row>
    <row r="12" spans="2:5" ht="15.75">
      <c r="B12" s="262" t="s">
        <v>83</v>
      </c>
      <c r="C12" s="78"/>
      <c r="D12" s="78"/>
      <c r="E12" s="78"/>
    </row>
    <row r="13" spans="2:5" ht="15.75">
      <c r="B13" s="263" t="s">
        <v>37</v>
      </c>
      <c r="C13" s="78"/>
      <c r="D13" s="258"/>
      <c r="E13" s="258"/>
    </row>
    <row r="14" spans="2:5" ht="15.75">
      <c r="B14" s="263" t="s">
        <v>282</v>
      </c>
      <c r="C14" s="390">
        <f>IF(C15*0.1&lt;C13,"Exceed 10% Rule","")</f>
      </c>
      <c r="D14" s="264">
        <f>IF(D15*0.1&lt;D13,"Exceed 10% Rule","")</f>
      </c>
      <c r="E14" s="264">
        <f>IF(E15*0.1&lt;E13,"Exceed 10% Rule","")</f>
      </c>
    </row>
    <row r="15" spans="2:5" ht="15.75">
      <c r="B15" s="265" t="s">
        <v>84</v>
      </c>
      <c r="C15" s="305">
        <f>SUM(C9:C13)</f>
        <v>10000</v>
      </c>
      <c r="D15" s="305">
        <f>SUM(D9:D13)</f>
        <v>0</v>
      </c>
      <c r="E15" s="305">
        <f>SUM(E9:E13)</f>
        <v>0</v>
      </c>
    </row>
    <row r="16" spans="2:5" ht="15.75">
      <c r="B16" s="265" t="s">
        <v>85</v>
      </c>
      <c r="C16" s="305">
        <f>C15+C7</f>
        <v>102090</v>
      </c>
      <c r="D16" s="305">
        <f>D15+D7</f>
        <v>97541</v>
      </c>
      <c r="E16" s="305">
        <f>E15+E7</f>
        <v>87541</v>
      </c>
    </row>
    <row r="17" spans="2:5" ht="15.75">
      <c r="B17" s="114" t="s">
        <v>88</v>
      </c>
      <c r="C17" s="219"/>
      <c r="D17" s="219"/>
      <c r="E17" s="219"/>
    </row>
    <row r="18" spans="2:5" ht="15.75">
      <c r="B18" s="271" t="s">
        <v>415</v>
      </c>
      <c r="C18" s="78">
        <v>4549</v>
      </c>
      <c r="D18" s="78">
        <v>10000</v>
      </c>
      <c r="E18" s="78">
        <v>87541</v>
      </c>
    </row>
    <row r="19" spans="2:5" ht="15.75">
      <c r="B19" s="271"/>
      <c r="C19" s="78"/>
      <c r="D19" s="78"/>
      <c r="E19" s="78"/>
    </row>
    <row r="20" spans="2:5" ht="15.75">
      <c r="B20" s="271"/>
      <c r="C20" s="78"/>
      <c r="D20" s="78"/>
      <c r="E20" s="78"/>
    </row>
    <row r="21" spans="2:5" ht="15.75">
      <c r="B21" s="271"/>
      <c r="C21" s="78"/>
      <c r="D21" s="78"/>
      <c r="E21" s="78"/>
    </row>
    <row r="22" spans="2:5" ht="15.75">
      <c r="B22" s="271"/>
      <c r="C22" s="78"/>
      <c r="D22" s="78"/>
      <c r="E22" s="78"/>
    </row>
    <row r="23" spans="2:5" ht="15.75">
      <c r="B23" s="271"/>
      <c r="C23" s="78"/>
      <c r="D23" s="78"/>
      <c r="E23" s="78"/>
    </row>
    <row r="24" spans="2:5" ht="15.75">
      <c r="B24" s="271"/>
      <c r="C24" s="78"/>
      <c r="D24" s="78"/>
      <c r="E24" s="78"/>
    </row>
    <row r="25" spans="2:5" ht="15.75">
      <c r="B25" s="271"/>
      <c r="C25" s="78"/>
      <c r="D25" s="78"/>
      <c r="E25" s="78"/>
    </row>
    <row r="26" spans="2:5" ht="15.75">
      <c r="B26" s="271"/>
      <c r="C26" s="78"/>
      <c r="D26" s="78"/>
      <c r="E26" s="78"/>
    </row>
    <row r="27" spans="2:5" ht="15.75">
      <c r="B27" s="263" t="s">
        <v>37</v>
      </c>
      <c r="C27" s="78"/>
      <c r="D27" s="258"/>
      <c r="E27" s="258"/>
    </row>
    <row r="28" spans="2:5" ht="15.75">
      <c r="B28" s="263" t="s">
        <v>281</v>
      </c>
      <c r="C28" s="390">
        <f>IF(C29*0.1&lt;C27,"Exceed 10% Rule","")</f>
      </c>
      <c r="D28" s="264">
        <f>IF(D29*0.1&lt;D27,"Exceed 10% Rule","")</f>
      </c>
      <c r="E28" s="264">
        <f>IF(E29*0.1&lt;E27,"Exceed 10% Rule","")</f>
      </c>
    </row>
    <row r="29" spans="2:5" ht="15.75">
      <c r="B29" s="265" t="s">
        <v>89</v>
      </c>
      <c r="C29" s="305">
        <f>SUM(C18:C27)</f>
        <v>4549</v>
      </c>
      <c r="D29" s="305">
        <f>SUM(D18:D27)</f>
        <v>10000</v>
      </c>
      <c r="E29" s="305">
        <f>SUM(E18:E27)</f>
        <v>87541</v>
      </c>
    </row>
    <row r="30" spans="2:5" ht="15.75">
      <c r="B30" s="114" t="s">
        <v>198</v>
      </c>
      <c r="C30" s="86">
        <f>C16-C29</f>
        <v>97541</v>
      </c>
      <c r="D30" s="86">
        <f>D16-D29</f>
        <v>87541</v>
      </c>
      <c r="E30" s="86">
        <f>E16-E29</f>
        <v>0</v>
      </c>
    </row>
    <row r="31" spans="2:5" ht="15.75">
      <c r="B31" s="241" t="str">
        <f>CONCATENATE("",E$1-2,"/",E$1-1," Budget Authority Amount:")</f>
        <v>2012/2013 Budget Authority Amount:</v>
      </c>
      <c r="C31" s="233">
        <f>inputOth!B51</f>
        <v>62518</v>
      </c>
      <c r="D31" s="233">
        <f>inputPrYr!D37</f>
        <v>67090</v>
      </c>
      <c r="E31" s="389">
        <f>IF(E30&lt;0,"See Tab E","")</f>
      </c>
    </row>
    <row r="32" spans="2:5" ht="15.75">
      <c r="B32" s="241"/>
      <c r="C32" s="274">
        <f>IF(C29&gt;C31,"See Tab A","")</f>
      </c>
      <c r="D32" s="274">
        <f>IF(D29&gt;D31,"See Tab C","")</f>
      </c>
      <c r="E32" s="111"/>
    </row>
    <row r="33" spans="2:5" ht="15.75">
      <c r="B33" s="241"/>
      <c r="C33" s="274">
        <f>IF(C30&lt;0,"See Tab B","")</f>
      </c>
      <c r="D33" s="274">
        <f>IF(D30&lt;0,"See Tab D","")</f>
      </c>
      <c r="E33" s="111"/>
    </row>
    <row r="34" spans="2:5" ht="15.75">
      <c r="B34" s="51"/>
      <c r="C34" s="111"/>
      <c r="D34" s="111"/>
      <c r="E34" s="111"/>
    </row>
    <row r="35" spans="2:5" ht="15.75">
      <c r="B35" s="50" t="s">
        <v>75</v>
      </c>
      <c r="C35" s="280"/>
      <c r="D35" s="280"/>
      <c r="E35" s="280"/>
    </row>
    <row r="36" spans="2:5" ht="15.75">
      <c r="B36" s="51"/>
      <c r="C36" s="276" t="str">
        <f aca="true" t="shared" si="0" ref="C36:E37">C5</f>
        <v>Prior Year </v>
      </c>
      <c r="D36" s="178" t="str">
        <f t="shared" si="0"/>
        <v>Current Year </v>
      </c>
      <c r="E36" s="178" t="str">
        <f t="shared" si="0"/>
        <v>Proposed Budget </v>
      </c>
    </row>
    <row r="37" spans="2:5" ht="15.75">
      <c r="B37" s="392" t="str">
        <f>inputPrYr!B38</f>
        <v>Ambulance Spec. Equip.</v>
      </c>
      <c r="C37" s="269" t="str">
        <f t="shared" si="0"/>
        <v>Actual for 2012</v>
      </c>
      <c r="D37" s="269" t="str">
        <f t="shared" si="0"/>
        <v>Estimate for 2013</v>
      </c>
      <c r="E37" s="256" t="str">
        <f t="shared" si="0"/>
        <v>Year for 2014</v>
      </c>
    </row>
    <row r="38" spans="2:5" ht="15.75">
      <c r="B38" s="114" t="s">
        <v>197</v>
      </c>
      <c r="C38" s="78">
        <v>78986</v>
      </c>
      <c r="D38" s="219">
        <f>C61</f>
        <v>104978</v>
      </c>
      <c r="E38" s="219">
        <f>D61</f>
        <v>114978</v>
      </c>
    </row>
    <row r="39" spans="2:5" ht="15.75">
      <c r="B39" s="114" t="s">
        <v>199</v>
      </c>
      <c r="C39" s="74"/>
      <c r="D39" s="74"/>
      <c r="E39" s="74"/>
    </row>
    <row r="40" spans="2:5" ht="15.75">
      <c r="B40" s="271" t="s">
        <v>416</v>
      </c>
      <c r="C40" s="78">
        <v>59000</v>
      </c>
      <c r="D40" s="78">
        <v>60000</v>
      </c>
      <c r="E40" s="78">
        <v>60000</v>
      </c>
    </row>
    <row r="41" spans="2:5" ht="15.75">
      <c r="B41" s="271"/>
      <c r="C41" s="78"/>
      <c r="D41" s="78"/>
      <c r="E41" s="78"/>
    </row>
    <row r="42" spans="2:5" ht="15.75">
      <c r="B42" s="271"/>
      <c r="C42" s="78"/>
      <c r="D42" s="78"/>
      <c r="E42" s="78"/>
    </row>
    <row r="43" spans="2:5" ht="15.75">
      <c r="B43" s="262" t="s">
        <v>83</v>
      </c>
      <c r="C43" s="78"/>
      <c r="D43" s="78"/>
      <c r="E43" s="78"/>
    </row>
    <row r="44" spans="2:5" ht="15.75">
      <c r="B44" s="263" t="s">
        <v>37</v>
      </c>
      <c r="C44" s="78"/>
      <c r="D44" s="258"/>
      <c r="E44" s="258"/>
    </row>
    <row r="45" spans="2:5" ht="15.75">
      <c r="B45" s="263" t="s">
        <v>282</v>
      </c>
      <c r="C45" s="390">
        <f>IF(C46*0.1&lt;C44,"Exceed 10% Rule","")</f>
      </c>
      <c r="D45" s="264">
        <f>IF(D46*0.1&lt;D44,"Exceed 10% Rule","")</f>
      </c>
      <c r="E45" s="264">
        <f>IF(E46*0.1&lt;E44,"Exceed 10% Rule","")</f>
      </c>
    </row>
    <row r="46" spans="2:5" ht="15.75">
      <c r="B46" s="265" t="s">
        <v>84</v>
      </c>
      <c r="C46" s="305">
        <f>SUM(C40:C44)</f>
        <v>59000</v>
      </c>
      <c r="D46" s="305">
        <f>SUM(D40:D44)</f>
        <v>60000</v>
      </c>
      <c r="E46" s="305">
        <f>SUM(E40:E44)</f>
        <v>60000</v>
      </c>
    </row>
    <row r="47" spans="2:5" ht="15.75">
      <c r="B47" s="265" t="s">
        <v>85</v>
      </c>
      <c r="C47" s="305">
        <f>C38+C46</f>
        <v>137986</v>
      </c>
      <c r="D47" s="305">
        <f>D38+D46</f>
        <v>164978</v>
      </c>
      <c r="E47" s="305">
        <f>E38+E46</f>
        <v>174978</v>
      </c>
    </row>
    <row r="48" spans="2:5" ht="15.75">
      <c r="B48" s="114" t="s">
        <v>88</v>
      </c>
      <c r="C48" s="219"/>
      <c r="D48" s="219"/>
      <c r="E48" s="219"/>
    </row>
    <row r="49" spans="2:5" ht="15.75">
      <c r="B49" s="271" t="s">
        <v>415</v>
      </c>
      <c r="C49" s="78">
        <v>33008</v>
      </c>
      <c r="D49" s="78">
        <v>50000</v>
      </c>
      <c r="E49" s="78">
        <v>174978</v>
      </c>
    </row>
    <row r="50" spans="2:5" ht="15.75">
      <c r="B50" s="271"/>
      <c r="C50" s="78"/>
      <c r="D50" s="78"/>
      <c r="E50" s="78"/>
    </row>
    <row r="51" spans="2:5" ht="15.75">
      <c r="B51" s="271"/>
      <c r="C51" s="78"/>
      <c r="D51" s="78"/>
      <c r="E51" s="78"/>
    </row>
    <row r="52" spans="2:5" ht="15.75">
      <c r="B52" s="271"/>
      <c r="C52" s="78"/>
      <c r="D52" s="78"/>
      <c r="E52" s="78"/>
    </row>
    <row r="53" spans="2:5" ht="15.75">
      <c r="B53" s="271"/>
      <c r="C53" s="78"/>
      <c r="D53" s="78"/>
      <c r="E53" s="78"/>
    </row>
    <row r="54" spans="2:5" ht="15.75">
      <c r="B54" s="271"/>
      <c r="C54" s="78"/>
      <c r="D54" s="78"/>
      <c r="E54" s="78"/>
    </row>
    <row r="55" spans="2:5" ht="15.75">
      <c r="B55" s="271"/>
      <c r="C55" s="78"/>
      <c r="D55" s="78"/>
      <c r="E55" s="78"/>
    </row>
    <row r="56" spans="2:5" ht="15.75">
      <c r="B56" s="271"/>
      <c r="C56" s="78"/>
      <c r="D56" s="78"/>
      <c r="E56" s="78"/>
    </row>
    <row r="57" spans="2:5" ht="15.75">
      <c r="B57" s="271"/>
      <c r="C57" s="78"/>
      <c r="D57" s="78"/>
      <c r="E57" s="78"/>
    </row>
    <row r="58" spans="2:5" ht="15.75">
      <c r="B58" s="263" t="s">
        <v>37</v>
      </c>
      <c r="C58" s="78"/>
      <c r="D58" s="258"/>
      <c r="E58" s="258"/>
    </row>
    <row r="59" spans="2:5" ht="15.75">
      <c r="B59" s="263" t="s">
        <v>281</v>
      </c>
      <c r="C59" s="390">
        <f>IF(C60*0.1&lt;C58,"Exceed 10% Rule","")</f>
      </c>
      <c r="D59" s="264">
        <f>IF(D60*0.1&lt;D58,"Exceed 10% Rule","")</f>
      </c>
      <c r="E59" s="264">
        <f>IF(E60*0.1&lt;E58,"Exceed 10% Rule","")</f>
      </c>
    </row>
    <row r="60" spans="2:5" ht="15.75">
      <c r="B60" s="265" t="s">
        <v>89</v>
      </c>
      <c r="C60" s="305">
        <f>SUM(C49:C58)</f>
        <v>33008</v>
      </c>
      <c r="D60" s="305">
        <f>SUM(D49:D58)</f>
        <v>50000</v>
      </c>
      <c r="E60" s="305">
        <f>SUM(E49:E58)</f>
        <v>174978</v>
      </c>
    </row>
    <row r="61" spans="2:5" ht="15.75">
      <c r="B61" s="114" t="s">
        <v>198</v>
      </c>
      <c r="C61" s="86">
        <f>C47-C60</f>
        <v>104978</v>
      </c>
      <c r="D61" s="86">
        <f>D47-D60</f>
        <v>114978</v>
      </c>
      <c r="E61" s="86">
        <f>E47-E60</f>
        <v>0</v>
      </c>
    </row>
    <row r="62" spans="2:5" ht="15.75">
      <c r="B62" s="241" t="str">
        <f>CONCATENATE("",E$1-2,"/",E$1-1," Budget Authority Amount:")</f>
        <v>2012/2013 Budget Authority Amount:</v>
      </c>
      <c r="C62" s="233">
        <f>inputOth!B52</f>
        <v>126993</v>
      </c>
      <c r="D62" s="233">
        <f>inputPrYr!D38</f>
        <v>153986</v>
      </c>
      <c r="E62" s="388">
        <f>IF(E61&lt;0,"See Tab E","")</f>
      </c>
    </row>
    <row r="63" spans="2:5" ht="15.75">
      <c r="B63" s="241"/>
      <c r="C63" s="274">
        <f>IF(C60&gt;C62,"See Tab A","")</f>
      </c>
      <c r="D63" s="274">
        <f>IF(D60&gt;D62,"See Tab C","")</f>
      </c>
      <c r="E63" s="51"/>
    </row>
    <row r="64" spans="2:5" ht="15.75">
      <c r="B64" s="241"/>
      <c r="C64" s="274">
        <f>IF(C61&lt;0,"See Tab B","")</f>
      </c>
      <c r="D64" s="274">
        <f>IF(D61&lt;0,"See Tab D","")</f>
      </c>
      <c r="E64" s="51"/>
    </row>
    <row r="65" spans="2:5" ht="15.75">
      <c r="B65" s="51"/>
      <c r="C65" s="51"/>
      <c r="D65" s="51"/>
      <c r="E65" s="51"/>
    </row>
    <row r="66" spans="2:5" ht="15.75">
      <c r="B66" s="241" t="s">
        <v>109</v>
      </c>
      <c r="C66" s="302">
        <v>17</v>
      </c>
      <c r="D66" s="51"/>
      <c r="E66" s="51"/>
    </row>
  </sheetData>
  <sheetProtection sheet="1"/>
  <conditionalFormatting sqref="C27">
    <cfRule type="cellIs" priority="7" dxfId="309" operator="greaterThan" stopIfTrue="1">
      <formula>$C$29*0.1</formula>
    </cfRule>
  </conditionalFormatting>
  <conditionalFormatting sqref="D27">
    <cfRule type="cellIs" priority="8" dxfId="309" operator="greaterThan" stopIfTrue="1">
      <formula>$D$29*0.1</formula>
    </cfRule>
  </conditionalFormatting>
  <conditionalFormatting sqref="E27">
    <cfRule type="cellIs" priority="9" dxfId="309" operator="greaterThan" stopIfTrue="1">
      <formula>$E$29*0.1</formula>
    </cfRule>
  </conditionalFormatting>
  <conditionalFormatting sqref="C13">
    <cfRule type="cellIs" priority="10" dxfId="309" operator="greaterThan" stopIfTrue="1">
      <formula>$C$15*0.1</formula>
    </cfRule>
  </conditionalFormatting>
  <conditionalFormatting sqref="D13">
    <cfRule type="cellIs" priority="11" dxfId="309" operator="greaterThan" stopIfTrue="1">
      <formula>$D$15*0.1</formula>
    </cfRule>
  </conditionalFormatting>
  <conditionalFormatting sqref="E13">
    <cfRule type="cellIs" priority="12" dxfId="309" operator="greaterThan" stopIfTrue="1">
      <formula>$E$15*0.1</formula>
    </cfRule>
  </conditionalFormatting>
  <conditionalFormatting sqref="C44">
    <cfRule type="cellIs" priority="13" dxfId="309" operator="greaterThan" stopIfTrue="1">
      <formula>$C$46*0.1</formula>
    </cfRule>
  </conditionalFormatting>
  <conditionalFormatting sqref="D44">
    <cfRule type="cellIs" priority="14" dxfId="309" operator="greaterThan" stopIfTrue="1">
      <formula>$D$46*0.1</formula>
    </cfRule>
  </conditionalFormatting>
  <conditionalFormatting sqref="E44">
    <cfRule type="cellIs" priority="15" dxfId="309" operator="greaterThan" stopIfTrue="1">
      <formula>$E$46*0.1</formula>
    </cfRule>
  </conditionalFormatting>
  <conditionalFormatting sqref="C58">
    <cfRule type="cellIs" priority="16" dxfId="309" operator="greaterThan" stopIfTrue="1">
      <formula>$C$60*0.1</formula>
    </cfRule>
  </conditionalFormatting>
  <conditionalFormatting sqref="D58">
    <cfRule type="cellIs" priority="17" dxfId="309" operator="greaterThan" stopIfTrue="1">
      <formula>$D$60*0.1</formula>
    </cfRule>
  </conditionalFormatting>
  <conditionalFormatting sqref="E58">
    <cfRule type="cellIs" priority="18" dxfId="309" operator="greaterThan" stopIfTrue="1">
      <formula>$E$60*0.1</formula>
    </cfRule>
  </conditionalFormatting>
  <conditionalFormatting sqref="E61 C61 E30">
    <cfRule type="cellIs" priority="19" dxfId="2" operator="lessThan" stopIfTrue="1">
      <formula>0</formula>
    </cfRule>
  </conditionalFormatting>
  <conditionalFormatting sqref="D60">
    <cfRule type="cellIs" priority="20" dxfId="2" operator="greaterThan" stopIfTrue="1">
      <formula>$D$62</formula>
    </cfRule>
  </conditionalFormatting>
  <conditionalFormatting sqref="C60">
    <cfRule type="cellIs" priority="21" dxfId="2" operator="greaterThan" stopIfTrue="1">
      <formula>$C$62</formula>
    </cfRule>
  </conditionalFormatting>
  <conditionalFormatting sqref="C29">
    <cfRule type="cellIs" priority="6" dxfId="0" operator="greaterThan" stopIfTrue="1">
      <formula>$C$31</formula>
    </cfRule>
  </conditionalFormatting>
  <conditionalFormatting sqref="D29">
    <cfRule type="cellIs" priority="5" dxfId="0" operator="greaterThan" stopIfTrue="1">
      <formula>$D$31</formula>
    </cfRule>
  </conditionalFormatting>
  <conditionalFormatting sqref="C30">
    <cfRule type="cellIs" priority="4" dxfId="0" operator="lessThan" stopIfTrue="1">
      <formula>0</formula>
    </cfRule>
  </conditionalFormatting>
  <conditionalFormatting sqref="D30">
    <cfRule type="cellIs" priority="2" dxfId="0" operator="lessThan" stopIfTrue="1">
      <formula>0</formula>
    </cfRule>
    <cfRule type="cellIs" priority="3" dxfId="0" operator="lessThan" stopIfTrue="1">
      <formula>0</formula>
    </cfRule>
  </conditionalFormatting>
  <conditionalFormatting sqref="D61">
    <cfRule type="cellIs" priority="1" dxfId="0" operator="lessThan" stopIfTrue="1">
      <formula>0</formula>
    </cfRule>
  </conditionalFormatting>
  <printOptions/>
  <pageMargins left="1.12" right="0.5" top="0.74" bottom="0.34" header="0.5" footer="0"/>
  <pageSetup blackAndWhite="1" fitToHeight="1" fitToWidth="1" horizontalDpi="120" verticalDpi="120" orientation="portrait" scale="66" r:id="rId1"/>
  <headerFooter alignWithMargins="0">
    <oddHeader>&amp;RState of Kansas
County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66"/>
  <sheetViews>
    <sheetView view="pageBreakPreview" zoomScale="98" zoomScaleSheetLayoutView="98" zoomScalePageLayoutView="0" workbookViewId="0" topLeftCell="A42">
      <selection activeCell="E50" sqref="E50"/>
    </sheetView>
  </sheetViews>
  <sheetFormatPr defaultColWidth="8.796875" defaultRowHeight="15"/>
  <cols>
    <col min="1" max="1" width="2.3984375" style="48" customWidth="1"/>
    <col min="2" max="2" width="31.09765625" style="48" customWidth="1"/>
    <col min="3" max="4" width="15.796875" style="48" customWidth="1"/>
    <col min="5" max="5" width="16.09765625" style="48" customWidth="1"/>
    <col min="6" max="16384" width="8.8984375" style="48" customWidth="1"/>
  </cols>
  <sheetData>
    <row r="1" spans="2:5" ht="15.75">
      <c r="B1" s="182" t="str">
        <f>(inputPrYr!C2)</f>
        <v>MITCHELL COUNTY</v>
      </c>
      <c r="C1" s="51"/>
      <c r="D1" s="51"/>
      <c r="E1" s="240">
        <f>inputPrYr!C4</f>
        <v>2014</v>
      </c>
    </row>
    <row r="2" spans="2:5" ht="15.75">
      <c r="B2" s="51"/>
      <c r="C2" s="51"/>
      <c r="D2" s="51"/>
      <c r="E2" s="194"/>
    </row>
    <row r="3" spans="2:5" ht="15.75">
      <c r="B3" s="118" t="s">
        <v>156</v>
      </c>
      <c r="C3" s="286"/>
      <c r="D3" s="286"/>
      <c r="E3" s="287"/>
    </row>
    <row r="4" spans="2:5" ht="15.75">
      <c r="B4" s="51"/>
      <c r="C4" s="280"/>
      <c r="D4" s="280"/>
      <c r="E4" s="280"/>
    </row>
    <row r="5" spans="2:5" ht="15.75">
      <c r="B5" s="50" t="s">
        <v>75</v>
      </c>
      <c r="C5" s="276" t="str">
        <f>general!C4</f>
        <v>Prior Year </v>
      </c>
      <c r="D5" s="178" t="str">
        <f>general!D4</f>
        <v>Current Year </v>
      </c>
      <c r="E5" s="178" t="str">
        <f>general!E4</f>
        <v>Proposed Budget </v>
      </c>
    </row>
    <row r="6" spans="2:5" ht="15.75">
      <c r="B6" s="393" t="str">
        <f>inputPrYr!B39</f>
        <v>County Health C.O.</v>
      </c>
      <c r="C6" s="269" t="str">
        <f>general!C5</f>
        <v>Actual for 2012</v>
      </c>
      <c r="D6" s="269" t="str">
        <f>general!D5</f>
        <v>Estimate for 2013</v>
      </c>
      <c r="E6" s="256" t="str">
        <f>general!E5</f>
        <v>Year for 2014</v>
      </c>
    </row>
    <row r="7" spans="2:5" ht="15.75">
      <c r="B7" s="114" t="s">
        <v>197</v>
      </c>
      <c r="C7" s="78">
        <v>67977</v>
      </c>
      <c r="D7" s="219">
        <f>C30</f>
        <v>76231</v>
      </c>
      <c r="E7" s="219">
        <f>D30</f>
        <v>56231</v>
      </c>
    </row>
    <row r="8" spans="2:5" ht="15.75">
      <c r="B8" s="289" t="s">
        <v>199</v>
      </c>
      <c r="C8" s="74"/>
      <c r="D8" s="74"/>
      <c r="E8" s="74"/>
    </row>
    <row r="9" spans="2:5" ht="15.75">
      <c r="B9" s="271" t="s">
        <v>444</v>
      </c>
      <c r="C9" s="78">
        <v>10000</v>
      </c>
      <c r="D9" s="78">
        <v>0</v>
      </c>
      <c r="E9" s="78">
        <v>0</v>
      </c>
    </row>
    <row r="10" spans="2:5" ht="15.75">
      <c r="B10" s="271"/>
      <c r="C10" s="78"/>
      <c r="D10" s="78"/>
      <c r="E10" s="78"/>
    </row>
    <row r="11" spans="2:5" ht="15.75">
      <c r="B11" s="271"/>
      <c r="C11" s="78"/>
      <c r="D11" s="78"/>
      <c r="E11" s="78"/>
    </row>
    <row r="12" spans="2:5" ht="15.75">
      <c r="B12" s="262" t="s">
        <v>83</v>
      </c>
      <c r="C12" s="78"/>
      <c r="D12" s="78"/>
      <c r="E12" s="78"/>
    </row>
    <row r="13" spans="2:5" ht="15.75">
      <c r="B13" s="263" t="s">
        <v>37</v>
      </c>
      <c r="C13" s="78"/>
      <c r="D13" s="258"/>
      <c r="E13" s="258"/>
    </row>
    <row r="14" spans="2:5" ht="15.75">
      <c r="B14" s="263" t="s">
        <v>282</v>
      </c>
      <c r="C14" s="390">
        <f>IF(C15*0.1&lt;C13,"Exceed 10% Rule","")</f>
      </c>
      <c r="D14" s="264">
        <f>IF(D15*0.1&lt;D13,"Exceed 10% Rule","")</f>
      </c>
      <c r="E14" s="264">
        <f>IF(E15*0.1&lt;E13,"Exceed 10% Rule","")</f>
      </c>
    </row>
    <row r="15" spans="2:5" ht="15.75">
      <c r="B15" s="265" t="s">
        <v>84</v>
      </c>
      <c r="C15" s="305">
        <f>SUM(C9:C13)</f>
        <v>10000</v>
      </c>
      <c r="D15" s="305">
        <f>SUM(D9:D13)</f>
        <v>0</v>
      </c>
      <c r="E15" s="305">
        <f>SUM(E9:E13)</f>
        <v>0</v>
      </c>
    </row>
    <row r="16" spans="2:5" ht="15.75">
      <c r="B16" s="265" t="s">
        <v>85</v>
      </c>
      <c r="C16" s="305">
        <f>C15+C7</f>
        <v>77977</v>
      </c>
      <c r="D16" s="305">
        <f>D15+D7</f>
        <v>76231</v>
      </c>
      <c r="E16" s="305">
        <f>E15+E7</f>
        <v>56231</v>
      </c>
    </row>
    <row r="17" spans="2:5" ht="15.75">
      <c r="B17" s="114" t="s">
        <v>88</v>
      </c>
      <c r="C17" s="219"/>
      <c r="D17" s="219"/>
      <c r="E17" s="219"/>
    </row>
    <row r="18" spans="2:5" ht="15.75">
      <c r="B18" s="271" t="s">
        <v>415</v>
      </c>
      <c r="C18" s="78">
        <v>1746</v>
      </c>
      <c r="D18" s="78">
        <v>20000</v>
      </c>
      <c r="E18" s="78">
        <v>56231</v>
      </c>
    </row>
    <row r="19" spans="2:5" ht="15.75">
      <c r="B19" s="271"/>
      <c r="C19" s="78"/>
      <c r="D19" s="78"/>
      <c r="E19" s="78"/>
    </row>
    <row r="20" spans="2:5" ht="15.75">
      <c r="B20" s="271"/>
      <c r="C20" s="78"/>
      <c r="D20" s="78"/>
      <c r="E20" s="78"/>
    </row>
    <row r="21" spans="2:5" ht="15.75">
      <c r="B21" s="271"/>
      <c r="C21" s="78"/>
      <c r="D21" s="78"/>
      <c r="E21" s="78"/>
    </row>
    <row r="22" spans="2:5" ht="15.75">
      <c r="B22" s="271"/>
      <c r="C22" s="78"/>
      <c r="D22" s="78"/>
      <c r="E22" s="78"/>
    </row>
    <row r="23" spans="2:5" ht="15.75">
      <c r="B23" s="271"/>
      <c r="C23" s="78"/>
      <c r="D23" s="78"/>
      <c r="E23" s="78"/>
    </row>
    <row r="24" spans="2:5" ht="15.75">
      <c r="B24" s="271"/>
      <c r="C24" s="78"/>
      <c r="D24" s="78"/>
      <c r="E24" s="78"/>
    </row>
    <row r="25" spans="2:5" ht="15.75">
      <c r="B25" s="271"/>
      <c r="C25" s="78"/>
      <c r="D25" s="78"/>
      <c r="E25" s="78"/>
    </row>
    <row r="26" spans="2:5" ht="15.75">
      <c r="B26" s="271"/>
      <c r="C26" s="78"/>
      <c r="D26" s="78"/>
      <c r="E26" s="78"/>
    </row>
    <row r="27" spans="2:5" ht="15.75">
      <c r="B27" s="263" t="s">
        <v>37</v>
      </c>
      <c r="C27" s="78"/>
      <c r="D27" s="258"/>
      <c r="E27" s="258"/>
    </row>
    <row r="28" spans="2:5" ht="15.75">
      <c r="B28" s="263" t="s">
        <v>281</v>
      </c>
      <c r="C28" s="390">
        <f>IF(C29*0.1&lt;C27,"Exceed 10% Rule","")</f>
      </c>
      <c r="D28" s="264">
        <f>IF(D29*0.1&lt;D27,"Exceed 10% Rule","")</f>
      </c>
      <c r="E28" s="264">
        <f>IF(E29*0.1&lt;E27,"Exceed 10% Rule","")</f>
      </c>
    </row>
    <row r="29" spans="2:5" ht="15.75">
      <c r="B29" s="265" t="s">
        <v>89</v>
      </c>
      <c r="C29" s="305">
        <f>SUM(C18:C27)</f>
        <v>1746</v>
      </c>
      <c r="D29" s="305">
        <f>SUM(D18:D27)</f>
        <v>20000</v>
      </c>
      <c r="E29" s="305">
        <f>SUM(E18:E27)</f>
        <v>56231</v>
      </c>
    </row>
    <row r="30" spans="2:5" ht="15.75">
      <c r="B30" s="114" t="s">
        <v>198</v>
      </c>
      <c r="C30" s="86">
        <f>C16-C29</f>
        <v>76231</v>
      </c>
      <c r="D30" s="86">
        <f>D16-D29</f>
        <v>56231</v>
      </c>
      <c r="E30" s="86">
        <f>E16-E29</f>
        <v>0</v>
      </c>
    </row>
    <row r="31" spans="2:5" ht="15.75">
      <c r="B31" s="241" t="str">
        <f>CONCATENATE("",E$1-2,"/",E$1-1," Budget Authority Amount:")</f>
        <v>2012/2013 Budget Authority Amount:</v>
      </c>
      <c r="C31" s="233">
        <f>inputOth!B53</f>
        <v>61996</v>
      </c>
      <c r="D31" s="233">
        <f>inputPrYr!D39</f>
        <v>57977</v>
      </c>
      <c r="E31" s="389">
        <f>IF(E30&lt;0,"See Tab E","")</f>
      </c>
    </row>
    <row r="32" spans="2:5" ht="15.75">
      <c r="B32" s="241"/>
      <c r="C32" s="274">
        <f>IF(C29&gt;C31,"See Tab A","")</f>
      </c>
      <c r="D32" s="274">
        <f>IF(D29&gt;D31,"See Tab C","")</f>
      </c>
      <c r="E32" s="111"/>
    </row>
    <row r="33" spans="2:5" ht="15.75">
      <c r="B33" s="241"/>
      <c r="C33" s="274">
        <f>IF(C30&lt;0,"See Tab B","")</f>
      </c>
      <c r="D33" s="274">
        <f>IF(D30&lt;0,"See Tab D","")</f>
      </c>
      <c r="E33" s="111"/>
    </row>
    <row r="34" spans="2:5" ht="15.75">
      <c r="B34" s="51"/>
      <c r="C34" s="111"/>
      <c r="D34" s="111"/>
      <c r="E34" s="111"/>
    </row>
    <row r="35" spans="2:5" ht="15.75">
      <c r="B35" s="50" t="s">
        <v>75</v>
      </c>
      <c r="C35" s="280"/>
      <c r="D35" s="280"/>
      <c r="E35" s="280"/>
    </row>
    <row r="36" spans="2:5" ht="15.75">
      <c r="B36" s="51"/>
      <c r="C36" s="276" t="str">
        <f aca="true" t="shared" si="0" ref="C36:E37">C5</f>
        <v>Prior Year </v>
      </c>
      <c r="D36" s="178" t="str">
        <f t="shared" si="0"/>
        <v>Current Year </v>
      </c>
      <c r="E36" s="178" t="str">
        <f t="shared" si="0"/>
        <v>Proposed Budget </v>
      </c>
    </row>
    <row r="37" spans="2:5" ht="15.75">
      <c r="B37" s="392" t="str">
        <f>inputPrYr!B40</f>
        <v>Spec. Reappraisal Equip.</v>
      </c>
      <c r="C37" s="269" t="str">
        <f t="shared" si="0"/>
        <v>Actual for 2012</v>
      </c>
      <c r="D37" s="269" t="str">
        <f t="shared" si="0"/>
        <v>Estimate for 2013</v>
      </c>
      <c r="E37" s="269" t="str">
        <f t="shared" si="0"/>
        <v>Year for 2014</v>
      </c>
    </row>
    <row r="38" spans="2:5" ht="15.75">
      <c r="B38" s="114" t="s">
        <v>197</v>
      </c>
      <c r="C38" s="78">
        <v>62091</v>
      </c>
      <c r="D38" s="219">
        <f>C61</f>
        <v>44168</v>
      </c>
      <c r="E38" s="219">
        <f>D61</f>
        <v>24168</v>
      </c>
    </row>
    <row r="39" spans="2:5" ht="15.75">
      <c r="B39" s="114" t="s">
        <v>199</v>
      </c>
      <c r="C39" s="74"/>
      <c r="D39" s="74"/>
      <c r="E39" s="74"/>
    </row>
    <row r="40" spans="2:5" ht="15.75">
      <c r="B40" s="271" t="s">
        <v>417</v>
      </c>
      <c r="C40" s="78"/>
      <c r="D40" s="78"/>
      <c r="E40" s="78">
        <v>5000</v>
      </c>
    </row>
    <row r="41" spans="2:5" ht="15.75">
      <c r="B41" s="271"/>
      <c r="C41" s="78"/>
      <c r="D41" s="78"/>
      <c r="E41" s="78"/>
    </row>
    <row r="42" spans="2:5" ht="15.75">
      <c r="B42" s="271"/>
      <c r="C42" s="78"/>
      <c r="D42" s="78"/>
      <c r="E42" s="78"/>
    </row>
    <row r="43" spans="2:5" ht="15.75">
      <c r="B43" s="262" t="s">
        <v>83</v>
      </c>
      <c r="C43" s="78"/>
      <c r="D43" s="78"/>
      <c r="E43" s="78"/>
    </row>
    <row r="44" spans="2:5" ht="15.75">
      <c r="B44" s="263" t="s">
        <v>37</v>
      </c>
      <c r="C44" s="78"/>
      <c r="D44" s="258"/>
      <c r="E44" s="258"/>
    </row>
    <row r="45" spans="2:5" ht="15.75">
      <c r="B45" s="263" t="s">
        <v>282</v>
      </c>
      <c r="C45" s="390">
        <f>IF(C46*0.1&lt;C44,"Exceed 10% Rule","")</f>
      </c>
      <c r="D45" s="264">
        <f>IF(D46*0.1&lt;D44,"Exceed 10% Rule","")</f>
      </c>
      <c r="E45" s="264">
        <f>IF(E46*0.1&lt;E44,"Exceed 10% Rule","")</f>
      </c>
    </row>
    <row r="46" spans="2:5" ht="15.75">
      <c r="B46" s="265" t="s">
        <v>84</v>
      </c>
      <c r="C46" s="305">
        <f>SUM(C40:C44)</f>
        <v>0</v>
      </c>
      <c r="D46" s="305">
        <f>SUM(D40:D44)</f>
        <v>0</v>
      </c>
      <c r="E46" s="305">
        <f>SUM(E40:E44)</f>
        <v>5000</v>
      </c>
    </row>
    <row r="47" spans="2:5" ht="15.75">
      <c r="B47" s="265" t="s">
        <v>85</v>
      </c>
      <c r="C47" s="305">
        <f>C38+C46</f>
        <v>62091</v>
      </c>
      <c r="D47" s="305">
        <f>D38+D46</f>
        <v>44168</v>
      </c>
      <c r="E47" s="305">
        <f>E38+E46</f>
        <v>29168</v>
      </c>
    </row>
    <row r="48" spans="2:5" ht="15.75">
      <c r="B48" s="114" t="s">
        <v>88</v>
      </c>
      <c r="C48" s="219"/>
      <c r="D48" s="219"/>
      <c r="E48" s="219"/>
    </row>
    <row r="49" spans="2:5" ht="15.75">
      <c r="B49" s="271" t="s">
        <v>415</v>
      </c>
      <c r="C49" s="78">
        <v>17923</v>
      </c>
      <c r="D49" s="78">
        <v>20000</v>
      </c>
      <c r="E49" s="78">
        <v>29168</v>
      </c>
    </row>
    <row r="50" spans="2:5" ht="15.75">
      <c r="B50" s="271"/>
      <c r="C50" s="78"/>
      <c r="D50" s="78"/>
      <c r="E50" s="78"/>
    </row>
    <row r="51" spans="2:5" ht="15.75">
      <c r="B51" s="271"/>
      <c r="C51" s="78"/>
      <c r="D51" s="78"/>
      <c r="E51" s="78"/>
    </row>
    <row r="52" spans="2:5" ht="15.75">
      <c r="B52" s="271"/>
      <c r="C52" s="78"/>
      <c r="D52" s="78"/>
      <c r="E52" s="78"/>
    </row>
    <row r="53" spans="2:5" ht="15.75">
      <c r="B53" s="271"/>
      <c r="C53" s="78"/>
      <c r="D53" s="78"/>
      <c r="E53" s="78"/>
    </row>
    <row r="54" spans="2:5" ht="15.75">
      <c r="B54" s="271"/>
      <c r="C54" s="78"/>
      <c r="D54" s="78"/>
      <c r="E54" s="78"/>
    </row>
    <row r="55" spans="2:5" ht="15.75">
      <c r="B55" s="271"/>
      <c r="C55" s="78"/>
      <c r="D55" s="78"/>
      <c r="E55" s="78"/>
    </row>
    <row r="56" spans="2:5" ht="15.75">
      <c r="B56" s="271"/>
      <c r="C56" s="78"/>
      <c r="D56" s="78"/>
      <c r="E56" s="78"/>
    </row>
    <row r="57" spans="2:5" ht="15.75">
      <c r="B57" s="271"/>
      <c r="C57" s="78"/>
      <c r="D57" s="78"/>
      <c r="E57" s="78"/>
    </row>
    <row r="58" spans="2:5" ht="15.75">
      <c r="B58" s="263" t="s">
        <v>37</v>
      </c>
      <c r="C58" s="78"/>
      <c r="D58" s="258"/>
      <c r="E58" s="258"/>
    </row>
    <row r="59" spans="2:5" ht="15.75">
      <c r="B59" s="263" t="s">
        <v>281</v>
      </c>
      <c r="C59" s="390">
        <f>IF(C60*0.1&lt;C58,"Exceed 10% Rule","")</f>
      </c>
      <c r="D59" s="264">
        <f>IF(D60*0.1&lt;D58,"Exceed 10% Rule","")</f>
      </c>
      <c r="E59" s="264">
        <f>IF(E60*0.1&lt;E58,"Exceed 10% Rule","")</f>
      </c>
    </row>
    <row r="60" spans="2:5" ht="15.75">
      <c r="B60" s="265" t="s">
        <v>89</v>
      </c>
      <c r="C60" s="305">
        <f>SUM(C49:C58)</f>
        <v>17923</v>
      </c>
      <c r="D60" s="305">
        <f>SUM(D49:D58)</f>
        <v>20000</v>
      </c>
      <c r="E60" s="305">
        <f>SUM(E49:E58)</f>
        <v>29168</v>
      </c>
    </row>
    <row r="61" spans="2:5" ht="15.75">
      <c r="B61" s="114" t="s">
        <v>198</v>
      </c>
      <c r="C61" s="86">
        <f>C47-C60</f>
        <v>44168</v>
      </c>
      <c r="D61" s="86">
        <f>D47-D60</f>
        <v>24168</v>
      </c>
      <c r="E61" s="86">
        <f>E47-E60</f>
        <v>0</v>
      </c>
    </row>
    <row r="62" spans="2:5" ht="15.75">
      <c r="B62" s="241" t="str">
        <f>CONCATENATE("",E$1-2,"/",E$1-1," Budget Authority Amount:")</f>
        <v>2012/2013 Budget Authority Amount:</v>
      </c>
      <c r="C62" s="233">
        <f>inputOth!B54</f>
        <v>74500</v>
      </c>
      <c r="D62" s="233">
        <f>inputPrYr!D40</f>
        <v>43091</v>
      </c>
      <c r="E62" s="388">
        <f>IF(E61&lt;0,"See Tab E","")</f>
      </c>
    </row>
    <row r="63" spans="2:5" ht="15.75">
      <c r="B63" s="241"/>
      <c r="C63" s="274">
        <f>IF(C60&gt;C62,"See Tab A","")</f>
      </c>
      <c r="D63" s="274">
        <f>IF(D60&gt;D62,"See Tab C","")</f>
      </c>
      <c r="E63" s="51"/>
    </row>
    <row r="64" spans="2:5" ht="15.75">
      <c r="B64" s="241"/>
      <c r="C64" s="274">
        <f>IF(C61&lt;0,"See Tab B","")</f>
      </c>
      <c r="D64" s="274">
        <f>IF(D61&lt;0,"See Tab D","")</f>
      </c>
      <c r="E64" s="51"/>
    </row>
    <row r="65" spans="2:5" ht="15.75">
      <c r="B65" s="51"/>
      <c r="C65" s="51"/>
      <c r="D65" s="51"/>
      <c r="E65" s="51"/>
    </row>
    <row r="66" spans="2:5" ht="15.75">
      <c r="B66" s="241" t="s">
        <v>109</v>
      </c>
      <c r="C66" s="302">
        <v>18</v>
      </c>
      <c r="D66" s="51"/>
      <c r="E66" s="51"/>
    </row>
  </sheetData>
  <sheetProtection sheet="1"/>
  <conditionalFormatting sqref="C27">
    <cfRule type="cellIs" priority="3" dxfId="309" operator="greaterThan" stopIfTrue="1">
      <formula>$C$29*0.1</formula>
    </cfRule>
  </conditionalFormatting>
  <conditionalFormatting sqref="D27">
    <cfRule type="cellIs" priority="4" dxfId="309" operator="greaterThan" stopIfTrue="1">
      <formula>$D$29*0.1</formula>
    </cfRule>
  </conditionalFormatting>
  <conditionalFormatting sqref="E27">
    <cfRule type="cellIs" priority="5" dxfId="309" operator="greaterThan" stopIfTrue="1">
      <formula>$E$29*0.1</formula>
    </cfRule>
  </conditionalFormatting>
  <conditionalFormatting sqref="C13">
    <cfRule type="cellIs" priority="6" dxfId="309" operator="greaterThan" stopIfTrue="1">
      <formula>$C$15*0.1</formula>
    </cfRule>
  </conditionalFormatting>
  <conditionalFormatting sqref="D13">
    <cfRule type="cellIs" priority="7" dxfId="309" operator="greaterThan" stopIfTrue="1">
      <formula>$D$15*0.1</formula>
    </cfRule>
  </conditionalFormatting>
  <conditionalFormatting sqref="E13">
    <cfRule type="cellIs" priority="8" dxfId="309" operator="greaterThan" stopIfTrue="1">
      <formula>$E$15*0.1</formula>
    </cfRule>
  </conditionalFormatting>
  <conditionalFormatting sqref="C44">
    <cfRule type="cellIs" priority="9" dxfId="309" operator="greaterThan" stopIfTrue="1">
      <formula>$C$46*0.1</formula>
    </cfRule>
  </conditionalFormatting>
  <conditionalFormatting sqref="D44">
    <cfRule type="cellIs" priority="10" dxfId="309" operator="greaterThan" stopIfTrue="1">
      <formula>$D$46*0.1</formula>
    </cfRule>
  </conditionalFormatting>
  <conditionalFormatting sqref="E44">
    <cfRule type="cellIs" priority="11" dxfId="309" operator="greaterThan" stopIfTrue="1">
      <formula>$E$46*0.1</formula>
    </cfRule>
  </conditionalFormatting>
  <conditionalFormatting sqref="C58">
    <cfRule type="cellIs" priority="12" dxfId="309" operator="greaterThan" stopIfTrue="1">
      <formula>$C$60*0.1</formula>
    </cfRule>
  </conditionalFormatting>
  <conditionalFormatting sqref="D58">
    <cfRule type="cellIs" priority="13" dxfId="309" operator="greaterThan" stopIfTrue="1">
      <formula>$D$60*0.1</formula>
    </cfRule>
  </conditionalFormatting>
  <conditionalFormatting sqref="E58">
    <cfRule type="cellIs" priority="14" dxfId="309" operator="greaterThan" stopIfTrue="1">
      <formula>$E$60*0.1</formula>
    </cfRule>
  </conditionalFormatting>
  <conditionalFormatting sqref="E30 C30 E61 C61">
    <cfRule type="cellIs" priority="15" dxfId="2" operator="lessThan" stopIfTrue="1">
      <formula>0</formula>
    </cfRule>
  </conditionalFormatting>
  <conditionalFormatting sqref="D29">
    <cfRule type="cellIs" priority="16" dxfId="2" operator="greaterThan" stopIfTrue="1">
      <formula>$D$31</formula>
    </cfRule>
  </conditionalFormatting>
  <conditionalFormatting sqref="C29">
    <cfRule type="cellIs" priority="17" dxfId="2" operator="greaterThan" stopIfTrue="1">
      <formula>$C$31</formula>
    </cfRule>
  </conditionalFormatting>
  <conditionalFormatting sqref="D60">
    <cfRule type="cellIs" priority="18" dxfId="2" operator="greaterThan" stopIfTrue="1">
      <formula>$D$62</formula>
    </cfRule>
  </conditionalFormatting>
  <conditionalFormatting sqref="C60">
    <cfRule type="cellIs" priority="19" dxfId="2" operator="greaterThan" stopIfTrue="1">
      <formula>$C$62</formula>
    </cfRule>
  </conditionalFormatting>
  <conditionalFormatting sqref="D30">
    <cfRule type="cellIs" priority="2" dxfId="0" operator="lessThan" stopIfTrue="1">
      <formula>0</formula>
    </cfRule>
  </conditionalFormatting>
  <conditionalFormatting sqref="D61">
    <cfRule type="cellIs" priority="1" dxfId="0" operator="lessThan" stopIfTrue="1">
      <formula>0</formula>
    </cfRule>
  </conditionalFormatting>
  <printOptions/>
  <pageMargins left="1.12" right="0.5" top="0.74" bottom="0.34" header="0.5" footer="0"/>
  <pageSetup blackAndWhite="1" fitToHeight="1" fitToWidth="1" horizontalDpi="120" verticalDpi="120" orientation="portrait" scale="66" r:id="rId1"/>
  <headerFooter alignWithMargins="0">
    <oddHeader>&amp;RState of Kansas
County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E66"/>
  <sheetViews>
    <sheetView view="pageBreakPreview" zoomScale="108" zoomScaleSheetLayoutView="108" zoomScalePageLayoutView="0" workbookViewId="0" topLeftCell="A1">
      <selection activeCell="C67" sqref="C67"/>
    </sheetView>
  </sheetViews>
  <sheetFormatPr defaultColWidth="8.796875" defaultRowHeight="15"/>
  <cols>
    <col min="1" max="1" width="2.3984375" style="48" customWidth="1"/>
    <col min="2" max="2" width="31.09765625" style="48" customWidth="1"/>
    <col min="3" max="4" width="15.796875" style="48" customWidth="1"/>
    <col min="5" max="5" width="16.19921875" style="48" customWidth="1"/>
    <col min="6" max="16384" width="8.8984375" style="48" customWidth="1"/>
  </cols>
  <sheetData>
    <row r="1" spans="2:5" ht="15.75">
      <c r="B1" s="182" t="str">
        <f>(inputPrYr!C2)</f>
        <v>MITCHELL COUNTY</v>
      </c>
      <c r="C1" s="51"/>
      <c r="D1" s="51"/>
      <c r="E1" s="240">
        <f>inputPrYr!C4</f>
        <v>2014</v>
      </c>
    </row>
    <row r="2" spans="2:5" ht="15.75">
      <c r="B2" s="51"/>
      <c r="C2" s="51"/>
      <c r="D2" s="51"/>
      <c r="E2" s="194"/>
    </row>
    <row r="3" spans="2:5" ht="15.75">
      <c r="B3" s="118" t="s">
        <v>156</v>
      </c>
      <c r="C3" s="286"/>
      <c r="D3" s="286"/>
      <c r="E3" s="287"/>
    </row>
    <row r="4" spans="2:5" ht="15.75">
      <c r="B4" s="51"/>
      <c r="C4" s="280"/>
      <c r="D4" s="280"/>
      <c r="E4" s="280"/>
    </row>
    <row r="5" spans="2:5" ht="15.75">
      <c r="B5" s="50" t="s">
        <v>75</v>
      </c>
      <c r="C5" s="276" t="str">
        <f>general!C4</f>
        <v>Prior Year </v>
      </c>
      <c r="D5" s="178" t="str">
        <f>general!D4</f>
        <v>Current Year </v>
      </c>
      <c r="E5" s="178" t="str">
        <f>general!E4</f>
        <v>Proposed Budget </v>
      </c>
    </row>
    <row r="6" spans="2:5" ht="15.75">
      <c r="B6" s="393" t="str">
        <f>inputPrYr!B41</f>
        <v>Alcohol Treatment</v>
      </c>
      <c r="C6" s="269" t="str">
        <f>general!C5</f>
        <v>Actual for 2012</v>
      </c>
      <c r="D6" s="269" t="str">
        <f>general!D5</f>
        <v>Estimate for 2013</v>
      </c>
      <c r="E6" s="256" t="str">
        <f>general!E5</f>
        <v>Year for 2014</v>
      </c>
    </row>
    <row r="7" spans="2:5" ht="15.75">
      <c r="B7" s="114" t="s">
        <v>197</v>
      </c>
      <c r="C7" s="78">
        <v>0</v>
      </c>
      <c r="D7" s="219">
        <f>C30</f>
        <v>0</v>
      </c>
      <c r="E7" s="219">
        <f>D30</f>
        <v>0</v>
      </c>
    </row>
    <row r="8" spans="2:5" ht="15.75">
      <c r="B8" s="289" t="s">
        <v>199</v>
      </c>
      <c r="C8" s="74"/>
      <c r="D8" s="74"/>
      <c r="E8" s="74"/>
    </row>
    <row r="9" spans="2:5" ht="15.75">
      <c r="B9" s="271" t="s">
        <v>418</v>
      </c>
      <c r="C9" s="78">
        <v>16269</v>
      </c>
      <c r="D9" s="78">
        <v>16140</v>
      </c>
      <c r="E9" s="78">
        <v>15828</v>
      </c>
    </row>
    <row r="10" spans="2:5" ht="15.75">
      <c r="B10" s="271"/>
      <c r="C10" s="78"/>
      <c r="D10" s="78"/>
      <c r="E10" s="78"/>
    </row>
    <row r="11" spans="2:5" ht="15.75">
      <c r="B11" s="271"/>
      <c r="C11" s="78"/>
      <c r="D11" s="78"/>
      <c r="E11" s="78"/>
    </row>
    <row r="12" spans="2:5" ht="15.75">
      <c r="B12" s="262" t="s">
        <v>83</v>
      </c>
      <c r="C12" s="78"/>
      <c r="D12" s="78"/>
      <c r="E12" s="78"/>
    </row>
    <row r="13" spans="2:5" ht="15.75">
      <c r="B13" s="263" t="s">
        <v>37</v>
      </c>
      <c r="C13" s="78"/>
      <c r="D13" s="258"/>
      <c r="E13" s="258"/>
    </row>
    <row r="14" spans="2:5" ht="15.75">
      <c r="B14" s="263" t="s">
        <v>282</v>
      </c>
      <c r="C14" s="390">
        <f>IF(C15*0.1&lt;C13,"Exceed 10% Rule","")</f>
      </c>
      <c r="D14" s="264">
        <f>IF(D15*0.1&lt;D13,"Exceed 10% Rule","")</f>
      </c>
      <c r="E14" s="264">
        <f>IF(E15*0.1&lt;E13,"Exceed 10% Rule","")</f>
      </c>
    </row>
    <row r="15" spans="2:5" ht="15.75">
      <c r="B15" s="265" t="s">
        <v>84</v>
      </c>
      <c r="C15" s="305">
        <f>SUM(C9:C13)</f>
        <v>16269</v>
      </c>
      <c r="D15" s="305">
        <f>SUM(D9:D13)</f>
        <v>16140</v>
      </c>
      <c r="E15" s="305">
        <f>SUM(E9:E13)</f>
        <v>15828</v>
      </c>
    </row>
    <row r="16" spans="2:5" ht="15.75">
      <c r="B16" s="265" t="s">
        <v>85</v>
      </c>
      <c r="C16" s="305">
        <f>C15+C7</f>
        <v>16269</v>
      </c>
      <c r="D16" s="305">
        <f>D15+D7</f>
        <v>16140</v>
      </c>
      <c r="E16" s="305">
        <f>E15+E7</f>
        <v>15828</v>
      </c>
    </row>
    <row r="17" spans="2:5" ht="15.75">
      <c r="B17" s="114" t="s">
        <v>88</v>
      </c>
      <c r="C17" s="219"/>
      <c r="D17" s="219"/>
      <c r="E17" s="219"/>
    </row>
    <row r="18" spans="2:5" ht="15.75">
      <c r="B18" s="271" t="s">
        <v>419</v>
      </c>
      <c r="C18" s="78">
        <v>16269</v>
      </c>
      <c r="D18" s="78">
        <v>16140</v>
      </c>
      <c r="E18" s="78">
        <v>15828</v>
      </c>
    </row>
    <row r="19" spans="2:5" ht="15.75">
      <c r="B19" s="271"/>
      <c r="C19" s="78"/>
      <c r="D19" s="78"/>
      <c r="E19" s="78"/>
    </row>
    <row r="20" spans="2:5" ht="15.75">
      <c r="B20" s="271"/>
      <c r="C20" s="78"/>
      <c r="D20" s="78"/>
      <c r="E20" s="78"/>
    </row>
    <row r="21" spans="2:5" ht="15.75">
      <c r="B21" s="271"/>
      <c r="C21" s="78"/>
      <c r="D21" s="78"/>
      <c r="E21" s="78"/>
    </row>
    <row r="22" spans="2:5" ht="15.75">
      <c r="B22" s="271"/>
      <c r="C22" s="78"/>
      <c r="D22" s="78"/>
      <c r="E22" s="78"/>
    </row>
    <row r="23" spans="2:5" ht="15.75">
      <c r="B23" s="271"/>
      <c r="C23" s="78"/>
      <c r="D23" s="78"/>
      <c r="E23" s="78"/>
    </row>
    <row r="24" spans="2:5" ht="15.75">
      <c r="B24" s="271"/>
      <c r="C24" s="78"/>
      <c r="D24" s="78"/>
      <c r="E24" s="78"/>
    </row>
    <row r="25" spans="2:5" ht="15.75">
      <c r="B25" s="271"/>
      <c r="C25" s="78"/>
      <c r="D25" s="78"/>
      <c r="E25" s="78"/>
    </row>
    <row r="26" spans="2:5" ht="15.75">
      <c r="B26" s="271"/>
      <c r="C26" s="78"/>
      <c r="D26" s="78"/>
      <c r="E26" s="78"/>
    </row>
    <row r="27" spans="2:5" ht="15.75">
      <c r="B27" s="263" t="s">
        <v>37</v>
      </c>
      <c r="C27" s="78"/>
      <c r="D27" s="258"/>
      <c r="E27" s="258"/>
    </row>
    <row r="28" spans="2:5" ht="15.75">
      <c r="B28" s="263" t="s">
        <v>281</v>
      </c>
      <c r="C28" s="390">
        <f>IF(C29*0.1&lt;C27,"Exceed 10% Rule","")</f>
      </c>
      <c r="D28" s="264">
        <f>IF(D29*0.1&lt;D27,"Exceed 10% Rule","")</f>
      </c>
      <c r="E28" s="264">
        <f>IF(E29*0.1&lt;E27,"Exceed 10% Rule","")</f>
      </c>
    </row>
    <row r="29" spans="2:5" ht="15.75">
      <c r="B29" s="265" t="s">
        <v>89</v>
      </c>
      <c r="C29" s="305">
        <f>SUM(C18:C27)</f>
        <v>16269</v>
      </c>
      <c r="D29" s="305">
        <f>SUM(D18:D27)</f>
        <v>16140</v>
      </c>
      <c r="E29" s="305">
        <f>SUM(E18:E27)</f>
        <v>15828</v>
      </c>
    </row>
    <row r="30" spans="2:5" ht="15.75">
      <c r="B30" s="114" t="s">
        <v>198</v>
      </c>
      <c r="C30" s="86">
        <f>C16-C29</f>
        <v>0</v>
      </c>
      <c r="D30" s="86">
        <f>D16-D29</f>
        <v>0</v>
      </c>
      <c r="E30" s="86">
        <f>E16-E29</f>
        <v>0</v>
      </c>
    </row>
    <row r="31" spans="2:5" ht="15.75">
      <c r="B31" s="241" t="str">
        <f>CONCATENATE("",E$1-2,"/",E$1-1," Budget Authority Amount:")</f>
        <v>2012/2013 Budget Authority Amount:</v>
      </c>
      <c r="C31" s="233">
        <f>inputOth!B55</f>
        <v>15584</v>
      </c>
      <c r="D31" s="233">
        <f>inputPrYr!D41</f>
        <v>16140</v>
      </c>
      <c r="E31" s="389">
        <f>IF(E30&lt;0,"See Tab E","")</f>
      </c>
    </row>
    <row r="32" spans="2:5" ht="15.75">
      <c r="B32" s="241"/>
      <c r="C32" s="274" t="str">
        <f>IF(C29&gt;C31,"See Tab A","")</f>
        <v>See Tab A</v>
      </c>
      <c r="D32" s="274">
        <f>IF(D29&gt;D31,"See Tab C","")</f>
      </c>
      <c r="E32" s="111"/>
    </row>
    <row r="33" spans="2:5" ht="15.75">
      <c r="B33" s="241"/>
      <c r="C33" s="274">
        <f>IF(C30&lt;0,"See Tab B","")</f>
      </c>
      <c r="D33" s="274">
        <f>IF(D30&lt;0,"See Tab D","")</f>
      </c>
      <c r="E33" s="111"/>
    </row>
    <row r="34" spans="2:5" ht="15.75">
      <c r="B34" s="51"/>
      <c r="C34" s="111"/>
      <c r="D34" s="111"/>
      <c r="E34" s="111"/>
    </row>
    <row r="35" spans="2:5" ht="15.75">
      <c r="B35" s="50" t="s">
        <v>75</v>
      </c>
      <c r="C35" s="280"/>
      <c r="D35" s="280"/>
      <c r="E35" s="280"/>
    </row>
    <row r="36" spans="2:5" ht="15.75">
      <c r="B36" s="51"/>
      <c r="C36" s="276" t="str">
        <f aca="true" t="shared" si="0" ref="C36:E37">C5</f>
        <v>Prior Year </v>
      </c>
      <c r="D36" s="178" t="str">
        <f t="shared" si="0"/>
        <v>Current Year </v>
      </c>
      <c r="E36" s="178" t="str">
        <f t="shared" si="0"/>
        <v>Proposed Budget </v>
      </c>
    </row>
    <row r="37" spans="2:5" ht="15.75">
      <c r="B37" s="392" t="str">
        <f>inputPrYr!B42</f>
        <v>911 Fund</v>
      </c>
      <c r="C37" s="269" t="str">
        <f t="shared" si="0"/>
        <v>Actual for 2012</v>
      </c>
      <c r="D37" s="269" t="str">
        <f t="shared" si="0"/>
        <v>Estimate for 2013</v>
      </c>
      <c r="E37" s="269" t="str">
        <f t="shared" si="0"/>
        <v>Year for 2014</v>
      </c>
    </row>
    <row r="38" spans="2:5" ht="15.75">
      <c r="B38" s="114" t="s">
        <v>197</v>
      </c>
      <c r="C38" s="78">
        <v>21401</v>
      </c>
      <c r="D38" s="219">
        <f>C61</f>
        <v>0</v>
      </c>
      <c r="E38" s="219">
        <f>D61</f>
        <v>0</v>
      </c>
    </row>
    <row r="39" spans="2:5" ht="15.75">
      <c r="B39" s="114" t="s">
        <v>199</v>
      </c>
      <c r="C39" s="74"/>
      <c r="D39" s="74"/>
      <c r="E39" s="74"/>
    </row>
    <row r="40" spans="2:5" ht="15.75">
      <c r="B40" s="271" t="s">
        <v>420</v>
      </c>
      <c r="C40" s="78">
        <v>9171</v>
      </c>
      <c r="D40" s="78"/>
      <c r="E40" s="78">
        <v>0</v>
      </c>
    </row>
    <row r="41" spans="2:5" ht="15.75">
      <c r="B41" s="271"/>
      <c r="C41" s="78"/>
      <c r="D41" s="78"/>
      <c r="E41" s="78"/>
    </row>
    <row r="42" spans="2:5" ht="15.75">
      <c r="B42" s="271"/>
      <c r="C42" s="78"/>
      <c r="D42" s="78"/>
      <c r="E42" s="78"/>
    </row>
    <row r="43" spans="2:5" ht="15.75">
      <c r="B43" s="262" t="s">
        <v>83</v>
      </c>
      <c r="C43" s="78">
        <v>37</v>
      </c>
      <c r="D43" s="78">
        <v>20</v>
      </c>
      <c r="E43" s="78"/>
    </row>
    <row r="44" spans="2:5" ht="15.75">
      <c r="B44" s="263" t="s">
        <v>37</v>
      </c>
      <c r="C44" s="78"/>
      <c r="D44" s="258"/>
      <c r="E44" s="258"/>
    </row>
    <row r="45" spans="2:5" ht="15.75">
      <c r="B45" s="263" t="s">
        <v>282</v>
      </c>
      <c r="C45" s="390">
        <f>IF(C46*0.1&lt;C44,"Exceed 10% Rule","")</f>
      </c>
      <c r="D45" s="264">
        <f>IF(D46*0.1&lt;D44,"Exceed 10% Rule","")</f>
      </c>
      <c r="E45" s="264">
        <f>IF(E46*0.1&lt;E44,"Exceed 10% Rule","")</f>
      </c>
    </row>
    <row r="46" spans="2:5" ht="15.75">
      <c r="B46" s="265" t="s">
        <v>84</v>
      </c>
      <c r="C46" s="305">
        <f>SUM(C40:C44)</f>
        <v>9208</v>
      </c>
      <c r="D46" s="305">
        <f>SUM(D40:D44)</f>
        <v>20</v>
      </c>
      <c r="E46" s="305">
        <f>SUM(E40:E44)</f>
        <v>0</v>
      </c>
    </row>
    <row r="47" spans="2:5" ht="15.75">
      <c r="B47" s="265" t="s">
        <v>85</v>
      </c>
      <c r="C47" s="305">
        <f>C38+C46</f>
        <v>30609</v>
      </c>
      <c r="D47" s="305">
        <f>D38+D46</f>
        <v>20</v>
      </c>
      <c r="E47" s="305">
        <f>E38+E46</f>
        <v>0</v>
      </c>
    </row>
    <row r="48" spans="2:5" ht="15.75">
      <c r="B48" s="114" t="s">
        <v>88</v>
      </c>
      <c r="C48" s="219"/>
      <c r="D48" s="219"/>
      <c r="E48" s="219"/>
    </row>
    <row r="49" spans="2:5" ht="15.75">
      <c r="B49" s="271" t="s">
        <v>415</v>
      </c>
      <c r="C49" s="78">
        <v>30609</v>
      </c>
      <c r="D49" s="78">
        <v>20</v>
      </c>
      <c r="E49" s="78">
        <v>0</v>
      </c>
    </row>
    <row r="50" spans="2:5" ht="15.75">
      <c r="B50" s="271"/>
      <c r="C50" s="78"/>
      <c r="D50" s="78"/>
      <c r="E50" s="78"/>
    </row>
    <row r="51" spans="2:5" ht="15.75">
      <c r="B51" s="271"/>
      <c r="C51" s="78"/>
      <c r="D51" s="78"/>
      <c r="E51" s="78"/>
    </row>
    <row r="52" spans="2:5" ht="15.75">
      <c r="B52" s="271"/>
      <c r="C52" s="78"/>
      <c r="D52" s="78"/>
      <c r="E52" s="78"/>
    </row>
    <row r="53" spans="2:5" ht="15.75">
      <c r="B53" s="271"/>
      <c r="C53" s="78"/>
      <c r="D53" s="78"/>
      <c r="E53" s="78"/>
    </row>
    <row r="54" spans="2:5" ht="15.75">
      <c r="B54" s="271"/>
      <c r="C54" s="78"/>
      <c r="D54" s="78"/>
      <c r="E54" s="78"/>
    </row>
    <row r="55" spans="2:5" ht="15.75">
      <c r="B55" s="271"/>
      <c r="C55" s="78"/>
      <c r="D55" s="78"/>
      <c r="E55" s="78"/>
    </row>
    <row r="56" spans="2:5" ht="15.75">
      <c r="B56" s="271"/>
      <c r="C56" s="78"/>
      <c r="D56" s="78"/>
      <c r="E56" s="78"/>
    </row>
    <row r="57" spans="2:5" ht="15.75">
      <c r="B57" s="271"/>
      <c r="C57" s="78"/>
      <c r="D57" s="78"/>
      <c r="E57" s="78"/>
    </row>
    <row r="58" spans="2:5" ht="15.75">
      <c r="B58" s="263" t="s">
        <v>37</v>
      </c>
      <c r="C58" s="78"/>
      <c r="D58" s="258"/>
      <c r="E58" s="258"/>
    </row>
    <row r="59" spans="2:5" ht="15.75">
      <c r="B59" s="263" t="s">
        <v>281</v>
      </c>
      <c r="C59" s="390">
        <f>IF(C60*0.1&lt;C58,"Exceed 10% Rule","")</f>
      </c>
      <c r="D59" s="264">
        <f>IF(D60*0.1&lt;D58,"Exceed 10% Rule","")</f>
      </c>
      <c r="E59" s="264">
        <f>IF(E60*0.1&lt;E58,"Exceed 10% Rule","")</f>
      </c>
    </row>
    <row r="60" spans="2:5" ht="15.75">
      <c r="B60" s="265" t="s">
        <v>89</v>
      </c>
      <c r="C60" s="305">
        <f>SUM(C49:C58)</f>
        <v>30609</v>
      </c>
      <c r="D60" s="305">
        <f>SUM(D49:D58)</f>
        <v>20</v>
      </c>
      <c r="E60" s="305">
        <f>SUM(E49:E58)</f>
        <v>0</v>
      </c>
    </row>
    <row r="61" spans="2:5" ht="15.75">
      <c r="B61" s="114" t="s">
        <v>198</v>
      </c>
      <c r="C61" s="86">
        <f>C47-C60</f>
        <v>0</v>
      </c>
      <c r="D61" s="86">
        <f>D47-D60</f>
        <v>0</v>
      </c>
      <c r="E61" s="86">
        <f>E47-E60</f>
        <v>0</v>
      </c>
    </row>
    <row r="62" spans="2:5" ht="15.75">
      <c r="B62" s="241" t="str">
        <f>CONCATENATE("",E$1-2,"/",E$1-1," Budget Authority Amount:")</f>
        <v>2012/2013 Budget Authority Amount:</v>
      </c>
      <c r="C62" s="233">
        <f>inputOth!B56</f>
        <v>119670</v>
      </c>
      <c r="D62" s="233">
        <f>inputPrYr!D42</f>
        <v>5652</v>
      </c>
      <c r="E62" s="388">
        <f>IF(E61&lt;0,"See Tab E","")</f>
      </c>
    </row>
    <row r="63" spans="2:5" ht="15.75">
      <c r="B63" s="241"/>
      <c r="C63" s="274">
        <f>IF(C60&gt;C62,"See Tab A","")</f>
      </c>
      <c r="D63" s="274">
        <f>IF(D60&gt;D62,"See Tab C","")</f>
      </c>
      <c r="E63" s="51"/>
    </row>
    <row r="64" spans="2:5" ht="15.75">
      <c r="B64" s="241"/>
      <c r="C64" s="274">
        <f>IF(C61&lt;0,"See Tab B","")</f>
      </c>
      <c r="D64" s="274">
        <f>IF(D61&lt;0,"See Tab D","")</f>
      </c>
      <c r="E64" s="51"/>
    </row>
    <row r="65" spans="2:5" ht="15.75">
      <c r="B65" s="51"/>
      <c r="C65" s="51"/>
      <c r="D65" s="51"/>
      <c r="E65" s="51"/>
    </row>
    <row r="66" spans="2:5" ht="15.75">
      <c r="B66" s="241" t="s">
        <v>109</v>
      </c>
      <c r="C66" s="302">
        <v>19</v>
      </c>
      <c r="D66" s="51"/>
      <c r="E66" s="51"/>
    </row>
  </sheetData>
  <sheetProtection sheet="1"/>
  <conditionalFormatting sqref="C27">
    <cfRule type="cellIs" priority="3" dxfId="309" operator="greaterThan" stopIfTrue="1">
      <formula>$C$29*0.1</formula>
    </cfRule>
  </conditionalFormatting>
  <conditionalFormatting sqref="D27">
    <cfRule type="cellIs" priority="4" dxfId="309" operator="greaterThan" stopIfTrue="1">
      <formula>$D$29*0.1</formula>
    </cfRule>
  </conditionalFormatting>
  <conditionalFormatting sqref="E27">
    <cfRule type="cellIs" priority="5" dxfId="309" operator="greaterThan" stopIfTrue="1">
      <formula>$E$29*0.1</formula>
    </cfRule>
  </conditionalFormatting>
  <conditionalFormatting sqref="C13">
    <cfRule type="cellIs" priority="6" dxfId="309" operator="greaterThan" stopIfTrue="1">
      <formula>$C$15*0.1</formula>
    </cfRule>
  </conditionalFormatting>
  <conditionalFormatting sqref="D13">
    <cfRule type="cellIs" priority="7" dxfId="309" operator="greaterThan" stopIfTrue="1">
      <formula>$D$15*0.1</formula>
    </cfRule>
  </conditionalFormatting>
  <conditionalFormatting sqref="E13">
    <cfRule type="cellIs" priority="8" dxfId="309" operator="greaterThan" stopIfTrue="1">
      <formula>$E$15*0.1</formula>
    </cfRule>
  </conditionalFormatting>
  <conditionalFormatting sqref="C44">
    <cfRule type="cellIs" priority="9" dxfId="309" operator="greaterThan" stopIfTrue="1">
      <formula>$C$46*0.1</formula>
    </cfRule>
  </conditionalFormatting>
  <conditionalFormatting sqref="D44">
    <cfRule type="cellIs" priority="10" dxfId="309" operator="greaterThan" stopIfTrue="1">
      <formula>$D$46*0.1</formula>
    </cfRule>
  </conditionalFormatting>
  <conditionalFormatting sqref="E44">
    <cfRule type="cellIs" priority="11" dxfId="309" operator="greaterThan" stopIfTrue="1">
      <formula>$E$46*0.1</formula>
    </cfRule>
  </conditionalFormatting>
  <conditionalFormatting sqref="C58">
    <cfRule type="cellIs" priority="12" dxfId="309" operator="greaterThan" stopIfTrue="1">
      <formula>$C$60*0.1</formula>
    </cfRule>
  </conditionalFormatting>
  <conditionalFormatting sqref="D58">
    <cfRule type="cellIs" priority="13" dxfId="309" operator="greaterThan" stopIfTrue="1">
      <formula>$D$60*0.1</formula>
    </cfRule>
  </conditionalFormatting>
  <conditionalFormatting sqref="E58">
    <cfRule type="cellIs" priority="14" dxfId="309" operator="greaterThan" stopIfTrue="1">
      <formula>$E$60*0.1</formula>
    </cfRule>
  </conditionalFormatting>
  <conditionalFormatting sqref="E30 C30 E61 C61">
    <cfRule type="cellIs" priority="15" dxfId="2" operator="lessThan" stopIfTrue="1">
      <formula>0</formula>
    </cfRule>
  </conditionalFormatting>
  <conditionalFormatting sqref="D29">
    <cfRule type="cellIs" priority="16" dxfId="2" operator="greaterThan" stopIfTrue="1">
      <formula>$D$31</formula>
    </cfRule>
  </conditionalFormatting>
  <conditionalFormatting sqref="C29">
    <cfRule type="cellIs" priority="17" dxfId="2" operator="greaterThan" stopIfTrue="1">
      <formula>$C$31</formula>
    </cfRule>
  </conditionalFormatting>
  <conditionalFormatting sqref="D60">
    <cfRule type="cellIs" priority="18" dxfId="2" operator="greaterThan" stopIfTrue="1">
      <formula>$D$62</formula>
    </cfRule>
  </conditionalFormatting>
  <conditionalFormatting sqref="C60">
    <cfRule type="cellIs" priority="19" dxfId="2" operator="greaterThan" stopIfTrue="1">
      <formula>$C$62</formula>
    </cfRule>
  </conditionalFormatting>
  <conditionalFormatting sqref="D30">
    <cfRule type="cellIs" priority="2" dxfId="0" operator="lessThan" stopIfTrue="1">
      <formula>0</formula>
    </cfRule>
  </conditionalFormatting>
  <conditionalFormatting sqref="D61">
    <cfRule type="cellIs" priority="1" dxfId="0" operator="lessThan" stopIfTrue="1">
      <formula>0</formula>
    </cfRule>
  </conditionalFormatting>
  <printOptions/>
  <pageMargins left="1.12" right="0.5" top="0.74" bottom="0.34" header="0.5" footer="0"/>
  <pageSetup blackAndWhite="1" fitToHeight="1" fitToWidth="1" horizontalDpi="120" verticalDpi="120" orientation="portrait" scale="66" r:id="rId1"/>
  <headerFooter alignWithMargins="0">
    <oddHeader>&amp;RState of Kansas
County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E66"/>
  <sheetViews>
    <sheetView view="pageBreakPreview" zoomScale="99" zoomScaleSheetLayoutView="99" zoomScalePageLayoutView="0" workbookViewId="0" topLeftCell="A40">
      <selection activeCell="C67" sqref="C67"/>
    </sheetView>
  </sheetViews>
  <sheetFormatPr defaultColWidth="8.796875" defaultRowHeight="15"/>
  <cols>
    <col min="1" max="1" width="2.3984375" style="48" customWidth="1"/>
    <col min="2" max="2" width="31.09765625" style="48" customWidth="1"/>
    <col min="3" max="4" width="15.796875" style="48" customWidth="1"/>
    <col min="5" max="5" width="16.09765625" style="48" customWidth="1"/>
    <col min="6" max="16384" width="8.8984375" style="48" customWidth="1"/>
  </cols>
  <sheetData>
    <row r="1" spans="2:5" ht="15.75">
      <c r="B1" s="182" t="str">
        <f>(inputPrYr!C2)</f>
        <v>MITCHELL COUNTY</v>
      </c>
      <c r="C1" s="51"/>
      <c r="D1" s="51"/>
      <c r="E1" s="240">
        <f>inputPrYr!C4</f>
        <v>2014</v>
      </c>
    </row>
    <row r="2" spans="2:5" ht="15.75">
      <c r="B2" s="51"/>
      <c r="C2" s="51"/>
      <c r="D2" s="51"/>
      <c r="E2" s="194"/>
    </row>
    <row r="3" spans="2:5" ht="15.75">
      <c r="B3" s="118" t="s">
        <v>156</v>
      </c>
      <c r="C3" s="286"/>
      <c r="D3" s="286"/>
      <c r="E3" s="287"/>
    </row>
    <row r="4" spans="2:5" ht="15.75">
      <c r="B4" s="51"/>
      <c r="C4" s="280"/>
      <c r="D4" s="280"/>
      <c r="E4" s="280"/>
    </row>
    <row r="5" spans="2:5" ht="15.75">
      <c r="B5" s="50" t="s">
        <v>75</v>
      </c>
      <c r="C5" s="276" t="str">
        <f>general!C4</f>
        <v>Prior Year </v>
      </c>
      <c r="D5" s="178" t="str">
        <f>general!D4</f>
        <v>Current Year </v>
      </c>
      <c r="E5" s="178" t="str">
        <f>general!E4</f>
        <v>Proposed Budget </v>
      </c>
    </row>
    <row r="6" spans="2:5" ht="15.75">
      <c r="B6" s="393" t="str">
        <f>inputPrYr!B43</f>
        <v>Emergency 911</v>
      </c>
      <c r="C6" s="269" t="str">
        <f>general!C5</f>
        <v>Actual for 2012</v>
      </c>
      <c r="D6" s="269" t="str">
        <f>general!D5</f>
        <v>Estimate for 2013</v>
      </c>
      <c r="E6" s="256" t="str">
        <f>general!E5</f>
        <v>Year for 2014</v>
      </c>
    </row>
    <row r="7" spans="2:5" ht="15.75">
      <c r="B7" s="114" t="s">
        <v>197</v>
      </c>
      <c r="C7" s="78">
        <v>74944</v>
      </c>
      <c r="D7" s="219">
        <f>C30</f>
        <v>76858</v>
      </c>
      <c r="E7" s="219">
        <f>D30</f>
        <v>57008</v>
      </c>
    </row>
    <row r="8" spans="2:5" ht="15.75">
      <c r="B8" s="289" t="s">
        <v>199</v>
      </c>
      <c r="C8" s="74"/>
      <c r="D8" s="74"/>
      <c r="E8" s="74"/>
    </row>
    <row r="9" spans="2:5" ht="15.75">
      <c r="B9" s="271" t="s">
        <v>420</v>
      </c>
      <c r="C9" s="78">
        <v>2363</v>
      </c>
      <c r="D9" s="78"/>
      <c r="E9" s="78"/>
    </row>
    <row r="10" spans="2:5" ht="15.75">
      <c r="B10" s="271"/>
      <c r="C10" s="78"/>
      <c r="D10" s="78"/>
      <c r="E10" s="78"/>
    </row>
    <row r="11" spans="2:5" ht="15.75">
      <c r="B11" s="271"/>
      <c r="C11" s="78"/>
      <c r="D11" s="78"/>
      <c r="E11" s="78"/>
    </row>
    <row r="12" spans="2:5" ht="15.75">
      <c r="B12" s="262" t="s">
        <v>83</v>
      </c>
      <c r="C12" s="78">
        <v>360</v>
      </c>
      <c r="D12" s="78">
        <v>150</v>
      </c>
      <c r="E12" s="78">
        <v>50</v>
      </c>
    </row>
    <row r="13" spans="2:5" ht="15.75">
      <c r="B13" s="263" t="s">
        <v>37</v>
      </c>
      <c r="C13" s="78"/>
      <c r="D13" s="258"/>
      <c r="E13" s="258"/>
    </row>
    <row r="14" spans="2:5" ht="15.75">
      <c r="B14" s="263" t="s">
        <v>282</v>
      </c>
      <c r="C14" s="390">
        <f>IF(C15*0.1&lt;C13,"Exceed 10% Rule","")</f>
      </c>
      <c r="D14" s="264">
        <f>IF(D15*0.1&lt;D13,"Exceed 10% Rule","")</f>
      </c>
      <c r="E14" s="264">
        <f>IF(E15*0.1&lt;E13,"Exceed 10% Rule","")</f>
      </c>
    </row>
    <row r="15" spans="2:5" ht="15.75">
      <c r="B15" s="265" t="s">
        <v>84</v>
      </c>
      <c r="C15" s="305">
        <f>SUM(C9:C13)</f>
        <v>2723</v>
      </c>
      <c r="D15" s="305">
        <f>SUM(D9:D13)</f>
        <v>150</v>
      </c>
      <c r="E15" s="305">
        <f>SUM(E9:E13)</f>
        <v>50</v>
      </c>
    </row>
    <row r="16" spans="2:5" ht="15.75">
      <c r="B16" s="265" t="s">
        <v>85</v>
      </c>
      <c r="C16" s="305">
        <f>C15+C7</f>
        <v>77667</v>
      </c>
      <c r="D16" s="305">
        <f>D15+D7</f>
        <v>77008</v>
      </c>
      <c r="E16" s="305">
        <f>E15+E7</f>
        <v>57058</v>
      </c>
    </row>
    <row r="17" spans="2:5" ht="15.75">
      <c r="B17" s="114" t="s">
        <v>88</v>
      </c>
      <c r="C17" s="219"/>
      <c r="D17" s="219"/>
      <c r="E17" s="219"/>
    </row>
    <row r="18" spans="2:5" ht="15.75">
      <c r="B18" s="271" t="s">
        <v>415</v>
      </c>
      <c r="C18" s="78">
        <v>809</v>
      </c>
      <c r="D18" s="78">
        <v>20000</v>
      </c>
      <c r="E18" s="78">
        <v>57058</v>
      </c>
    </row>
    <row r="19" spans="2:5" ht="15.75">
      <c r="B19" s="271"/>
      <c r="C19" s="78"/>
      <c r="D19" s="78"/>
      <c r="E19" s="78"/>
    </row>
    <row r="20" spans="2:5" ht="15.75">
      <c r="B20" s="271"/>
      <c r="C20" s="78"/>
      <c r="D20" s="78"/>
      <c r="E20" s="78"/>
    </row>
    <row r="21" spans="2:5" ht="15.75">
      <c r="B21" s="271"/>
      <c r="C21" s="78"/>
      <c r="D21" s="78"/>
      <c r="E21" s="78"/>
    </row>
    <row r="22" spans="2:5" ht="15.75">
      <c r="B22" s="271"/>
      <c r="C22" s="78"/>
      <c r="D22" s="78"/>
      <c r="E22" s="78"/>
    </row>
    <row r="23" spans="2:5" ht="15.75">
      <c r="B23" s="271"/>
      <c r="C23" s="78"/>
      <c r="D23" s="78"/>
      <c r="E23" s="78"/>
    </row>
    <row r="24" spans="2:5" ht="15.75">
      <c r="B24" s="271"/>
      <c r="C24" s="78"/>
      <c r="D24" s="78"/>
      <c r="E24" s="78"/>
    </row>
    <row r="25" spans="2:5" ht="15.75">
      <c r="B25" s="271"/>
      <c r="C25" s="78"/>
      <c r="D25" s="78"/>
      <c r="E25" s="78"/>
    </row>
    <row r="26" spans="2:5" ht="15.75">
      <c r="B26" s="271"/>
      <c r="C26" s="78"/>
      <c r="D26" s="78"/>
      <c r="E26" s="78"/>
    </row>
    <row r="27" spans="2:5" ht="15.75">
      <c r="B27" s="263" t="s">
        <v>37</v>
      </c>
      <c r="C27" s="78"/>
      <c r="D27" s="258"/>
      <c r="E27" s="258"/>
    </row>
    <row r="28" spans="2:5" ht="15.75">
      <c r="B28" s="263" t="s">
        <v>281</v>
      </c>
      <c r="C28" s="390">
        <f>IF(C29*0.1&lt;C27,"Exceed 10% Rule","")</f>
      </c>
      <c r="D28" s="264">
        <f>IF(D29*0.1&lt;D27,"Exceed 10% Rule","")</f>
      </c>
      <c r="E28" s="264">
        <f>IF(E29*0.1&lt;E27,"Exceed 10% Rule","")</f>
      </c>
    </row>
    <row r="29" spans="2:5" ht="15.75">
      <c r="B29" s="265" t="s">
        <v>89</v>
      </c>
      <c r="C29" s="305">
        <f>SUM(C18:C27)</f>
        <v>809</v>
      </c>
      <c r="D29" s="305">
        <f>SUM(D18:D27)</f>
        <v>20000</v>
      </c>
      <c r="E29" s="305">
        <f>SUM(E18:E27)</f>
        <v>57058</v>
      </c>
    </row>
    <row r="30" spans="2:5" ht="15.75">
      <c r="B30" s="114" t="s">
        <v>198</v>
      </c>
      <c r="C30" s="86">
        <f>C16-C29</f>
        <v>76858</v>
      </c>
      <c r="D30" s="86">
        <f>D16-D29</f>
        <v>57008</v>
      </c>
      <c r="E30" s="86">
        <f>E16-E29</f>
        <v>0</v>
      </c>
    </row>
    <row r="31" spans="2:5" ht="15.75">
      <c r="B31" s="241" t="str">
        <f>CONCATENATE("",E$1-2,"/",E$1-1," Budget Authority Amount:")</f>
        <v>2012/2013 Budget Authority Amount:</v>
      </c>
      <c r="C31" s="233">
        <f>inputOth!B57</f>
        <v>110833</v>
      </c>
      <c r="D31" s="233">
        <f>inputPrYr!D43</f>
        <v>54367</v>
      </c>
      <c r="E31" s="389">
        <f>IF(E30&lt;0,"See Tab E","")</f>
      </c>
    </row>
    <row r="32" spans="2:5" ht="15.75">
      <c r="B32" s="241"/>
      <c r="C32" s="274">
        <f>IF(C29&gt;C31,"See Tab A","")</f>
      </c>
      <c r="D32" s="274">
        <f>IF(D29&gt;D31,"See Tab C","")</f>
      </c>
      <c r="E32" s="111"/>
    </row>
    <row r="33" spans="2:5" ht="15.75">
      <c r="B33" s="241"/>
      <c r="C33" s="274">
        <f>IF(C30&lt;0,"See Tab B","")</f>
      </c>
      <c r="D33" s="274">
        <f>IF(D30&lt;0,"See Tab D","")</f>
      </c>
      <c r="E33" s="111"/>
    </row>
    <row r="34" spans="2:5" ht="15.75">
      <c r="B34" s="51"/>
      <c r="C34" s="111"/>
      <c r="D34" s="111"/>
      <c r="E34" s="111"/>
    </row>
    <row r="35" spans="2:5" ht="15.75">
      <c r="B35" s="50" t="s">
        <v>75</v>
      </c>
      <c r="C35" s="280"/>
      <c r="D35" s="280"/>
      <c r="E35" s="280"/>
    </row>
    <row r="36" spans="2:5" ht="15.75">
      <c r="B36" s="51"/>
      <c r="C36" s="276" t="str">
        <f aca="true" t="shared" si="0" ref="C36:E37">C5</f>
        <v>Prior Year </v>
      </c>
      <c r="D36" s="178" t="str">
        <f t="shared" si="0"/>
        <v>Current Year </v>
      </c>
      <c r="E36" s="178" t="str">
        <f t="shared" si="0"/>
        <v>Proposed Budget </v>
      </c>
    </row>
    <row r="37" spans="2:5" ht="15.75">
      <c r="B37" s="392" t="str">
        <f>inputPrYr!B44</f>
        <v>Mitchell- 911</v>
      </c>
      <c r="C37" s="269" t="str">
        <f t="shared" si="0"/>
        <v>Actual for 2012</v>
      </c>
      <c r="D37" s="269" t="str">
        <f t="shared" si="0"/>
        <v>Estimate for 2013</v>
      </c>
      <c r="E37" s="269" t="str">
        <f t="shared" si="0"/>
        <v>Year for 2014</v>
      </c>
    </row>
    <row r="38" spans="2:5" ht="15.75">
      <c r="B38" s="114" t="s">
        <v>197</v>
      </c>
      <c r="C38" s="78">
        <v>0</v>
      </c>
      <c r="D38" s="219">
        <f>C61</f>
        <v>28270</v>
      </c>
      <c r="E38" s="219">
        <f>D61</f>
        <v>28270</v>
      </c>
    </row>
    <row r="39" spans="2:5" ht="15.75">
      <c r="B39" s="114" t="s">
        <v>199</v>
      </c>
      <c r="C39" s="74"/>
      <c r="D39" s="74"/>
      <c r="E39" s="74"/>
    </row>
    <row r="40" spans="2:5" ht="15.75">
      <c r="B40" s="271" t="s">
        <v>420</v>
      </c>
      <c r="C40" s="78">
        <v>41541</v>
      </c>
      <c r="D40" s="78">
        <v>50000</v>
      </c>
      <c r="E40" s="78">
        <v>50000</v>
      </c>
    </row>
    <row r="41" spans="2:5" ht="15.75">
      <c r="B41" s="271"/>
      <c r="C41" s="78"/>
      <c r="D41" s="78"/>
      <c r="E41" s="78"/>
    </row>
    <row r="42" spans="2:5" ht="15.75">
      <c r="B42" s="271"/>
      <c r="C42" s="78"/>
      <c r="D42" s="78"/>
      <c r="E42" s="78"/>
    </row>
    <row r="43" spans="2:5" ht="15.75">
      <c r="B43" s="262" t="s">
        <v>83</v>
      </c>
      <c r="C43" s="78"/>
      <c r="D43" s="78"/>
      <c r="E43" s="78"/>
    </row>
    <row r="44" spans="2:5" ht="15.75">
      <c r="B44" s="263" t="s">
        <v>37</v>
      </c>
      <c r="C44" s="78"/>
      <c r="D44" s="258"/>
      <c r="E44" s="258"/>
    </row>
    <row r="45" spans="2:5" ht="15.75">
      <c r="B45" s="263" t="s">
        <v>282</v>
      </c>
      <c r="C45" s="390">
        <f>IF(C46*0.1&lt;C44,"Exceed 10% Rule","")</f>
      </c>
      <c r="D45" s="264">
        <f>IF(D46*0.1&lt;D44,"Exceed 10% Rule","")</f>
      </c>
      <c r="E45" s="264">
        <f>IF(E46*0.1&lt;E44,"Exceed 10% Rule","")</f>
      </c>
    </row>
    <row r="46" spans="2:5" ht="15.75">
      <c r="B46" s="265" t="s">
        <v>84</v>
      </c>
      <c r="C46" s="305">
        <f>SUM(C40:C44)</f>
        <v>41541</v>
      </c>
      <c r="D46" s="305">
        <f>SUM(D40:D44)</f>
        <v>50000</v>
      </c>
      <c r="E46" s="305">
        <f>SUM(E40:E44)</f>
        <v>50000</v>
      </c>
    </row>
    <row r="47" spans="2:5" ht="15.75">
      <c r="B47" s="265" t="s">
        <v>85</v>
      </c>
      <c r="C47" s="305">
        <f>C38+C46</f>
        <v>41541</v>
      </c>
      <c r="D47" s="305">
        <f>D38+D46</f>
        <v>78270</v>
      </c>
      <c r="E47" s="305">
        <f>E38+E46</f>
        <v>78270</v>
      </c>
    </row>
    <row r="48" spans="2:5" ht="15.75">
      <c r="B48" s="114" t="s">
        <v>88</v>
      </c>
      <c r="C48" s="219"/>
      <c r="D48" s="219"/>
      <c r="E48" s="219"/>
    </row>
    <row r="49" spans="2:5" ht="15.75">
      <c r="B49" s="271" t="s">
        <v>415</v>
      </c>
      <c r="C49" s="78">
        <v>13271</v>
      </c>
      <c r="D49" s="78">
        <v>50000</v>
      </c>
      <c r="E49" s="78">
        <v>78270</v>
      </c>
    </row>
    <row r="50" spans="2:5" ht="15.75">
      <c r="B50" s="271"/>
      <c r="C50" s="78"/>
      <c r="D50" s="78"/>
      <c r="E50" s="78"/>
    </row>
    <row r="51" spans="2:5" ht="15.75">
      <c r="B51" s="271"/>
      <c r="C51" s="78"/>
      <c r="D51" s="78"/>
      <c r="E51" s="78"/>
    </row>
    <row r="52" spans="2:5" ht="15.75">
      <c r="B52" s="271"/>
      <c r="C52" s="78"/>
      <c r="D52" s="78"/>
      <c r="E52" s="78"/>
    </row>
    <row r="53" spans="2:5" ht="15.75">
      <c r="B53" s="271"/>
      <c r="C53" s="78"/>
      <c r="D53" s="78"/>
      <c r="E53" s="78"/>
    </row>
    <row r="54" spans="2:5" ht="15.75">
      <c r="B54" s="271"/>
      <c r="C54" s="78"/>
      <c r="D54" s="78"/>
      <c r="E54" s="78"/>
    </row>
    <row r="55" spans="2:5" ht="15.75">
      <c r="B55" s="271"/>
      <c r="C55" s="78"/>
      <c r="D55" s="78"/>
      <c r="E55" s="78"/>
    </row>
    <row r="56" spans="2:5" ht="15.75">
      <c r="B56" s="271"/>
      <c r="C56" s="78"/>
      <c r="D56" s="78"/>
      <c r="E56" s="78"/>
    </row>
    <row r="57" spans="2:5" ht="15.75">
      <c r="B57" s="271"/>
      <c r="C57" s="78"/>
      <c r="D57" s="78"/>
      <c r="E57" s="78"/>
    </row>
    <row r="58" spans="2:5" ht="15.75">
      <c r="B58" s="263" t="s">
        <v>37</v>
      </c>
      <c r="C58" s="78"/>
      <c r="D58" s="258"/>
      <c r="E58" s="258"/>
    </row>
    <row r="59" spans="2:5" ht="15.75">
      <c r="B59" s="263" t="s">
        <v>281</v>
      </c>
      <c r="C59" s="390">
        <f>IF(C60*0.1&lt;C58,"Exceed 10% Rule","")</f>
      </c>
      <c r="D59" s="264">
        <f>IF(D60*0.1&lt;D58,"Exceed 10% Rule","")</f>
      </c>
      <c r="E59" s="264">
        <f>IF(E60*0.1&lt;E58,"Exceed 10% Rule","")</f>
      </c>
    </row>
    <row r="60" spans="2:5" ht="15.75">
      <c r="B60" s="265" t="s">
        <v>89</v>
      </c>
      <c r="C60" s="305">
        <f>SUM(C49:C58)</f>
        <v>13271</v>
      </c>
      <c r="D60" s="305">
        <f>SUM(D49:D58)</f>
        <v>50000</v>
      </c>
      <c r="E60" s="305">
        <f>SUM(E49:E58)</f>
        <v>78270</v>
      </c>
    </row>
    <row r="61" spans="2:5" ht="15.75">
      <c r="B61" s="114" t="s">
        <v>198</v>
      </c>
      <c r="C61" s="86">
        <f>C47-C60</f>
        <v>28270</v>
      </c>
      <c r="D61" s="86">
        <f>D47-D60</f>
        <v>28270</v>
      </c>
      <c r="E61" s="86">
        <f>E47-E60</f>
        <v>0</v>
      </c>
    </row>
    <row r="62" spans="2:5" ht="15.75">
      <c r="B62" s="241" t="str">
        <f>CONCATENATE("",E$1-2,"/",E$1-1," Budget Authority Amount:")</f>
        <v>2012/2013 Budget Authority Amount:</v>
      </c>
      <c r="C62" s="233">
        <f>inputOth!B58</f>
        <v>50000</v>
      </c>
      <c r="D62" s="233">
        <f>inputPrYr!D44</f>
        <v>50000</v>
      </c>
      <c r="E62" s="388">
        <f>IF(E61&lt;0,"See Tab E","")</f>
      </c>
    </row>
    <row r="63" spans="2:5" ht="15.75">
      <c r="B63" s="241"/>
      <c r="C63" s="274">
        <f>IF(C60&gt;C62,"See Tab A","")</f>
      </c>
      <c r="D63" s="274">
        <f>IF(D60&gt;D62,"See Tab C","")</f>
      </c>
      <c r="E63" s="51"/>
    </row>
    <row r="64" spans="2:5" ht="15.75">
      <c r="B64" s="241"/>
      <c r="C64" s="274">
        <f>IF(C61&lt;0,"See Tab B","")</f>
      </c>
      <c r="D64" s="274">
        <f>IF(D61&lt;0,"See Tab D","")</f>
      </c>
      <c r="E64" s="51"/>
    </row>
    <row r="65" spans="2:5" ht="15.75">
      <c r="B65" s="51"/>
      <c r="C65" s="51"/>
      <c r="D65" s="51"/>
      <c r="E65" s="51"/>
    </row>
    <row r="66" spans="2:5" ht="15.75">
      <c r="B66" s="241" t="s">
        <v>109</v>
      </c>
      <c r="C66" s="302">
        <v>20</v>
      </c>
      <c r="D66" s="51"/>
      <c r="E66" s="51"/>
    </row>
  </sheetData>
  <sheetProtection sheet="1"/>
  <conditionalFormatting sqref="C27">
    <cfRule type="cellIs" priority="3" dxfId="309" operator="greaterThan" stopIfTrue="1">
      <formula>$C$29*0.1</formula>
    </cfRule>
  </conditionalFormatting>
  <conditionalFormatting sqref="D27">
    <cfRule type="cellIs" priority="4" dxfId="309" operator="greaterThan" stopIfTrue="1">
      <formula>$D$29*0.1</formula>
    </cfRule>
  </conditionalFormatting>
  <conditionalFormatting sqref="E27">
    <cfRule type="cellIs" priority="5" dxfId="309" operator="greaterThan" stopIfTrue="1">
      <formula>$E$29*0.1</formula>
    </cfRule>
  </conditionalFormatting>
  <conditionalFormatting sqref="C13">
    <cfRule type="cellIs" priority="6" dxfId="309" operator="greaterThan" stopIfTrue="1">
      <formula>$C$15*0.1</formula>
    </cfRule>
  </conditionalFormatting>
  <conditionalFormatting sqref="D13">
    <cfRule type="cellIs" priority="7" dxfId="309" operator="greaterThan" stopIfTrue="1">
      <formula>$D$15*0.1</formula>
    </cfRule>
  </conditionalFormatting>
  <conditionalFormatting sqref="E13">
    <cfRule type="cellIs" priority="8" dxfId="309" operator="greaterThan" stopIfTrue="1">
      <formula>$E$15*0.1</formula>
    </cfRule>
  </conditionalFormatting>
  <conditionalFormatting sqref="C44">
    <cfRule type="cellIs" priority="9" dxfId="309" operator="greaterThan" stopIfTrue="1">
      <formula>$C$46*0.1</formula>
    </cfRule>
  </conditionalFormatting>
  <conditionalFormatting sqref="D44">
    <cfRule type="cellIs" priority="10" dxfId="309" operator="greaterThan" stopIfTrue="1">
      <formula>$D$46*0.1</formula>
    </cfRule>
  </conditionalFormatting>
  <conditionalFormatting sqref="E44">
    <cfRule type="cellIs" priority="11" dxfId="309" operator="greaterThan" stopIfTrue="1">
      <formula>$E$46*0.1</formula>
    </cfRule>
  </conditionalFormatting>
  <conditionalFormatting sqref="C58">
    <cfRule type="cellIs" priority="12" dxfId="309" operator="greaterThan" stopIfTrue="1">
      <formula>$C$60*0.1</formula>
    </cfRule>
  </conditionalFormatting>
  <conditionalFormatting sqref="D58">
    <cfRule type="cellIs" priority="13" dxfId="309" operator="greaterThan" stopIfTrue="1">
      <formula>$D$60*0.1</formula>
    </cfRule>
  </conditionalFormatting>
  <conditionalFormatting sqref="E58">
    <cfRule type="cellIs" priority="14" dxfId="309" operator="greaterThan" stopIfTrue="1">
      <formula>$E$60*0.1</formula>
    </cfRule>
  </conditionalFormatting>
  <conditionalFormatting sqref="E30 C30 E61 C61">
    <cfRule type="cellIs" priority="15" dxfId="2" operator="lessThan" stopIfTrue="1">
      <formula>0</formula>
    </cfRule>
  </conditionalFormatting>
  <conditionalFormatting sqref="D29">
    <cfRule type="cellIs" priority="16" dxfId="2" operator="greaterThan" stopIfTrue="1">
      <formula>$D$31</formula>
    </cfRule>
  </conditionalFormatting>
  <conditionalFormatting sqref="C29">
    <cfRule type="cellIs" priority="17" dxfId="2" operator="greaterThan" stopIfTrue="1">
      <formula>$C$31</formula>
    </cfRule>
  </conditionalFormatting>
  <conditionalFormatting sqref="D60">
    <cfRule type="cellIs" priority="18" dxfId="2" operator="greaterThan" stopIfTrue="1">
      <formula>$D$62</formula>
    </cfRule>
  </conditionalFormatting>
  <conditionalFormatting sqref="C60">
    <cfRule type="cellIs" priority="19" dxfId="2" operator="greaterThan" stopIfTrue="1">
      <formula>$C$62</formula>
    </cfRule>
  </conditionalFormatting>
  <conditionalFormatting sqref="D30">
    <cfRule type="cellIs" priority="2" dxfId="0" operator="lessThan" stopIfTrue="1">
      <formula>0</formula>
    </cfRule>
  </conditionalFormatting>
  <conditionalFormatting sqref="D61">
    <cfRule type="cellIs" priority="1" dxfId="0" operator="lessThan" stopIfTrue="1">
      <formula>0</formula>
    </cfRule>
  </conditionalFormatting>
  <printOptions/>
  <pageMargins left="1.12" right="0.5" top="0.74" bottom="0.34" header="0.5" footer="0"/>
  <pageSetup blackAndWhite="1" fitToHeight="1" fitToWidth="1" horizontalDpi="120" verticalDpi="120" orientation="portrait" scale="66" r:id="rId1"/>
  <headerFooter alignWithMargins="0">
    <oddHeader>&amp;RState of Kansas
County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E66"/>
  <sheetViews>
    <sheetView view="pageBreakPreview" zoomScale="113" zoomScaleSheetLayoutView="113" zoomScalePageLayoutView="0" workbookViewId="0" topLeftCell="A22">
      <selection activeCell="E37" sqref="E37"/>
    </sheetView>
  </sheetViews>
  <sheetFormatPr defaultColWidth="8.796875" defaultRowHeight="15"/>
  <cols>
    <col min="1" max="1" width="2.3984375" style="48" customWidth="1"/>
    <col min="2" max="2" width="31.09765625" style="48" customWidth="1"/>
    <col min="3" max="4" width="15.796875" style="48" customWidth="1"/>
    <col min="5" max="5" width="16.09765625" style="48" customWidth="1"/>
    <col min="6" max="16384" width="8.8984375" style="48" customWidth="1"/>
  </cols>
  <sheetData>
    <row r="1" spans="2:5" ht="15.75">
      <c r="B1" s="182" t="str">
        <f>(inputPrYr!C2)</f>
        <v>MITCHELL COUNTY</v>
      </c>
      <c r="C1" s="51"/>
      <c r="D1" s="51"/>
      <c r="E1" s="240">
        <f>inputPrYr!C4</f>
        <v>2014</v>
      </c>
    </row>
    <row r="2" spans="2:5" ht="15.75">
      <c r="B2" s="51"/>
      <c r="C2" s="51"/>
      <c r="D2" s="51"/>
      <c r="E2" s="194"/>
    </row>
    <row r="3" spans="2:5" ht="15.75">
      <c r="B3" s="118" t="s">
        <v>156</v>
      </c>
      <c r="C3" s="286"/>
      <c r="D3" s="286"/>
      <c r="E3" s="287"/>
    </row>
    <row r="4" spans="2:5" ht="15.75">
      <c r="B4" s="51"/>
      <c r="C4" s="280"/>
      <c r="D4" s="280"/>
      <c r="E4" s="280"/>
    </row>
    <row r="5" spans="2:5" ht="15.75">
      <c r="B5" s="50" t="s">
        <v>75</v>
      </c>
      <c r="C5" s="276" t="str">
        <f>general!C4</f>
        <v>Prior Year </v>
      </c>
      <c r="D5" s="178" t="str">
        <f>general!D4</f>
        <v>Current Year </v>
      </c>
      <c r="E5" s="178" t="str">
        <f>general!E4</f>
        <v>Proposed Budget </v>
      </c>
    </row>
    <row r="6" spans="2:5" ht="15.75">
      <c r="B6" s="393" t="str">
        <f>inputPrYr!B45</f>
        <v>Courthouse Technology</v>
      </c>
      <c r="C6" s="269" t="str">
        <f>general!C5</f>
        <v>Actual for 2012</v>
      </c>
      <c r="D6" s="269" t="str">
        <f>general!D5</f>
        <v>Estimate for 2013</v>
      </c>
      <c r="E6" s="269" t="str">
        <f>general!E5</f>
        <v>Year for 2014</v>
      </c>
    </row>
    <row r="7" spans="2:5" ht="15.75">
      <c r="B7" s="114" t="s">
        <v>197</v>
      </c>
      <c r="C7" s="78">
        <v>53300</v>
      </c>
      <c r="D7" s="219">
        <f>C30</f>
        <v>47086</v>
      </c>
      <c r="E7" s="219">
        <f>D30</f>
        <v>27086</v>
      </c>
    </row>
    <row r="8" spans="2:5" ht="15.75">
      <c r="B8" s="289" t="s">
        <v>199</v>
      </c>
      <c r="C8" s="74"/>
      <c r="D8" s="74"/>
      <c r="E8" s="74"/>
    </row>
    <row r="9" spans="2:5" ht="15.75">
      <c r="B9" s="271" t="s">
        <v>405</v>
      </c>
      <c r="C9" s="78">
        <v>4000</v>
      </c>
      <c r="D9" s="78"/>
      <c r="E9" s="78"/>
    </row>
    <row r="10" spans="2:5" ht="15.75">
      <c r="B10" s="271"/>
      <c r="C10" s="78"/>
      <c r="D10" s="78"/>
      <c r="E10" s="78"/>
    </row>
    <row r="11" spans="2:5" ht="15.75">
      <c r="B11" s="271"/>
      <c r="C11" s="78"/>
      <c r="D11" s="78"/>
      <c r="E11" s="78"/>
    </row>
    <row r="12" spans="2:5" ht="15.75">
      <c r="B12" s="262" t="s">
        <v>83</v>
      </c>
      <c r="C12" s="78"/>
      <c r="D12" s="78"/>
      <c r="E12" s="78"/>
    </row>
    <row r="13" spans="2:5" ht="15.75">
      <c r="B13" s="263" t="s">
        <v>37</v>
      </c>
      <c r="C13" s="78"/>
      <c r="D13" s="258"/>
      <c r="E13" s="258"/>
    </row>
    <row r="14" spans="2:5" ht="15.75">
      <c r="B14" s="263" t="s">
        <v>282</v>
      </c>
      <c r="C14" s="390">
        <f>IF(C15*0.1&lt;C13,"Exceed 10% Rule","")</f>
      </c>
      <c r="D14" s="264">
        <f>IF(D15*0.1&lt;D13,"Exceed 10% Rule","")</f>
      </c>
      <c r="E14" s="264">
        <f>IF(E15*0.1&lt;E13,"Exceed 10% Rule","")</f>
      </c>
    </row>
    <row r="15" spans="2:5" ht="15.75">
      <c r="B15" s="265" t="s">
        <v>84</v>
      </c>
      <c r="C15" s="305">
        <f>SUM(C9:C13)</f>
        <v>4000</v>
      </c>
      <c r="D15" s="305">
        <f>SUM(D9:D13)</f>
        <v>0</v>
      </c>
      <c r="E15" s="305">
        <f>SUM(E9:E13)</f>
        <v>0</v>
      </c>
    </row>
    <row r="16" spans="2:5" ht="15.75">
      <c r="B16" s="265" t="s">
        <v>85</v>
      </c>
      <c r="C16" s="305">
        <f>C15+C7</f>
        <v>57300</v>
      </c>
      <c r="D16" s="305">
        <f>D15+D7</f>
        <v>47086</v>
      </c>
      <c r="E16" s="305">
        <f>E15+E7</f>
        <v>27086</v>
      </c>
    </row>
    <row r="17" spans="2:5" ht="15.75">
      <c r="B17" s="114" t="s">
        <v>88</v>
      </c>
      <c r="C17" s="219"/>
      <c r="D17" s="219"/>
      <c r="E17" s="219"/>
    </row>
    <row r="18" spans="2:5" ht="15.75">
      <c r="B18" s="271" t="s">
        <v>415</v>
      </c>
      <c r="C18" s="78">
        <v>10214</v>
      </c>
      <c r="D18" s="78">
        <v>20000</v>
      </c>
      <c r="E18" s="78">
        <v>27086</v>
      </c>
    </row>
    <row r="19" spans="2:5" ht="15.75">
      <c r="B19" s="271"/>
      <c r="C19" s="78"/>
      <c r="D19" s="78"/>
      <c r="E19" s="78"/>
    </row>
    <row r="20" spans="2:5" ht="15.75">
      <c r="B20" s="271"/>
      <c r="C20" s="78"/>
      <c r="D20" s="78"/>
      <c r="E20" s="78"/>
    </row>
    <row r="21" spans="2:5" ht="15.75">
      <c r="B21" s="271"/>
      <c r="C21" s="78"/>
      <c r="D21" s="78"/>
      <c r="E21" s="78"/>
    </row>
    <row r="22" spans="2:5" ht="15.75">
      <c r="B22" s="271"/>
      <c r="C22" s="78"/>
      <c r="D22" s="78"/>
      <c r="E22" s="78"/>
    </row>
    <row r="23" spans="2:5" ht="15.75">
      <c r="B23" s="271"/>
      <c r="C23" s="78"/>
      <c r="D23" s="78"/>
      <c r="E23" s="78"/>
    </row>
    <row r="24" spans="2:5" ht="15.75">
      <c r="B24" s="271"/>
      <c r="C24" s="78"/>
      <c r="D24" s="78"/>
      <c r="E24" s="78"/>
    </row>
    <row r="25" spans="2:5" ht="15.75">
      <c r="B25" s="271"/>
      <c r="C25" s="78"/>
      <c r="D25" s="78"/>
      <c r="E25" s="78"/>
    </row>
    <row r="26" spans="2:5" ht="15.75">
      <c r="B26" s="271"/>
      <c r="C26" s="78"/>
      <c r="D26" s="78"/>
      <c r="E26" s="78"/>
    </row>
    <row r="27" spans="2:5" ht="15.75">
      <c r="B27" s="263" t="s">
        <v>37</v>
      </c>
      <c r="C27" s="78"/>
      <c r="D27" s="258"/>
      <c r="E27" s="258"/>
    </row>
    <row r="28" spans="2:5" ht="15.75">
      <c r="B28" s="263" t="s">
        <v>281</v>
      </c>
      <c r="C28" s="390">
        <f>IF(C29*0.1&lt;C27,"Exceed 10% Rule","")</f>
      </c>
      <c r="D28" s="264">
        <f>IF(D29*0.1&lt;D27,"Exceed 10% Rule","")</f>
      </c>
      <c r="E28" s="264">
        <f>IF(E29*0.1&lt;E27,"Exceed 10% Rule","")</f>
      </c>
    </row>
    <row r="29" spans="2:5" ht="15.75">
      <c r="B29" s="265" t="s">
        <v>89</v>
      </c>
      <c r="C29" s="305">
        <f>SUM(C18:C27)</f>
        <v>10214</v>
      </c>
      <c r="D29" s="305">
        <f>SUM(D18:D27)</f>
        <v>20000</v>
      </c>
      <c r="E29" s="305">
        <f>SUM(E18:E27)</f>
        <v>27086</v>
      </c>
    </row>
    <row r="30" spans="2:5" ht="15.75">
      <c r="B30" s="114" t="s">
        <v>198</v>
      </c>
      <c r="C30" s="86">
        <f>C16-C29</f>
        <v>47086</v>
      </c>
      <c r="D30" s="86">
        <f>D16-D29</f>
        <v>27086</v>
      </c>
      <c r="E30" s="86">
        <f>E16-E29</f>
        <v>0</v>
      </c>
    </row>
    <row r="31" spans="2:5" ht="15.75">
      <c r="B31" s="241" t="str">
        <f>CONCATENATE("",E$1-2,"/",E$1-1," Budget Authority Amount:")</f>
        <v>2012/2013 Budget Authority Amount:</v>
      </c>
      <c r="C31" s="233">
        <f>inputOth!B59</f>
        <v>47300</v>
      </c>
      <c r="D31" s="233">
        <f>inputPrYr!D45</f>
        <v>51300</v>
      </c>
      <c r="E31" s="389">
        <f>IF(E30&lt;0,"See Tab E","")</f>
      </c>
    </row>
    <row r="32" spans="2:5" ht="15.75">
      <c r="B32" s="241"/>
      <c r="C32" s="274">
        <f>IF(C29&gt;C31,"See Tab A","")</f>
      </c>
      <c r="D32" s="274">
        <f>IF(D29&gt;D31,"See Tab C","")</f>
      </c>
      <c r="E32" s="111"/>
    </row>
    <row r="33" spans="2:5" ht="15.75">
      <c r="B33" s="241"/>
      <c r="C33" s="274">
        <f>IF(C30&lt;0,"See Tab B","")</f>
      </c>
      <c r="D33" s="274">
        <f>IF(D30&lt;0,"See Tab D","")</f>
      </c>
      <c r="E33" s="111"/>
    </row>
    <row r="34" spans="2:5" ht="15.75">
      <c r="B34" s="51"/>
      <c r="C34" s="111"/>
      <c r="D34" s="111"/>
      <c r="E34" s="111"/>
    </row>
    <row r="35" spans="2:5" ht="15.75">
      <c r="B35" s="50" t="s">
        <v>75</v>
      </c>
      <c r="C35" s="280"/>
      <c r="D35" s="280"/>
      <c r="E35" s="280"/>
    </row>
    <row r="36" spans="2:5" ht="15.75">
      <c r="B36" s="51"/>
      <c r="C36" s="276" t="str">
        <f aca="true" t="shared" si="0" ref="C36:E37">C5</f>
        <v>Prior Year </v>
      </c>
      <c r="D36" s="178" t="str">
        <f t="shared" si="0"/>
        <v>Current Year </v>
      </c>
      <c r="E36" s="178" t="str">
        <f t="shared" si="0"/>
        <v>Proposed Budget </v>
      </c>
    </row>
    <row r="37" spans="2:5" ht="15.75">
      <c r="B37" s="392" t="str">
        <f>inputPrYr!B46</f>
        <v>Reg. of Deeds Technology</v>
      </c>
      <c r="C37" s="437" t="str">
        <f t="shared" si="0"/>
        <v>Actual for 2012</v>
      </c>
      <c r="D37" s="437" t="str">
        <f t="shared" si="0"/>
        <v>Estimate for 2013</v>
      </c>
      <c r="E37" s="437" t="str">
        <f t="shared" si="0"/>
        <v>Year for 2014</v>
      </c>
    </row>
    <row r="38" spans="2:5" ht="15.75">
      <c r="B38" s="114" t="s">
        <v>197</v>
      </c>
      <c r="C38" s="78">
        <v>34037</v>
      </c>
      <c r="D38" s="219">
        <f>C61</f>
        <v>42281</v>
      </c>
      <c r="E38" s="219">
        <f>D61</f>
        <v>23781</v>
      </c>
    </row>
    <row r="39" spans="2:5" ht="15.75">
      <c r="B39" s="114" t="s">
        <v>199</v>
      </c>
      <c r="C39" s="74"/>
      <c r="D39" s="74"/>
      <c r="E39" s="74"/>
    </row>
    <row r="40" spans="2:5" ht="15.75">
      <c r="B40" s="271" t="s">
        <v>421</v>
      </c>
      <c r="C40" s="78">
        <v>8244</v>
      </c>
      <c r="D40" s="78">
        <v>6500</v>
      </c>
      <c r="E40" s="78">
        <v>6500</v>
      </c>
    </row>
    <row r="41" spans="2:5" ht="15.75">
      <c r="B41" s="271"/>
      <c r="C41" s="78"/>
      <c r="D41" s="78"/>
      <c r="E41" s="78"/>
    </row>
    <row r="42" spans="2:5" ht="15.75">
      <c r="B42" s="271"/>
      <c r="C42" s="78"/>
      <c r="D42" s="78"/>
      <c r="E42" s="78"/>
    </row>
    <row r="43" spans="2:5" ht="15.75">
      <c r="B43" s="262" t="s">
        <v>83</v>
      </c>
      <c r="C43" s="78"/>
      <c r="D43" s="78"/>
      <c r="E43" s="78"/>
    </row>
    <row r="44" spans="2:5" ht="15.75">
      <c r="B44" s="263" t="s">
        <v>37</v>
      </c>
      <c r="C44" s="78"/>
      <c r="D44" s="258"/>
      <c r="E44" s="258"/>
    </row>
    <row r="45" spans="2:5" ht="15.75">
      <c r="B45" s="263" t="s">
        <v>282</v>
      </c>
      <c r="C45" s="390">
        <f>IF(C46*0.1&lt;C44,"Exceed 10% Rule","")</f>
      </c>
      <c r="D45" s="264">
        <f>IF(D46*0.1&lt;D44,"Exceed 10% Rule","")</f>
      </c>
      <c r="E45" s="264">
        <f>IF(E46*0.1&lt;E44,"Exceed 10% Rule","")</f>
      </c>
    </row>
    <row r="46" spans="2:5" ht="15.75">
      <c r="B46" s="265" t="s">
        <v>84</v>
      </c>
      <c r="C46" s="305">
        <f>SUM(C40:C44)</f>
        <v>8244</v>
      </c>
      <c r="D46" s="305">
        <f>SUM(D40:D44)</f>
        <v>6500</v>
      </c>
      <c r="E46" s="305">
        <f>SUM(E40:E44)</f>
        <v>6500</v>
      </c>
    </row>
    <row r="47" spans="2:5" ht="15.75">
      <c r="B47" s="265" t="s">
        <v>85</v>
      </c>
      <c r="C47" s="305">
        <f>C38+C46</f>
        <v>42281</v>
      </c>
      <c r="D47" s="305">
        <f>D38+D46</f>
        <v>48781</v>
      </c>
      <c r="E47" s="305">
        <f>E38+E46</f>
        <v>30281</v>
      </c>
    </row>
    <row r="48" spans="2:5" ht="15.75">
      <c r="B48" s="114" t="s">
        <v>88</v>
      </c>
      <c r="C48" s="219"/>
      <c r="D48" s="219"/>
      <c r="E48" s="219"/>
    </row>
    <row r="49" spans="2:5" ht="15.75">
      <c r="B49" s="271" t="s">
        <v>415</v>
      </c>
      <c r="C49" s="78"/>
      <c r="D49" s="78">
        <v>25000</v>
      </c>
      <c r="E49" s="78">
        <v>30281</v>
      </c>
    </row>
    <row r="50" spans="2:5" ht="15.75">
      <c r="B50" s="271"/>
      <c r="C50" s="78"/>
      <c r="D50" s="78"/>
      <c r="E50" s="78"/>
    </row>
    <row r="51" spans="2:5" ht="15.75">
      <c r="B51" s="271"/>
      <c r="C51" s="78"/>
      <c r="D51" s="78"/>
      <c r="E51" s="78"/>
    </row>
    <row r="52" spans="2:5" ht="15.75">
      <c r="B52" s="271"/>
      <c r="C52" s="78"/>
      <c r="D52" s="78"/>
      <c r="E52" s="78"/>
    </row>
    <row r="53" spans="2:5" ht="15.75">
      <c r="B53" s="271"/>
      <c r="C53" s="78"/>
      <c r="D53" s="78"/>
      <c r="E53" s="78"/>
    </row>
    <row r="54" spans="2:5" ht="15.75">
      <c r="B54" s="271"/>
      <c r="C54" s="78"/>
      <c r="D54" s="78"/>
      <c r="E54" s="78"/>
    </row>
    <row r="55" spans="2:5" ht="15.75">
      <c r="B55" s="271"/>
      <c r="C55" s="78"/>
      <c r="D55" s="78"/>
      <c r="E55" s="78"/>
    </row>
    <row r="56" spans="2:5" ht="15.75">
      <c r="B56" s="271"/>
      <c r="C56" s="78"/>
      <c r="D56" s="78"/>
      <c r="E56" s="78"/>
    </row>
    <row r="57" spans="2:5" ht="15.75">
      <c r="B57" s="271"/>
      <c r="C57" s="78"/>
      <c r="D57" s="78"/>
      <c r="E57" s="78"/>
    </row>
    <row r="58" spans="2:5" ht="15.75">
      <c r="B58" s="263" t="s">
        <v>37</v>
      </c>
      <c r="C58" s="78"/>
      <c r="D58" s="258"/>
      <c r="E58" s="258"/>
    </row>
    <row r="59" spans="2:5" ht="15.75">
      <c r="B59" s="263" t="s">
        <v>281</v>
      </c>
      <c r="C59" s="390">
        <f>IF(C60*0.1&lt;C58,"Exceed 10% Rule","")</f>
      </c>
      <c r="D59" s="264">
        <f>IF(D60*0.1&lt;D58,"Exceed 10% Rule","")</f>
      </c>
      <c r="E59" s="264">
        <f>IF(E60*0.1&lt;E58,"Exceed 10% Rule","")</f>
      </c>
    </row>
    <row r="60" spans="2:5" ht="15.75">
      <c r="B60" s="265" t="s">
        <v>89</v>
      </c>
      <c r="C60" s="305">
        <f>SUM(C49:C58)</f>
        <v>0</v>
      </c>
      <c r="D60" s="305">
        <f>SUM(D49:D58)</f>
        <v>25000</v>
      </c>
      <c r="E60" s="305">
        <f>SUM(E49:E58)</f>
        <v>30281</v>
      </c>
    </row>
    <row r="61" spans="2:5" ht="15.75">
      <c r="B61" s="114" t="s">
        <v>198</v>
      </c>
      <c r="C61" s="86">
        <f>C47-C60</f>
        <v>42281</v>
      </c>
      <c r="D61" s="86">
        <f>D47-D60</f>
        <v>23781</v>
      </c>
      <c r="E61" s="86">
        <f>E47-E60</f>
        <v>0</v>
      </c>
    </row>
    <row r="62" spans="2:5" ht="15.75">
      <c r="B62" s="241" t="str">
        <f>CONCATENATE("",E$1-2,"/",E$1-1," Budget Authority Amount:")</f>
        <v>2012/2013 Budget Authority Amount:</v>
      </c>
      <c r="C62" s="233">
        <f>inputOth!B60</f>
        <v>28573</v>
      </c>
      <c r="D62" s="233">
        <f>inputPrYr!D46</f>
        <v>36537</v>
      </c>
      <c r="E62" s="388">
        <f>IF(E61&lt;0,"See Tab E","")</f>
      </c>
    </row>
    <row r="63" spans="2:5" ht="15.75">
      <c r="B63" s="241"/>
      <c r="C63" s="274">
        <f>IF(C60&gt;C62,"See Tab A","")</f>
      </c>
      <c r="D63" s="274">
        <f>IF(D60&gt;D62,"See Tab C","")</f>
      </c>
      <c r="E63" s="51"/>
    </row>
    <row r="64" spans="2:5" ht="15.75">
      <c r="B64" s="241"/>
      <c r="C64" s="274">
        <f>IF(C61&lt;0,"See Tab B","")</f>
      </c>
      <c r="D64" s="274">
        <f>IF(D61&lt;0,"See Tab D","")</f>
      </c>
      <c r="E64" s="51"/>
    </row>
    <row r="65" spans="2:5" ht="15.75">
      <c r="B65" s="51"/>
      <c r="C65" s="51"/>
      <c r="D65" s="51"/>
      <c r="E65" s="51"/>
    </row>
    <row r="66" spans="2:5" ht="15.75">
      <c r="B66" s="241" t="s">
        <v>109</v>
      </c>
      <c r="C66" s="302">
        <v>21</v>
      </c>
      <c r="D66" s="51"/>
      <c r="E66" s="51"/>
    </row>
  </sheetData>
  <sheetProtection sheet="1"/>
  <conditionalFormatting sqref="C27">
    <cfRule type="cellIs" priority="2" dxfId="309" operator="greaterThan" stopIfTrue="1">
      <formula>$C$29*0.1</formula>
    </cfRule>
  </conditionalFormatting>
  <conditionalFormatting sqref="D27">
    <cfRule type="cellIs" priority="3" dxfId="309" operator="greaterThan" stopIfTrue="1">
      <formula>$D$29*0.1</formula>
    </cfRule>
  </conditionalFormatting>
  <conditionalFormatting sqref="E27">
    <cfRule type="cellIs" priority="4" dxfId="309" operator="greaterThan" stopIfTrue="1">
      <formula>$E$29*0.1</formula>
    </cfRule>
  </conditionalFormatting>
  <conditionalFormatting sqref="C13">
    <cfRule type="cellIs" priority="5" dxfId="309" operator="greaterThan" stopIfTrue="1">
      <formula>$C$15*0.1</formula>
    </cfRule>
  </conditionalFormatting>
  <conditionalFormatting sqref="D13">
    <cfRule type="cellIs" priority="6" dxfId="309" operator="greaterThan" stopIfTrue="1">
      <formula>$D$15*0.1</formula>
    </cfRule>
  </conditionalFormatting>
  <conditionalFormatting sqref="E13">
    <cfRule type="cellIs" priority="7" dxfId="309" operator="greaterThan" stopIfTrue="1">
      <formula>$E$15*0.1</formula>
    </cfRule>
  </conditionalFormatting>
  <conditionalFormatting sqref="C44">
    <cfRule type="cellIs" priority="8" dxfId="309" operator="greaterThan" stopIfTrue="1">
      <formula>$C$46*0.1</formula>
    </cfRule>
  </conditionalFormatting>
  <conditionalFormatting sqref="D44">
    <cfRule type="cellIs" priority="9" dxfId="309" operator="greaterThan" stopIfTrue="1">
      <formula>$D$46*0.1</formula>
    </cfRule>
  </conditionalFormatting>
  <conditionalFormatting sqref="E44">
    <cfRule type="cellIs" priority="10" dxfId="309" operator="greaterThan" stopIfTrue="1">
      <formula>$E$46*0.1</formula>
    </cfRule>
  </conditionalFormatting>
  <conditionalFormatting sqref="C58">
    <cfRule type="cellIs" priority="11" dxfId="309" operator="greaterThan" stopIfTrue="1">
      <formula>$C$60*0.1</formula>
    </cfRule>
  </conditionalFormatting>
  <conditionalFormatting sqref="D58">
    <cfRule type="cellIs" priority="12" dxfId="309" operator="greaterThan" stopIfTrue="1">
      <formula>$D$60*0.1</formula>
    </cfRule>
  </conditionalFormatting>
  <conditionalFormatting sqref="E58">
    <cfRule type="cellIs" priority="13" dxfId="309" operator="greaterThan" stopIfTrue="1">
      <formula>$E$60*0.1</formula>
    </cfRule>
  </conditionalFormatting>
  <conditionalFormatting sqref="E30 C30 E61 C61">
    <cfRule type="cellIs" priority="14" dxfId="2" operator="lessThan" stopIfTrue="1">
      <formula>0</formula>
    </cfRule>
  </conditionalFormatting>
  <conditionalFormatting sqref="D29">
    <cfRule type="cellIs" priority="15" dxfId="2" operator="greaterThan" stopIfTrue="1">
      <formula>$D$31</formula>
    </cfRule>
  </conditionalFormatting>
  <conditionalFormatting sqref="C29">
    <cfRule type="cellIs" priority="16" dxfId="2" operator="greaterThan" stopIfTrue="1">
      <formula>$C$31</formula>
    </cfRule>
  </conditionalFormatting>
  <conditionalFormatting sqref="D60">
    <cfRule type="cellIs" priority="17" dxfId="2" operator="greaterThan" stopIfTrue="1">
      <formula>$D$62</formula>
    </cfRule>
  </conditionalFormatting>
  <conditionalFormatting sqref="C60">
    <cfRule type="cellIs" priority="18" dxfId="2" operator="greaterThan" stopIfTrue="1">
      <formula>$C$62</formula>
    </cfRule>
  </conditionalFormatting>
  <conditionalFormatting sqref="D30">
    <cfRule type="cellIs" priority="1" dxfId="0" operator="lessThan" stopIfTrue="1">
      <formula>0</formula>
    </cfRule>
  </conditionalFormatting>
  <printOptions/>
  <pageMargins left="1.12" right="0.5" top="0.74" bottom="0.34" header="0.5" footer="0"/>
  <pageSetup blackAndWhite="1" fitToHeight="1" fitToWidth="1" horizontalDpi="120" verticalDpi="120" orientation="portrait" scale="66" r:id="rId1"/>
  <headerFooter alignWithMargins="0">
    <oddHeader>&amp;RState of Kansas
County
</oddHeader>
  </headerFooter>
</worksheet>
</file>

<file path=xl/worksheets/sheet26.xml><?xml version="1.0" encoding="utf-8"?>
<worksheet xmlns="http://schemas.openxmlformats.org/spreadsheetml/2006/main" xmlns:r="http://schemas.openxmlformats.org/officeDocument/2006/relationships">
  <dimension ref="B1:E56"/>
  <sheetViews>
    <sheetView view="pageBreakPreview" zoomScale="108" zoomScaleSheetLayoutView="108" zoomScalePageLayoutView="0" workbookViewId="0" topLeftCell="A1">
      <selection activeCell="B46" sqref="B46:B50"/>
    </sheetView>
  </sheetViews>
  <sheetFormatPr defaultColWidth="8.796875" defaultRowHeight="15"/>
  <cols>
    <col min="1" max="1" width="2.3984375" style="48" customWidth="1"/>
    <col min="2" max="2" width="31.09765625" style="48" customWidth="1"/>
    <col min="3" max="4" width="15.796875" style="48" customWidth="1"/>
    <col min="5" max="5" width="16.09765625" style="48" customWidth="1"/>
    <col min="6" max="16384" width="8.8984375" style="48" customWidth="1"/>
  </cols>
  <sheetData>
    <row r="1" spans="2:5" ht="15.75">
      <c r="B1" s="182" t="str">
        <f>(inputPrYr!C2)</f>
        <v>MITCHELL COUNTY</v>
      </c>
      <c r="C1" s="51"/>
      <c r="D1" s="51"/>
      <c r="E1" s="240">
        <f>inputPrYr!C4</f>
        <v>2014</v>
      </c>
    </row>
    <row r="2" spans="2:5" ht="15.75">
      <c r="B2" s="51"/>
      <c r="C2" s="51"/>
      <c r="D2" s="51"/>
      <c r="E2" s="194"/>
    </row>
    <row r="3" spans="2:5" ht="15.75">
      <c r="B3" s="118" t="s">
        <v>156</v>
      </c>
      <c r="C3" s="286"/>
      <c r="D3" s="286"/>
      <c r="E3" s="287"/>
    </row>
    <row r="4" spans="2:5" ht="15.75">
      <c r="B4" s="51"/>
      <c r="C4" s="280"/>
      <c r="D4" s="280"/>
      <c r="E4" s="280"/>
    </row>
    <row r="5" spans="2:5" ht="15.75">
      <c r="B5" s="50" t="s">
        <v>75</v>
      </c>
      <c r="C5" s="276" t="str">
        <f>general!C4</f>
        <v>Prior Year </v>
      </c>
      <c r="D5" s="178" t="str">
        <f>general!D4</f>
        <v>Current Year </v>
      </c>
      <c r="E5" s="178" t="str">
        <f>general!E4</f>
        <v>Proposed Budget </v>
      </c>
    </row>
    <row r="6" spans="2:5" ht="15.75">
      <c r="B6" s="393" t="str">
        <f>inputPrYr!B47</f>
        <v>Courthouse Renovation</v>
      </c>
      <c r="C6" s="269" t="str">
        <f>general!C5</f>
        <v>Actual for 2012</v>
      </c>
      <c r="D6" s="269" t="str">
        <f>general!D5</f>
        <v>Estimate for 2013</v>
      </c>
      <c r="E6" s="256" t="str">
        <f>general!E5</f>
        <v>Year for 2014</v>
      </c>
    </row>
    <row r="7" spans="2:5" ht="15.75">
      <c r="B7" s="114" t="s">
        <v>197</v>
      </c>
      <c r="C7" s="78">
        <v>69303</v>
      </c>
      <c r="D7" s="219">
        <f>C25</f>
        <v>104883</v>
      </c>
      <c r="E7" s="219">
        <f>D25</f>
        <v>54883</v>
      </c>
    </row>
    <row r="8" spans="2:5" ht="15.75">
      <c r="B8" s="289" t="s">
        <v>199</v>
      </c>
      <c r="C8" s="74"/>
      <c r="D8" s="74"/>
      <c r="E8" s="74"/>
    </row>
    <row r="9" spans="2:5" ht="15.75">
      <c r="B9" s="271" t="s">
        <v>447</v>
      </c>
      <c r="C9" s="78">
        <v>186060</v>
      </c>
      <c r="D9" s="78"/>
      <c r="E9" s="78"/>
    </row>
    <row r="10" spans="2:5" ht="15.75">
      <c r="B10" s="271" t="s">
        <v>448</v>
      </c>
      <c r="C10" s="78">
        <v>50000</v>
      </c>
      <c r="D10" s="78"/>
      <c r="E10" s="78"/>
    </row>
    <row r="11" spans="2:5" ht="15.75">
      <c r="B11" s="271"/>
      <c r="C11" s="78"/>
      <c r="D11" s="78"/>
      <c r="E11" s="78"/>
    </row>
    <row r="12" spans="2:5" ht="15.75">
      <c r="B12" s="262" t="s">
        <v>83</v>
      </c>
      <c r="C12" s="78"/>
      <c r="D12" s="78"/>
      <c r="E12" s="78"/>
    </row>
    <row r="13" spans="2:5" ht="15.75">
      <c r="B13" s="263" t="s">
        <v>37</v>
      </c>
      <c r="C13" s="78"/>
      <c r="D13" s="258"/>
      <c r="E13" s="258"/>
    </row>
    <row r="14" spans="2:5" ht="15.75">
      <c r="B14" s="263" t="s">
        <v>282</v>
      </c>
      <c r="C14" s="390">
        <f>IF(C15*0.1&lt;C13,"Exceed 10% Rule","")</f>
      </c>
      <c r="D14" s="264">
        <f>IF(D15*0.1&lt;D13,"Exceed 10% Rule","")</f>
      </c>
      <c r="E14" s="264">
        <f>IF(E15*0.1&lt;E13,"Exceed 10% Rule","")</f>
      </c>
    </row>
    <row r="15" spans="2:5" ht="15.75">
      <c r="B15" s="265" t="s">
        <v>84</v>
      </c>
      <c r="C15" s="305">
        <f>SUM(C9:C13)</f>
        <v>236060</v>
      </c>
      <c r="D15" s="305">
        <f>SUM(D9:D13)</f>
        <v>0</v>
      </c>
      <c r="E15" s="305">
        <f>SUM(E9:E13)</f>
        <v>0</v>
      </c>
    </row>
    <row r="16" spans="2:5" ht="15.75">
      <c r="B16" s="265" t="s">
        <v>85</v>
      </c>
      <c r="C16" s="305">
        <f>C15+C7</f>
        <v>305363</v>
      </c>
      <c r="D16" s="305">
        <f>D15+D7</f>
        <v>104883</v>
      </c>
      <c r="E16" s="305">
        <f>E15+E7</f>
        <v>54883</v>
      </c>
    </row>
    <row r="17" spans="2:5" ht="15.75">
      <c r="B17" s="114" t="s">
        <v>88</v>
      </c>
      <c r="C17" s="219"/>
      <c r="D17" s="219"/>
      <c r="E17" s="219"/>
    </row>
    <row r="18" spans="2:5" ht="15.75">
      <c r="B18" s="271" t="s">
        <v>422</v>
      </c>
      <c r="C18" s="78">
        <v>200480</v>
      </c>
      <c r="D18" s="78">
        <v>50000</v>
      </c>
      <c r="E18" s="78">
        <v>54883</v>
      </c>
    </row>
    <row r="19" spans="2:5" ht="15.75">
      <c r="B19" s="271"/>
      <c r="C19" s="78"/>
      <c r="D19" s="78"/>
      <c r="E19" s="78"/>
    </row>
    <row r="20" spans="2:5" ht="15.75">
      <c r="B20" s="271"/>
      <c r="C20" s="78"/>
      <c r="D20" s="78"/>
      <c r="E20" s="78"/>
    </row>
    <row r="21" spans="2:5" ht="15.75">
      <c r="B21" s="271"/>
      <c r="C21" s="78"/>
      <c r="D21" s="78"/>
      <c r="E21" s="78"/>
    </row>
    <row r="22" spans="2:5" ht="15.75">
      <c r="B22" s="263" t="s">
        <v>37</v>
      </c>
      <c r="C22" s="78"/>
      <c r="D22" s="258"/>
      <c r="E22" s="258"/>
    </row>
    <row r="23" spans="2:5" ht="15.75">
      <c r="B23" s="263" t="s">
        <v>281</v>
      </c>
      <c r="C23" s="390">
        <f>IF(C24*0.1&lt;C22,"Exceed 10% Rule","")</f>
      </c>
      <c r="D23" s="264">
        <f>IF(D24*0.1&lt;D22,"Exceed 10% Rule","")</f>
      </c>
      <c r="E23" s="264">
        <f>IF(E24*0.1&lt;E22,"Exceed 10% Rule","")</f>
      </c>
    </row>
    <row r="24" spans="2:5" ht="15.75">
      <c r="B24" s="265" t="s">
        <v>89</v>
      </c>
      <c r="C24" s="305">
        <f>SUM(C18:C22)</f>
        <v>200480</v>
      </c>
      <c r="D24" s="305">
        <f>SUM(D18:D22)</f>
        <v>50000</v>
      </c>
      <c r="E24" s="305">
        <f>SUM(E18:E22)</f>
        <v>54883</v>
      </c>
    </row>
    <row r="25" spans="2:5" ht="15.75">
      <c r="B25" s="114" t="s">
        <v>198</v>
      </c>
      <c r="C25" s="86">
        <f>C16-C24</f>
        <v>104883</v>
      </c>
      <c r="D25" s="86">
        <f>D16-D24</f>
        <v>54883</v>
      </c>
      <c r="E25" s="86">
        <f>E16-E24</f>
        <v>0</v>
      </c>
    </row>
    <row r="26" spans="2:5" ht="15.75">
      <c r="B26" s="241" t="str">
        <f>CONCATENATE("",E$1-2,"/",E$1-1," Budget Authority Amount:")</f>
        <v>2012/2013 Budget Authority Amount:</v>
      </c>
      <c r="C26" s="233">
        <f>inputOth!D61</f>
        <v>282363</v>
      </c>
      <c r="D26" s="233">
        <f>inputPrYr!D47</f>
        <v>150862</v>
      </c>
      <c r="E26" s="389">
        <f>IF(E25&lt;0,"See Tab E","")</f>
      </c>
    </row>
    <row r="27" spans="2:5" ht="15.75">
      <c r="B27" s="241"/>
      <c r="C27" s="274">
        <f>IF(C24&gt;C26,"See Tab A","")</f>
      </c>
      <c r="D27" s="274">
        <f>IF(D24&gt;D26,"See Tab C","")</f>
      </c>
      <c r="E27" s="111"/>
    </row>
    <row r="28" spans="2:5" ht="15.75">
      <c r="B28" s="241"/>
      <c r="C28" s="274">
        <f>IF(C25&lt;0,"See Tab B","")</f>
      </c>
      <c r="D28" s="274">
        <f>IF(D25&lt;0,"See Tab D","")</f>
      </c>
      <c r="E28" s="111"/>
    </row>
    <row r="29" spans="2:5" ht="15.75">
      <c r="B29" s="51"/>
      <c r="C29" s="111"/>
      <c r="D29" s="111"/>
      <c r="E29" s="111"/>
    </row>
    <row r="30" spans="2:5" ht="15.75">
      <c r="B30" s="50" t="s">
        <v>75</v>
      </c>
      <c r="C30" s="280"/>
      <c r="D30" s="280"/>
      <c r="E30" s="280"/>
    </row>
    <row r="31" spans="2:5" ht="15.75">
      <c r="B31" s="51"/>
      <c r="C31" s="276" t="str">
        <f aca="true" t="shared" si="0" ref="C31:E32">C5</f>
        <v>Prior Year </v>
      </c>
      <c r="D31" s="178" t="str">
        <f t="shared" si="0"/>
        <v>Current Year </v>
      </c>
      <c r="E31" s="178" t="str">
        <f t="shared" si="0"/>
        <v>Proposed Budget </v>
      </c>
    </row>
    <row r="32" spans="2:5" ht="15.75">
      <c r="B32" s="393" t="str">
        <f>inputPrYr!B48</f>
        <v>Election Technology</v>
      </c>
      <c r="C32" s="269" t="str">
        <f t="shared" si="0"/>
        <v>Actual for 2012</v>
      </c>
      <c r="D32" s="269" t="str">
        <f t="shared" si="0"/>
        <v>Estimate for 2013</v>
      </c>
      <c r="E32" s="256" t="str">
        <f t="shared" si="0"/>
        <v>Year for 2014</v>
      </c>
    </row>
    <row r="33" spans="2:5" ht="15.75">
      <c r="B33" s="114" t="s">
        <v>197</v>
      </c>
      <c r="C33" s="78">
        <v>38220</v>
      </c>
      <c r="D33" s="219">
        <f>C51</f>
        <v>36352</v>
      </c>
      <c r="E33" s="219">
        <f>D51</f>
        <v>26352</v>
      </c>
    </row>
    <row r="34" spans="2:5" ht="15.75">
      <c r="B34" s="289" t="s">
        <v>199</v>
      </c>
      <c r="C34" s="74"/>
      <c r="D34" s="74"/>
      <c r="E34" s="74"/>
    </row>
    <row r="35" spans="2:5" ht="15.75">
      <c r="B35" s="271" t="s">
        <v>449</v>
      </c>
      <c r="C35" s="78">
        <v>2500</v>
      </c>
      <c r="D35" s="78">
        <v>0</v>
      </c>
      <c r="E35" s="78">
        <v>0</v>
      </c>
    </row>
    <row r="36" spans="2:5" ht="15.75">
      <c r="B36" s="271"/>
      <c r="C36" s="78"/>
      <c r="D36" s="78"/>
      <c r="E36" s="78"/>
    </row>
    <row r="37" spans="2:5" ht="15.75">
      <c r="B37" s="271"/>
      <c r="C37" s="78"/>
      <c r="D37" s="78"/>
      <c r="E37" s="78"/>
    </row>
    <row r="38" spans="2:5" ht="15.75">
      <c r="B38" s="262" t="s">
        <v>83</v>
      </c>
      <c r="C38" s="78"/>
      <c r="D38" s="78"/>
      <c r="E38" s="78"/>
    </row>
    <row r="39" spans="2:5" ht="15.75">
      <c r="B39" s="263" t="s">
        <v>37</v>
      </c>
      <c r="C39" s="78"/>
      <c r="D39" s="258"/>
      <c r="E39" s="258"/>
    </row>
    <row r="40" spans="2:5" ht="15.75">
      <c r="B40" s="263" t="s">
        <v>282</v>
      </c>
      <c r="C40" s="390">
        <f>IF(C41*0.1&lt;C39,"Exceed 10% Rule","")</f>
      </c>
      <c r="D40" s="264">
        <f>IF(D41*0.1&lt;D39,"Exceed 10% Rule","")</f>
      </c>
      <c r="E40" s="264">
        <f>IF(E41*0.1&lt;E39,"Exceed 10% Rule","")</f>
      </c>
    </row>
    <row r="41" spans="2:5" ht="15.75">
      <c r="B41" s="265" t="s">
        <v>84</v>
      </c>
      <c r="C41" s="305">
        <f>SUM(C35:C39)</f>
        <v>2500</v>
      </c>
      <c r="D41" s="305">
        <f>SUM(D35:D39)</f>
        <v>0</v>
      </c>
      <c r="E41" s="305">
        <f>SUM(E35:E39)</f>
        <v>0</v>
      </c>
    </row>
    <row r="42" spans="2:5" ht="15.75">
      <c r="B42" s="265" t="s">
        <v>85</v>
      </c>
      <c r="C42" s="305">
        <f>C33+C41</f>
        <v>40720</v>
      </c>
      <c r="D42" s="305">
        <f>D33+D41</f>
        <v>36352</v>
      </c>
      <c r="E42" s="305">
        <f>E33+E41</f>
        <v>26352</v>
      </c>
    </row>
    <row r="43" spans="2:5" ht="15.75">
      <c r="B43" s="114" t="s">
        <v>88</v>
      </c>
      <c r="C43" s="219"/>
      <c r="D43" s="219"/>
      <c r="E43" s="219"/>
    </row>
    <row r="44" spans="2:5" ht="15.75">
      <c r="B44" s="271" t="s">
        <v>415</v>
      </c>
      <c r="C44" s="78">
        <v>4368</v>
      </c>
      <c r="D44" s="78">
        <v>10000</v>
      </c>
      <c r="E44" s="78">
        <v>26352</v>
      </c>
    </row>
    <row r="45" spans="2:5" ht="15.75">
      <c r="B45" s="271"/>
      <c r="C45" s="78"/>
      <c r="D45" s="78"/>
      <c r="E45" s="78"/>
    </row>
    <row r="46" spans="2:5" ht="15.75">
      <c r="B46" s="271"/>
      <c r="C46" s="78"/>
      <c r="D46" s="78"/>
      <c r="E46" s="78"/>
    </row>
    <row r="47" spans="2:5" ht="15.75">
      <c r="B47" s="271"/>
      <c r="C47" s="78"/>
      <c r="D47" s="78"/>
      <c r="E47" s="78"/>
    </row>
    <row r="48" spans="2:5" ht="15.75">
      <c r="B48" s="263" t="s">
        <v>37</v>
      </c>
      <c r="C48" s="78"/>
      <c r="D48" s="258"/>
      <c r="E48" s="258"/>
    </row>
    <row r="49" spans="2:5" ht="15.75">
      <c r="B49" s="263" t="s">
        <v>281</v>
      </c>
      <c r="C49" s="390">
        <f>IF(C50*0.1&lt;C48,"Exceed 10% Rule","")</f>
      </c>
      <c r="D49" s="264">
        <f>IF(D50*0.1&lt;D48,"Exceed 10% Rule","")</f>
      </c>
      <c r="E49" s="264">
        <f>IF(E50*0.1&lt;E48,"Exceed 10% Rule","")</f>
      </c>
    </row>
    <row r="50" spans="2:5" ht="15.75">
      <c r="B50" s="265" t="s">
        <v>89</v>
      </c>
      <c r="C50" s="305">
        <f>SUM(C44:C48)</f>
        <v>4368</v>
      </c>
      <c r="D50" s="305">
        <f>SUM(D44:D48)</f>
        <v>10000</v>
      </c>
      <c r="E50" s="305">
        <f>SUM(E44:E48)</f>
        <v>26352</v>
      </c>
    </row>
    <row r="51" spans="2:5" ht="15.75">
      <c r="B51" s="114" t="s">
        <v>198</v>
      </c>
      <c r="C51" s="86">
        <f>C42-C50</f>
        <v>36352</v>
      </c>
      <c r="D51" s="86">
        <f>D42-D50</f>
        <v>26352</v>
      </c>
      <c r="E51" s="86">
        <f>E42-E50</f>
        <v>0</v>
      </c>
    </row>
    <row r="52" spans="2:5" ht="15.75">
      <c r="B52" s="241" t="str">
        <f>CONCATENATE("",E$1-2,"/",E$1-1," Budget Authority Amount:")</f>
        <v>2012/2013 Budget Authority Amount:</v>
      </c>
      <c r="C52" s="233">
        <f>inputOth!B62</f>
        <v>28220</v>
      </c>
      <c r="D52" s="233">
        <f>inputPrYr!D48</f>
        <v>28220</v>
      </c>
      <c r="E52" s="388">
        <f>IF(E51&lt;0,"See Tab E","")</f>
      </c>
    </row>
    <row r="53" spans="2:5" ht="15.75">
      <c r="B53" s="241"/>
      <c r="C53" s="274">
        <f>IF(C50&gt;C52,"See Tab A","")</f>
      </c>
      <c r="D53" s="274">
        <f>IF(D50&gt;D52,"See Tab C","")</f>
      </c>
      <c r="E53" s="51"/>
    </row>
    <row r="54" spans="2:5" ht="15.75">
      <c r="B54" s="241"/>
      <c r="C54" s="274">
        <f>IF(C51&lt;0,"See Tab B","")</f>
      </c>
      <c r="D54" s="274">
        <f>IF(D51&lt;0,"See Tab D","")</f>
      </c>
      <c r="E54" s="51"/>
    </row>
    <row r="55" spans="2:5" ht="15.75">
      <c r="B55" s="51"/>
      <c r="C55" s="51"/>
      <c r="D55" s="51"/>
      <c r="E55" s="51"/>
    </row>
    <row r="56" spans="2:5" ht="15.75">
      <c r="B56" s="241" t="s">
        <v>109</v>
      </c>
      <c r="C56" s="302">
        <v>22</v>
      </c>
      <c r="D56" s="51"/>
      <c r="E56" s="51"/>
    </row>
  </sheetData>
  <sheetProtection/>
  <conditionalFormatting sqref="C22">
    <cfRule type="cellIs" priority="3" dxfId="309" operator="greaterThan" stopIfTrue="1">
      <formula>$C$24*0.1</formula>
    </cfRule>
  </conditionalFormatting>
  <conditionalFormatting sqref="D22">
    <cfRule type="cellIs" priority="4" dxfId="309" operator="greaterThan" stopIfTrue="1">
      <formula>$D$24*0.1</formula>
    </cfRule>
  </conditionalFormatting>
  <conditionalFormatting sqref="E22">
    <cfRule type="cellIs" priority="5" dxfId="309" operator="greaterThan" stopIfTrue="1">
      <formula>$E$24*0.1</formula>
    </cfRule>
  </conditionalFormatting>
  <conditionalFormatting sqref="C13">
    <cfRule type="cellIs" priority="6" dxfId="309" operator="greaterThan" stopIfTrue="1">
      <formula>$C$15*0.1</formula>
    </cfRule>
  </conditionalFormatting>
  <conditionalFormatting sqref="D13">
    <cfRule type="cellIs" priority="7" dxfId="309" operator="greaterThan" stopIfTrue="1">
      <formula>$D$15*0.1</formula>
    </cfRule>
  </conditionalFormatting>
  <conditionalFormatting sqref="E13">
    <cfRule type="cellIs" priority="8" dxfId="309" operator="greaterThan" stopIfTrue="1">
      <formula>$E$15*0.1</formula>
    </cfRule>
  </conditionalFormatting>
  <conditionalFormatting sqref="C39">
    <cfRule type="cellIs" priority="9" dxfId="309" operator="greaterThan" stopIfTrue="1">
      <formula>$C$41*0.1</formula>
    </cfRule>
  </conditionalFormatting>
  <conditionalFormatting sqref="D39">
    <cfRule type="cellIs" priority="10" dxfId="309" operator="greaterThan" stopIfTrue="1">
      <formula>$D$41*0.1</formula>
    </cfRule>
  </conditionalFormatting>
  <conditionalFormatting sqref="E39">
    <cfRule type="cellIs" priority="11" dxfId="309" operator="greaterThan" stopIfTrue="1">
      <formula>$E$41*0.1</formula>
    </cfRule>
  </conditionalFormatting>
  <conditionalFormatting sqref="C48">
    <cfRule type="cellIs" priority="12" dxfId="309" operator="greaterThan" stopIfTrue="1">
      <formula>$C$50*0.1</formula>
    </cfRule>
  </conditionalFormatting>
  <conditionalFormatting sqref="D48">
    <cfRule type="cellIs" priority="13" dxfId="309" operator="greaterThan" stopIfTrue="1">
      <formula>$D$50*0.1</formula>
    </cfRule>
  </conditionalFormatting>
  <conditionalFormatting sqref="E48">
    <cfRule type="cellIs" priority="14" dxfId="309" operator="greaterThan" stopIfTrue="1">
      <formula>$E$50*0.1</formula>
    </cfRule>
  </conditionalFormatting>
  <conditionalFormatting sqref="E51 C51 E25 C25">
    <cfRule type="cellIs" priority="15" dxfId="2" operator="lessThan" stopIfTrue="1">
      <formula>0</formula>
    </cfRule>
  </conditionalFormatting>
  <conditionalFormatting sqref="D24">
    <cfRule type="cellIs" priority="16" dxfId="2" operator="greaterThan" stopIfTrue="1">
      <formula>$D$26</formula>
    </cfRule>
  </conditionalFormatting>
  <conditionalFormatting sqref="C24">
    <cfRule type="cellIs" priority="17" dxfId="2" operator="greaterThan" stopIfTrue="1">
      <formula>$C$26</formula>
    </cfRule>
  </conditionalFormatting>
  <conditionalFormatting sqref="D50">
    <cfRule type="cellIs" priority="18" dxfId="2" operator="greaterThan" stopIfTrue="1">
      <formula>$D$52</formula>
    </cfRule>
  </conditionalFormatting>
  <conditionalFormatting sqref="C50">
    <cfRule type="cellIs" priority="19" dxfId="2" operator="greaterThan" stopIfTrue="1">
      <formula>$C$52</formula>
    </cfRule>
  </conditionalFormatting>
  <conditionalFormatting sqref="D25">
    <cfRule type="cellIs" priority="2" dxfId="0" operator="lessThan" stopIfTrue="1">
      <formula>0</formula>
    </cfRule>
  </conditionalFormatting>
  <conditionalFormatting sqref="D51">
    <cfRule type="cellIs" priority="1" dxfId="0" operator="lessThan" stopIfTrue="1">
      <formula>0</formula>
    </cfRule>
  </conditionalFormatting>
  <printOptions/>
  <pageMargins left="0.75" right="0.75" top="1" bottom="1" header="0.5" footer="0.5"/>
  <pageSetup blackAndWhite="1" horizontalDpi="600" verticalDpi="600" orientation="portrait" scale="70" r:id="rId1"/>
  <headerFooter alignWithMargins="0">
    <oddHeader>&amp;RState of Kansas
County</oddHeader>
  </headerFooter>
</worksheet>
</file>

<file path=xl/worksheets/sheet27.xml><?xml version="1.0" encoding="utf-8"?>
<worksheet xmlns="http://schemas.openxmlformats.org/spreadsheetml/2006/main" xmlns:r="http://schemas.openxmlformats.org/officeDocument/2006/relationships">
  <dimension ref="B1:E58"/>
  <sheetViews>
    <sheetView view="pageBreakPreview" zoomScale="108" zoomScaleSheetLayoutView="108" zoomScalePageLayoutView="0" workbookViewId="0" topLeftCell="A13">
      <selection activeCell="B48" sqref="B48:B52"/>
    </sheetView>
  </sheetViews>
  <sheetFormatPr defaultColWidth="8.796875" defaultRowHeight="15"/>
  <cols>
    <col min="1" max="1" width="2.3984375" style="48" customWidth="1"/>
    <col min="2" max="2" width="31.09765625" style="48" customWidth="1"/>
    <col min="3" max="4" width="15.796875" style="48" customWidth="1"/>
    <col min="5" max="5" width="16.19921875" style="48" customWidth="1"/>
    <col min="6" max="16384" width="8.8984375" style="48" customWidth="1"/>
  </cols>
  <sheetData>
    <row r="1" spans="2:5" ht="15.75">
      <c r="B1" s="182" t="str">
        <f>(inputPrYr!C2)</f>
        <v>MITCHELL COUNTY</v>
      </c>
      <c r="C1" s="51"/>
      <c r="D1" s="51"/>
      <c r="E1" s="240">
        <f>inputPrYr!C4</f>
        <v>2014</v>
      </c>
    </row>
    <row r="2" spans="2:5" ht="15.75">
      <c r="B2" s="51"/>
      <c r="C2" s="51"/>
      <c r="D2" s="51"/>
      <c r="E2" s="194"/>
    </row>
    <row r="3" spans="2:5" ht="15.75">
      <c r="B3" s="118" t="s">
        <v>156</v>
      </c>
      <c r="C3" s="286"/>
      <c r="D3" s="286"/>
      <c r="E3" s="287"/>
    </row>
    <row r="4" spans="2:5" ht="15.75">
      <c r="B4" s="51"/>
      <c r="C4" s="280"/>
      <c r="D4" s="280"/>
      <c r="E4" s="280"/>
    </row>
    <row r="5" spans="2:5" ht="15.75">
      <c r="B5" s="50" t="s">
        <v>75</v>
      </c>
      <c r="C5" s="276" t="str">
        <f>general!C4</f>
        <v>Prior Year </v>
      </c>
      <c r="D5" s="178" t="str">
        <f>general!D4</f>
        <v>Current Year </v>
      </c>
      <c r="E5" s="178" t="str">
        <f>general!E4</f>
        <v>Proposed Budget </v>
      </c>
    </row>
    <row r="6" spans="2:5" ht="15.75">
      <c r="B6" s="393" t="str">
        <f>inputPrYr!B49</f>
        <v>Solid Waste</v>
      </c>
      <c r="C6" s="269" t="str">
        <f>general!C5</f>
        <v>Actual for 2012</v>
      </c>
      <c r="D6" s="269" t="str">
        <f>general!D5</f>
        <v>Estimate for 2013</v>
      </c>
      <c r="E6" s="256" t="str">
        <f>general!E5</f>
        <v>Year for 2014</v>
      </c>
    </row>
    <row r="7" spans="2:5" ht="15.75">
      <c r="B7" s="114" t="s">
        <v>197</v>
      </c>
      <c r="C7" s="78">
        <v>187378</v>
      </c>
      <c r="D7" s="219">
        <f>C28</f>
        <v>207013</v>
      </c>
      <c r="E7" s="219">
        <f>D28</f>
        <v>214013</v>
      </c>
    </row>
    <row r="8" spans="2:5" ht="15.75">
      <c r="B8" s="289" t="s">
        <v>199</v>
      </c>
      <c r="C8" s="74"/>
      <c r="D8" s="74"/>
      <c r="E8" s="74"/>
    </row>
    <row r="9" spans="2:5" ht="15.75">
      <c r="B9" s="271" t="s">
        <v>423</v>
      </c>
      <c r="C9" s="78">
        <v>525044</v>
      </c>
      <c r="D9" s="78">
        <v>560000</v>
      </c>
      <c r="E9" s="78">
        <v>540000</v>
      </c>
    </row>
    <row r="10" spans="2:5" ht="15.75">
      <c r="B10" s="271"/>
      <c r="C10" s="78"/>
      <c r="D10" s="78"/>
      <c r="E10" s="78"/>
    </row>
    <row r="11" spans="2:5" ht="15.75">
      <c r="B11" s="271"/>
      <c r="C11" s="78"/>
      <c r="D11" s="78"/>
      <c r="E11" s="78"/>
    </row>
    <row r="12" spans="2:5" ht="15.75">
      <c r="B12" s="262" t="s">
        <v>83</v>
      </c>
      <c r="C12" s="78"/>
      <c r="D12" s="78"/>
      <c r="E12" s="78"/>
    </row>
    <row r="13" spans="2:5" ht="15.75">
      <c r="B13" s="263" t="s">
        <v>37</v>
      </c>
      <c r="C13" s="78"/>
      <c r="D13" s="258"/>
      <c r="E13" s="258"/>
    </row>
    <row r="14" spans="2:5" ht="15.75">
      <c r="B14" s="263" t="s">
        <v>282</v>
      </c>
      <c r="C14" s="390">
        <f>IF(C15*0.1&lt;C13,"Exceed 10% Rule","")</f>
      </c>
      <c r="D14" s="264">
        <f>IF(D15*0.1&lt;D13,"Exceed 10% Rule","")</f>
      </c>
      <c r="E14" s="264">
        <f>IF(E15*0.1&lt;E13,"Exceed 10% Rule","")</f>
      </c>
    </row>
    <row r="15" spans="2:5" ht="15.75">
      <c r="B15" s="265" t="s">
        <v>84</v>
      </c>
      <c r="C15" s="305">
        <f>SUM(C9:C13)</f>
        <v>525044</v>
      </c>
      <c r="D15" s="305">
        <f>SUM(D9:D13)</f>
        <v>560000</v>
      </c>
      <c r="E15" s="305">
        <f>SUM(E9:E13)</f>
        <v>540000</v>
      </c>
    </row>
    <row r="16" spans="2:5" ht="15.75">
      <c r="B16" s="265" t="s">
        <v>85</v>
      </c>
      <c r="C16" s="305">
        <f>C15+C7</f>
        <v>712422</v>
      </c>
      <c r="D16" s="305">
        <f>D15+D7</f>
        <v>767013</v>
      </c>
      <c r="E16" s="305">
        <f>E15+E7</f>
        <v>754013</v>
      </c>
    </row>
    <row r="17" spans="2:5" ht="15.75">
      <c r="B17" s="114" t="s">
        <v>88</v>
      </c>
      <c r="C17" s="219"/>
      <c r="D17" s="219"/>
      <c r="E17" s="219"/>
    </row>
    <row r="18" spans="2:5" ht="15.75">
      <c r="B18" s="76" t="s">
        <v>397</v>
      </c>
      <c r="C18" s="78">
        <v>70892</v>
      </c>
      <c r="D18" s="78">
        <v>68000</v>
      </c>
      <c r="E18" s="78">
        <v>68000</v>
      </c>
    </row>
    <row r="19" spans="2:5" ht="15.75">
      <c r="B19" s="76" t="s">
        <v>398</v>
      </c>
      <c r="C19" s="78">
        <v>390598</v>
      </c>
      <c r="D19" s="78">
        <v>415000</v>
      </c>
      <c r="E19" s="78">
        <v>415000</v>
      </c>
    </row>
    <row r="20" spans="2:5" ht="15.75">
      <c r="B20" s="76" t="s">
        <v>399</v>
      </c>
      <c r="C20" s="78">
        <v>0</v>
      </c>
      <c r="D20" s="78">
        <v>10000</v>
      </c>
      <c r="E20" s="78">
        <v>10000</v>
      </c>
    </row>
    <row r="21" spans="2:5" ht="15.75">
      <c r="B21" s="76" t="s">
        <v>400</v>
      </c>
      <c r="C21" s="78">
        <v>0</v>
      </c>
      <c r="D21" s="78">
        <v>15000</v>
      </c>
      <c r="E21" s="78">
        <v>15000</v>
      </c>
    </row>
    <row r="22" spans="2:5" ht="15.75">
      <c r="B22" s="247" t="s">
        <v>103</v>
      </c>
      <c r="C22" s="78">
        <v>43919</v>
      </c>
      <c r="D22" s="78">
        <v>45000</v>
      </c>
      <c r="E22" s="78">
        <v>45000</v>
      </c>
    </row>
    <row r="23" spans="2:5" ht="15.75">
      <c r="B23" s="271"/>
      <c r="C23" s="78"/>
      <c r="D23" s="78"/>
      <c r="E23" s="78"/>
    </row>
    <row r="24" spans="2:5" ht="15.75">
      <c r="B24" s="271"/>
      <c r="C24" s="78"/>
      <c r="D24" s="78"/>
      <c r="E24" s="78"/>
    </row>
    <row r="25" spans="2:5" ht="15.75">
      <c r="B25" s="263" t="s">
        <v>37</v>
      </c>
      <c r="C25" s="78"/>
      <c r="D25" s="258"/>
      <c r="E25" s="258"/>
    </row>
    <row r="26" spans="2:5" ht="15.75">
      <c r="B26" s="263" t="s">
        <v>281</v>
      </c>
      <c r="C26" s="390">
        <f>IF(C27*0.1&lt;C25,"Exceed 10% Rule","")</f>
      </c>
      <c r="D26" s="264">
        <f>IF(D27*0.1&lt;D25,"Exceed 10% Rule","")</f>
      </c>
      <c r="E26" s="264">
        <f>IF(E27*0.1&lt;E25,"Exceed 10% Rule","")</f>
      </c>
    </row>
    <row r="27" spans="2:5" ht="15.75">
      <c r="B27" s="265" t="s">
        <v>89</v>
      </c>
      <c r="C27" s="305">
        <f>SUM(C18:C25)</f>
        <v>505409</v>
      </c>
      <c r="D27" s="305">
        <f>SUM(D18:D25)</f>
        <v>553000</v>
      </c>
      <c r="E27" s="305">
        <f>SUM(E18:E25)</f>
        <v>553000</v>
      </c>
    </row>
    <row r="28" spans="2:5" ht="15.75">
      <c r="B28" s="114" t="s">
        <v>198</v>
      </c>
      <c r="C28" s="86">
        <f>C16-C27</f>
        <v>207013</v>
      </c>
      <c r="D28" s="86">
        <f>D16-D27</f>
        <v>214013</v>
      </c>
      <c r="E28" s="86">
        <f>E16-E27</f>
        <v>201013</v>
      </c>
    </row>
    <row r="29" spans="2:5" ht="15.75">
      <c r="B29" s="241" t="str">
        <f>CONCATENATE("",E$1-2,"/",E$1-1," Budget Authority Amount:")</f>
        <v>2012/2013 Budget Authority Amount:</v>
      </c>
      <c r="C29" s="233">
        <f>inputOth!B63</f>
        <v>553000</v>
      </c>
      <c r="D29" s="233">
        <f>inputPrYr!D49</f>
        <v>553000</v>
      </c>
      <c r="E29" s="389">
        <f>IF(E28&lt;0,"See Tab E","")</f>
      </c>
    </row>
    <row r="30" spans="2:5" ht="15.75">
      <c r="B30" s="241"/>
      <c r="C30" s="274">
        <f>IF(C27&gt;C29,"See Tab A","")</f>
      </c>
      <c r="D30" s="274">
        <f>IF(D27&gt;D29,"See Tab C","")</f>
      </c>
      <c r="E30" s="111"/>
    </row>
    <row r="31" spans="2:5" ht="15.75">
      <c r="B31" s="241"/>
      <c r="C31" s="274">
        <f>IF(C28&lt;0,"See Tab B","")</f>
      </c>
      <c r="D31" s="274">
        <f>IF(D28&lt;0,"See Tab D","")</f>
      </c>
      <c r="E31" s="111"/>
    </row>
    <row r="32" spans="2:5" ht="15.75">
      <c r="B32" s="51"/>
      <c r="C32" s="111"/>
      <c r="D32" s="111"/>
      <c r="E32" s="111"/>
    </row>
    <row r="33" spans="2:5" ht="15.75">
      <c r="B33" s="50" t="s">
        <v>75</v>
      </c>
      <c r="C33" s="280"/>
      <c r="D33" s="280"/>
      <c r="E33" s="280"/>
    </row>
    <row r="34" spans="2:5" ht="15.75">
      <c r="B34" s="51"/>
      <c r="C34" s="276" t="str">
        <f aca="true" t="shared" si="0" ref="C34:E35">C5</f>
        <v>Prior Year </v>
      </c>
      <c r="D34" s="178" t="str">
        <f t="shared" si="0"/>
        <v>Current Year </v>
      </c>
      <c r="E34" s="178" t="str">
        <f t="shared" si="0"/>
        <v>Proposed Budget </v>
      </c>
    </row>
    <row r="35" spans="2:5" ht="15.75">
      <c r="B35" s="392"/>
      <c r="C35" s="269" t="str">
        <f t="shared" si="0"/>
        <v>Actual for 2012</v>
      </c>
      <c r="D35" s="269" t="str">
        <f t="shared" si="0"/>
        <v>Estimate for 2013</v>
      </c>
      <c r="E35" s="256" t="str">
        <f t="shared" si="0"/>
        <v>Year for 2014</v>
      </c>
    </row>
    <row r="36" spans="2:5" ht="15.75">
      <c r="B36" s="114" t="s">
        <v>197</v>
      </c>
      <c r="C36" s="78"/>
      <c r="D36" s="219">
        <f>C53</f>
        <v>0</v>
      </c>
      <c r="E36" s="219">
        <f>D53</f>
        <v>0</v>
      </c>
    </row>
    <row r="37" spans="2:5" ht="15.75">
      <c r="B37" s="114" t="s">
        <v>199</v>
      </c>
      <c r="C37" s="74"/>
      <c r="D37" s="74"/>
      <c r="E37" s="74"/>
    </row>
    <row r="38" spans="2:5" ht="15.75">
      <c r="B38" s="271"/>
      <c r="C38" s="78"/>
      <c r="D38" s="78"/>
      <c r="E38" s="78"/>
    </row>
    <row r="39" spans="2:5" ht="15.75">
      <c r="B39" s="271"/>
      <c r="C39" s="78"/>
      <c r="D39" s="78"/>
      <c r="E39" s="78"/>
    </row>
    <row r="40" spans="2:5" ht="15.75">
      <c r="B40" s="262" t="s">
        <v>83</v>
      </c>
      <c r="C40" s="78"/>
      <c r="D40" s="78"/>
      <c r="E40" s="78"/>
    </row>
    <row r="41" spans="2:5" ht="15.75">
      <c r="B41" s="263" t="s">
        <v>37</v>
      </c>
      <c r="C41" s="78"/>
      <c r="D41" s="258"/>
      <c r="E41" s="258"/>
    </row>
    <row r="42" spans="2:5" ht="15.75">
      <c r="B42" s="263" t="s">
        <v>282</v>
      </c>
      <c r="C42" s="390">
        <f>IF(C43*0.1&lt;C41,"Exceed 10% Rule","")</f>
      </c>
      <c r="D42" s="264">
        <f>IF(D43*0.1&lt;D41,"Exceed 10% Rule","")</f>
      </c>
      <c r="E42" s="264">
        <f>IF(E43*0.1&lt;E41,"Exceed 10% Rule","")</f>
      </c>
    </row>
    <row r="43" spans="2:5" ht="15.75">
      <c r="B43" s="265" t="s">
        <v>84</v>
      </c>
      <c r="C43" s="305">
        <f>SUM(C38:C41)</f>
        <v>0</v>
      </c>
      <c r="D43" s="305">
        <f>SUM(D38:D41)</f>
        <v>0</v>
      </c>
      <c r="E43" s="305">
        <f>SUM(E38:E41)</f>
        <v>0</v>
      </c>
    </row>
    <row r="44" spans="2:5" ht="15.75">
      <c r="B44" s="265" t="s">
        <v>85</v>
      </c>
      <c r="C44" s="305">
        <f>C36+C43</f>
        <v>0</v>
      </c>
      <c r="D44" s="305">
        <f>D36+D43</f>
        <v>0</v>
      </c>
      <c r="E44" s="305">
        <f>E36+E43</f>
        <v>0</v>
      </c>
    </row>
    <row r="45" spans="2:5" ht="15.75">
      <c r="B45" s="114" t="s">
        <v>88</v>
      </c>
      <c r="C45" s="219"/>
      <c r="D45" s="219"/>
      <c r="E45" s="219"/>
    </row>
    <row r="46" spans="2:5" ht="15.75">
      <c r="B46" s="271"/>
      <c r="C46" s="78"/>
      <c r="D46" s="78"/>
      <c r="E46" s="78"/>
    </row>
    <row r="47" spans="2:5" ht="15.75">
      <c r="B47" s="271"/>
      <c r="C47" s="78"/>
      <c r="D47" s="78"/>
      <c r="E47" s="78"/>
    </row>
    <row r="48" spans="2:5" ht="15.75">
      <c r="B48" s="271"/>
      <c r="C48" s="78"/>
      <c r="D48" s="78"/>
      <c r="E48" s="78"/>
    </row>
    <row r="49" spans="2:5" ht="15.75">
      <c r="B49" s="271"/>
      <c r="C49" s="78"/>
      <c r="D49" s="78"/>
      <c r="E49" s="78"/>
    </row>
    <row r="50" spans="2:5" ht="15.75">
      <c r="B50" s="263" t="s">
        <v>37</v>
      </c>
      <c r="C50" s="78"/>
      <c r="D50" s="258"/>
      <c r="E50" s="258"/>
    </row>
    <row r="51" spans="2:5" ht="15.75">
      <c r="B51" s="263" t="s">
        <v>281</v>
      </c>
      <c r="C51" s="390">
        <f>IF(C52*0.1&lt;C50,"Exceed 10% Rule","")</f>
      </c>
      <c r="D51" s="264">
        <f>IF(D52*0.1&lt;D50,"Exceed 10% Rule","")</f>
      </c>
      <c r="E51" s="264">
        <f>IF(E52*0.1&lt;E50,"Exceed 10% Rule","")</f>
      </c>
    </row>
    <row r="52" spans="2:5" ht="15.75">
      <c r="B52" s="265" t="s">
        <v>89</v>
      </c>
      <c r="C52" s="305">
        <f>SUM(C46:C50)</f>
        <v>0</v>
      </c>
      <c r="D52" s="305">
        <f>SUM(D46:D50)</f>
        <v>0</v>
      </c>
      <c r="E52" s="305">
        <f>SUM(E46:E50)</f>
        <v>0</v>
      </c>
    </row>
    <row r="53" spans="2:5" ht="15.75">
      <c r="B53" s="114" t="s">
        <v>198</v>
      </c>
      <c r="C53" s="86">
        <f>C44-C52</f>
        <v>0</v>
      </c>
      <c r="D53" s="86">
        <f>D44-D52</f>
        <v>0</v>
      </c>
      <c r="E53" s="86">
        <f>E44-E52</f>
        <v>0</v>
      </c>
    </row>
    <row r="54" spans="2:5" ht="15.75">
      <c r="B54" s="241" t="str">
        <f>CONCATENATE("",E$1-2,"/",E$1-1," Budget Authority Amount:")</f>
        <v>2012/2013 Budget Authority Amount:</v>
      </c>
      <c r="C54" s="233">
        <f>inputOth!B64</f>
        <v>0</v>
      </c>
      <c r="D54" s="233" t="e">
        <f>inputPrYr!#REF!</f>
        <v>#REF!</v>
      </c>
      <c r="E54" s="388">
        <f>IF(E53&lt;0,"See Tab E","")</f>
      </c>
    </row>
    <row r="55" spans="2:5" ht="15.75">
      <c r="B55" s="241"/>
      <c r="C55" s="274">
        <f>IF(C52&gt;C54,"See Tab A","")</f>
      </c>
      <c r="D55" s="274" t="e">
        <f>IF(D52&gt;D54,"See Tab C","")</f>
        <v>#REF!</v>
      </c>
      <c r="E55" s="51"/>
    </row>
    <row r="56" spans="2:5" ht="15.75">
      <c r="B56" s="241"/>
      <c r="C56" s="274">
        <f>IF(C53&lt;0,"See Tab B","")</f>
      </c>
      <c r="D56" s="274">
        <f>IF(D53&lt;0,"See Tab D","")</f>
      </c>
      <c r="E56" s="51"/>
    </row>
    <row r="57" spans="2:5" ht="15.75">
      <c r="B57" s="51"/>
      <c r="C57" s="51"/>
      <c r="D57" s="51"/>
      <c r="E57" s="51"/>
    </row>
    <row r="58" spans="2:5" ht="15.75">
      <c r="B58" s="241" t="s">
        <v>109</v>
      </c>
      <c r="C58" s="302">
        <v>23</v>
      </c>
      <c r="D58" s="51"/>
      <c r="E58" s="51"/>
    </row>
  </sheetData>
  <sheetProtection/>
  <conditionalFormatting sqref="C25">
    <cfRule type="cellIs" priority="3" dxfId="309" operator="greaterThan" stopIfTrue="1">
      <formula>$C$27*0.1</formula>
    </cfRule>
  </conditionalFormatting>
  <conditionalFormatting sqref="D25">
    <cfRule type="cellIs" priority="4" dxfId="309" operator="greaterThan" stopIfTrue="1">
      <formula>$D$27*0.1</formula>
    </cfRule>
  </conditionalFormatting>
  <conditionalFormatting sqref="E25">
    <cfRule type="cellIs" priority="5" dxfId="309" operator="greaterThan" stopIfTrue="1">
      <formula>$E$27*0.1</formula>
    </cfRule>
  </conditionalFormatting>
  <conditionalFormatting sqref="C13">
    <cfRule type="cellIs" priority="6" dxfId="309" operator="greaterThan" stopIfTrue="1">
      <formula>$C$15*0.1</formula>
    </cfRule>
  </conditionalFormatting>
  <conditionalFormatting sqref="D13">
    <cfRule type="cellIs" priority="7" dxfId="309" operator="greaterThan" stopIfTrue="1">
      <formula>$D$15*0.1</formula>
    </cfRule>
  </conditionalFormatting>
  <conditionalFormatting sqref="E13">
    <cfRule type="cellIs" priority="8" dxfId="309" operator="greaterThan" stopIfTrue="1">
      <formula>$E$15*0.1</formula>
    </cfRule>
  </conditionalFormatting>
  <conditionalFormatting sqref="C41">
    <cfRule type="cellIs" priority="9" dxfId="309" operator="greaterThan" stopIfTrue="1">
      <formula>$C$43*0.1</formula>
    </cfRule>
  </conditionalFormatting>
  <conditionalFormatting sqref="D41">
    <cfRule type="cellIs" priority="10" dxfId="309" operator="greaterThan" stopIfTrue="1">
      <formula>$D$43*0.1</formula>
    </cfRule>
  </conditionalFormatting>
  <conditionalFormatting sqref="E41">
    <cfRule type="cellIs" priority="11" dxfId="309" operator="greaterThan" stopIfTrue="1">
      <formula>$E$43*0.1</formula>
    </cfRule>
  </conditionalFormatting>
  <conditionalFormatting sqref="C50">
    <cfRule type="cellIs" priority="12" dxfId="309" operator="greaterThan" stopIfTrue="1">
      <formula>$C$52*0.1</formula>
    </cfRule>
  </conditionalFormatting>
  <conditionalFormatting sqref="D50">
    <cfRule type="cellIs" priority="13" dxfId="309" operator="greaterThan" stopIfTrue="1">
      <formula>$D$52*0.1</formula>
    </cfRule>
  </conditionalFormatting>
  <conditionalFormatting sqref="E50">
    <cfRule type="cellIs" priority="14" dxfId="309" operator="greaterThan" stopIfTrue="1">
      <formula>$E$52*0.1</formula>
    </cfRule>
  </conditionalFormatting>
  <conditionalFormatting sqref="E53 C53 E28 C28">
    <cfRule type="cellIs" priority="15" dxfId="2" operator="lessThan" stopIfTrue="1">
      <formula>0</formula>
    </cfRule>
  </conditionalFormatting>
  <conditionalFormatting sqref="D27">
    <cfRule type="cellIs" priority="16" dxfId="2" operator="greaterThan" stopIfTrue="1">
      <formula>$D$29</formula>
    </cfRule>
  </conditionalFormatting>
  <conditionalFormatting sqref="C27">
    <cfRule type="cellIs" priority="17" dxfId="2" operator="greaterThan" stopIfTrue="1">
      <formula>$C$29</formula>
    </cfRule>
  </conditionalFormatting>
  <conditionalFormatting sqref="D52">
    <cfRule type="cellIs" priority="18" dxfId="2" operator="greaterThan" stopIfTrue="1">
      <formula>$D$54</formula>
    </cfRule>
  </conditionalFormatting>
  <conditionalFormatting sqref="C52">
    <cfRule type="cellIs" priority="19" dxfId="2" operator="greaterThan" stopIfTrue="1">
      <formula>$C$54</formula>
    </cfRule>
  </conditionalFormatting>
  <conditionalFormatting sqref="D28">
    <cfRule type="cellIs" priority="2" dxfId="0" operator="lessThan" stopIfTrue="1">
      <formula>0</formula>
    </cfRule>
  </conditionalFormatting>
  <conditionalFormatting sqref="D53">
    <cfRule type="cellIs" priority="1" dxfId="0" operator="lessThan" stopIfTrue="1">
      <formula>0</formula>
    </cfRule>
  </conditionalFormatting>
  <printOptions/>
  <pageMargins left="0.75" right="0.75" top="1" bottom="1" header="0.5" footer="0.5"/>
  <pageSetup blackAndWhite="1" horizontalDpi="600" verticalDpi="600" orientation="portrait" scale="68" r:id="rId1"/>
  <headerFooter alignWithMargins="0">
    <oddHeader>&amp;RState of Kansas
County</oddHeader>
  </headerFooter>
</worksheet>
</file>

<file path=xl/worksheets/sheet28.xml><?xml version="1.0" encoding="utf-8"?>
<worksheet xmlns="http://schemas.openxmlformats.org/spreadsheetml/2006/main" xmlns:r="http://schemas.openxmlformats.org/officeDocument/2006/relationships">
  <sheetPr>
    <pageSetUpPr fitToPage="1"/>
  </sheetPr>
  <dimension ref="A1:L41"/>
  <sheetViews>
    <sheetView view="pageBreakPreview" zoomScale="108" zoomScaleSheetLayoutView="108" zoomScalePageLayoutView="0" workbookViewId="0" topLeftCell="A10">
      <selection activeCell="J38" sqref="J38"/>
    </sheetView>
  </sheetViews>
  <sheetFormatPr defaultColWidth="8.796875" defaultRowHeight="15"/>
  <cols>
    <col min="1" max="1" width="11.59765625" style="48" customWidth="1"/>
    <col min="2" max="2" width="7.3984375" style="48" customWidth="1"/>
    <col min="3" max="3" width="11.59765625" style="48" customWidth="1"/>
    <col min="4" max="4" width="7.3984375" style="48" customWidth="1"/>
    <col min="5" max="5" width="11.59765625" style="48" customWidth="1"/>
    <col min="6" max="6" width="7.3984375" style="48" customWidth="1"/>
    <col min="7" max="7" width="11.59765625" style="48" customWidth="1"/>
    <col min="8" max="8" width="7.3984375" style="48" customWidth="1"/>
    <col min="9" max="9" width="11.59765625" style="48" customWidth="1"/>
    <col min="10" max="11" width="8.8984375" style="48" customWidth="1"/>
    <col min="12" max="12" width="3.8984375" style="48" customWidth="1"/>
    <col min="13" max="16384" width="8.8984375" style="48" customWidth="1"/>
  </cols>
  <sheetData>
    <row r="1" spans="1:11" ht="15.75">
      <c r="A1" s="110" t="str">
        <f>inputPrYr!$C$2</f>
        <v>MITCHELL COUNTY</v>
      </c>
      <c r="B1" s="308"/>
      <c r="C1" s="91"/>
      <c r="D1" s="91"/>
      <c r="E1" s="91"/>
      <c r="F1" s="309" t="s">
        <v>9</v>
      </c>
      <c r="G1" s="91"/>
      <c r="H1" s="91"/>
      <c r="I1" s="91"/>
      <c r="J1" s="91"/>
      <c r="K1" s="91">
        <f>inputPrYr!$C$4</f>
        <v>2014</v>
      </c>
    </row>
    <row r="2" spans="1:11" ht="15.75">
      <c r="A2" s="91"/>
      <c r="B2" s="91"/>
      <c r="C2" s="91"/>
      <c r="D2" s="91"/>
      <c r="E2" s="91"/>
      <c r="F2" s="310" t="str">
        <f>CONCATENATE("(Only the actual budget year for ",K1-2," is to be shown)")</f>
        <v>(Only the actual budget year for 2012 is to be shown)</v>
      </c>
      <c r="G2" s="91"/>
      <c r="H2" s="91"/>
      <c r="I2" s="91"/>
      <c r="J2" s="91"/>
      <c r="K2" s="91"/>
    </row>
    <row r="3" spans="1:11" ht="15.75">
      <c r="A3" s="91" t="s">
        <v>10</v>
      </c>
      <c r="B3" s="91"/>
      <c r="C3" s="91"/>
      <c r="D3" s="91"/>
      <c r="E3" s="91"/>
      <c r="F3" s="308"/>
      <c r="G3" s="91"/>
      <c r="H3" s="91"/>
      <c r="I3" s="91"/>
      <c r="J3" s="91"/>
      <c r="K3" s="91"/>
    </row>
    <row r="4" spans="1:11" ht="15.75">
      <c r="A4" s="91" t="s">
        <v>11</v>
      </c>
      <c r="B4" s="91"/>
      <c r="C4" s="91" t="s">
        <v>12</v>
      </c>
      <c r="D4" s="91"/>
      <c r="E4" s="91" t="s">
        <v>13</v>
      </c>
      <c r="F4" s="308"/>
      <c r="G4" s="91" t="s">
        <v>14</v>
      </c>
      <c r="H4" s="91"/>
      <c r="I4" s="91" t="s">
        <v>15</v>
      </c>
      <c r="J4" s="91"/>
      <c r="K4" s="91"/>
    </row>
    <row r="5" spans="1:11" ht="15.75">
      <c r="A5" s="614" t="str">
        <f>IF(inputPrYr!B54&gt;" ",(inputPrYr!B54)," ")</f>
        <v>Spec. Highway Imprv.</v>
      </c>
      <c r="B5" s="615"/>
      <c r="C5" s="614" t="str">
        <f>IF(inputPrYr!B55&gt;" ",(inputPrYr!B55)," ")</f>
        <v>Spec. Equip. &amp; Mach.</v>
      </c>
      <c r="D5" s="615"/>
      <c r="E5" s="614" t="str">
        <f>IF(inputPrYr!B56&gt;" ",(inputPrYr!B56)," ")</f>
        <v>Ambulance C.O.</v>
      </c>
      <c r="F5" s="615"/>
      <c r="G5" s="614" t="str">
        <f>IF(inputPrYr!B57&gt;" ",(inputPrYr!B57)," ")</f>
        <v>Rescue Squad C.O.</v>
      </c>
      <c r="H5" s="615"/>
      <c r="I5" s="614" t="str">
        <f>IF(inputPrYr!B58&gt;" ",(inputPrYr!B58)," ")</f>
        <v>Crime Victims Restitution</v>
      </c>
      <c r="J5" s="615"/>
      <c r="K5" s="312"/>
    </row>
    <row r="6" spans="1:11" ht="15.75">
      <c r="A6" s="313" t="s">
        <v>16</v>
      </c>
      <c r="B6" s="314"/>
      <c r="C6" s="315" t="s">
        <v>16</v>
      </c>
      <c r="D6" s="316"/>
      <c r="E6" s="315" t="s">
        <v>16</v>
      </c>
      <c r="F6" s="311"/>
      <c r="G6" s="315" t="s">
        <v>16</v>
      </c>
      <c r="H6" s="317"/>
      <c r="I6" s="315" t="s">
        <v>16</v>
      </c>
      <c r="J6" s="91"/>
      <c r="K6" s="318" t="s">
        <v>47</v>
      </c>
    </row>
    <row r="7" spans="1:11" ht="15.75">
      <c r="A7" s="319" t="s">
        <v>41</v>
      </c>
      <c r="B7" s="320">
        <v>405870</v>
      </c>
      <c r="C7" s="321" t="s">
        <v>41</v>
      </c>
      <c r="D7" s="320">
        <v>298150</v>
      </c>
      <c r="E7" s="321" t="s">
        <v>41</v>
      </c>
      <c r="F7" s="320">
        <v>4374</v>
      </c>
      <c r="G7" s="321" t="s">
        <v>41</v>
      </c>
      <c r="H7" s="320">
        <v>23000</v>
      </c>
      <c r="I7" s="321" t="s">
        <v>41</v>
      </c>
      <c r="J7" s="320">
        <v>5645</v>
      </c>
      <c r="K7" s="322">
        <f>SUM(B7+D7+F7+H7+J7)</f>
        <v>737039</v>
      </c>
    </row>
    <row r="8" spans="1:11" ht="15.75">
      <c r="A8" s="323" t="s">
        <v>199</v>
      </c>
      <c r="B8" s="324"/>
      <c r="C8" s="323" t="s">
        <v>199</v>
      </c>
      <c r="D8" s="325"/>
      <c r="E8" s="323" t="s">
        <v>199</v>
      </c>
      <c r="F8" s="308"/>
      <c r="G8" s="323" t="s">
        <v>199</v>
      </c>
      <c r="H8" s="91"/>
      <c r="I8" s="323" t="s">
        <v>199</v>
      </c>
      <c r="J8" s="91"/>
      <c r="K8" s="308"/>
    </row>
    <row r="9" spans="1:11" ht="15.75">
      <c r="A9" s="326" t="s">
        <v>424</v>
      </c>
      <c r="B9" s="320">
        <v>56400</v>
      </c>
      <c r="C9" s="326" t="s">
        <v>424</v>
      </c>
      <c r="D9" s="320">
        <v>130000</v>
      </c>
      <c r="E9" s="326"/>
      <c r="F9" s="320"/>
      <c r="G9" s="326" t="s">
        <v>427</v>
      </c>
      <c r="H9" s="320"/>
      <c r="I9" s="326" t="s">
        <v>450</v>
      </c>
      <c r="J9" s="320">
        <v>2526</v>
      </c>
      <c r="K9" s="308"/>
    </row>
    <row r="10" spans="1:11" ht="15.75">
      <c r="A10" s="326" t="s">
        <v>440</v>
      </c>
      <c r="B10" s="320">
        <v>34002</v>
      </c>
      <c r="C10" s="326" t="s">
        <v>441</v>
      </c>
      <c r="D10" s="320">
        <v>21935</v>
      </c>
      <c r="E10" s="326"/>
      <c r="F10" s="320"/>
      <c r="G10" s="326" t="s">
        <v>428</v>
      </c>
      <c r="H10" s="320">
        <v>12000</v>
      </c>
      <c r="I10" s="326"/>
      <c r="J10" s="320"/>
      <c r="K10" s="308"/>
    </row>
    <row r="11" spans="1:11" ht="15.75">
      <c r="A11" s="326"/>
      <c r="B11" s="320"/>
      <c r="C11" s="327"/>
      <c r="D11" s="320"/>
      <c r="E11" s="327"/>
      <c r="F11" s="320"/>
      <c r="G11" s="327"/>
      <c r="H11" s="320"/>
      <c r="I11" s="328"/>
      <c r="J11" s="320"/>
      <c r="K11" s="308"/>
    </row>
    <row r="12" spans="1:11" ht="15.75">
      <c r="A12" s="326"/>
      <c r="B12" s="320"/>
      <c r="C12" s="326"/>
      <c r="D12" s="320"/>
      <c r="E12" s="329"/>
      <c r="F12" s="320"/>
      <c r="G12" s="329"/>
      <c r="H12" s="320"/>
      <c r="I12" s="329"/>
      <c r="J12" s="320"/>
      <c r="K12" s="308"/>
    </row>
    <row r="13" spans="1:11" ht="15.75">
      <c r="A13" s="330"/>
      <c r="B13" s="320"/>
      <c r="C13" s="331"/>
      <c r="D13" s="320"/>
      <c r="E13" s="331"/>
      <c r="F13" s="320"/>
      <c r="G13" s="331"/>
      <c r="H13" s="320"/>
      <c r="I13" s="328"/>
      <c r="J13" s="320"/>
      <c r="K13" s="308"/>
    </row>
    <row r="14" spans="1:11" ht="15.75">
      <c r="A14" s="326"/>
      <c r="B14" s="320"/>
      <c r="C14" s="329"/>
      <c r="D14" s="320"/>
      <c r="E14" s="329"/>
      <c r="F14" s="320"/>
      <c r="G14" s="329"/>
      <c r="H14" s="320"/>
      <c r="I14" s="329"/>
      <c r="J14" s="320"/>
      <c r="K14" s="308"/>
    </row>
    <row r="15" spans="1:11" ht="15.75">
      <c r="A15" s="326"/>
      <c r="B15" s="320"/>
      <c r="C15" s="329"/>
      <c r="D15" s="320"/>
      <c r="E15" s="329"/>
      <c r="F15" s="320"/>
      <c r="G15" s="329"/>
      <c r="H15" s="320"/>
      <c r="I15" s="329"/>
      <c r="J15" s="320"/>
      <c r="K15" s="308"/>
    </row>
    <row r="16" spans="1:11" ht="15.75">
      <c r="A16" s="326"/>
      <c r="B16" s="320"/>
      <c r="C16" s="326"/>
      <c r="D16" s="320"/>
      <c r="E16" s="326"/>
      <c r="F16" s="320"/>
      <c r="G16" s="329"/>
      <c r="H16" s="320"/>
      <c r="I16" s="326"/>
      <c r="J16" s="320"/>
      <c r="K16" s="308"/>
    </row>
    <row r="17" spans="1:11" ht="15.75">
      <c r="A17" s="323" t="s">
        <v>84</v>
      </c>
      <c r="B17" s="332">
        <f>SUM(B9:B16)</f>
        <v>90402</v>
      </c>
      <c r="C17" s="323" t="s">
        <v>84</v>
      </c>
      <c r="D17" s="322">
        <f>SUM(D9:D16)</f>
        <v>151935</v>
      </c>
      <c r="E17" s="323" t="s">
        <v>84</v>
      </c>
      <c r="F17" s="359">
        <f>SUM(F9:F16)</f>
        <v>0</v>
      </c>
      <c r="G17" s="323" t="s">
        <v>84</v>
      </c>
      <c r="H17" s="322">
        <f>SUM(H9:H16)</f>
        <v>12000</v>
      </c>
      <c r="I17" s="323" t="s">
        <v>84</v>
      </c>
      <c r="J17" s="322">
        <f>SUM(J9:J16)</f>
        <v>2526</v>
      </c>
      <c r="K17" s="322">
        <f>SUM(B17+D17+F17+H17+J17)</f>
        <v>256863</v>
      </c>
    </row>
    <row r="18" spans="1:11" ht="15.75">
      <c r="A18" s="323" t="s">
        <v>85</v>
      </c>
      <c r="B18" s="332">
        <f>SUM(B7+B17)</f>
        <v>496272</v>
      </c>
      <c r="C18" s="323" t="s">
        <v>85</v>
      </c>
      <c r="D18" s="322">
        <f>SUM(D7+D17)</f>
        <v>450085</v>
      </c>
      <c r="E18" s="323" t="s">
        <v>85</v>
      </c>
      <c r="F18" s="322">
        <f>SUM(F7+F17)</f>
        <v>4374</v>
      </c>
      <c r="G18" s="323" t="s">
        <v>85</v>
      </c>
      <c r="H18" s="322">
        <f>SUM(H7+H17)</f>
        <v>35000</v>
      </c>
      <c r="I18" s="323" t="s">
        <v>85</v>
      </c>
      <c r="J18" s="322">
        <f>SUM(J7+J17)</f>
        <v>8171</v>
      </c>
      <c r="K18" s="322">
        <f>SUM(B18+D18+F18+H18+J18)</f>
        <v>993902</v>
      </c>
    </row>
    <row r="19" spans="1:11" ht="15.75">
      <c r="A19" s="323" t="s">
        <v>88</v>
      </c>
      <c r="B19" s="324"/>
      <c r="C19" s="323" t="s">
        <v>88</v>
      </c>
      <c r="D19" s="325"/>
      <c r="E19" s="323" t="s">
        <v>88</v>
      </c>
      <c r="F19" s="308"/>
      <c r="G19" s="323" t="s">
        <v>88</v>
      </c>
      <c r="H19" s="91"/>
      <c r="I19" s="323" t="s">
        <v>88</v>
      </c>
      <c r="J19" s="91"/>
      <c r="K19" s="308"/>
    </row>
    <row r="20" spans="1:11" ht="15.75">
      <c r="A20" s="326" t="s">
        <v>425</v>
      </c>
      <c r="B20" s="320">
        <v>10890</v>
      </c>
      <c r="C20" s="329" t="s">
        <v>426</v>
      </c>
      <c r="D20" s="320">
        <v>190995</v>
      </c>
      <c r="E20" s="329" t="s">
        <v>426</v>
      </c>
      <c r="F20" s="320"/>
      <c r="G20" s="329" t="s">
        <v>426</v>
      </c>
      <c r="H20" s="320">
        <v>17238</v>
      </c>
      <c r="I20" s="329"/>
      <c r="J20" s="320"/>
      <c r="K20" s="308"/>
    </row>
    <row r="21" spans="1:11" ht="15.75">
      <c r="A21" s="326"/>
      <c r="B21" s="320"/>
      <c r="C21" s="329"/>
      <c r="D21" s="320"/>
      <c r="E21" s="329"/>
      <c r="F21" s="320"/>
      <c r="G21" s="329"/>
      <c r="H21" s="320"/>
      <c r="I21" s="329"/>
      <c r="J21" s="320"/>
      <c r="K21" s="308"/>
    </row>
    <row r="22" spans="1:11" ht="15.75">
      <c r="A22" s="326"/>
      <c r="B22" s="320"/>
      <c r="C22" s="331"/>
      <c r="D22" s="320"/>
      <c r="E22" s="331"/>
      <c r="F22" s="320"/>
      <c r="G22" s="331"/>
      <c r="H22" s="320"/>
      <c r="I22" s="328"/>
      <c r="J22" s="320"/>
      <c r="K22" s="308"/>
    </row>
    <row r="23" spans="1:11" ht="15.75">
      <c r="A23" s="326"/>
      <c r="B23" s="320"/>
      <c r="C23" s="329"/>
      <c r="D23" s="320"/>
      <c r="E23" s="329"/>
      <c r="F23" s="320"/>
      <c r="G23" s="329"/>
      <c r="H23" s="320"/>
      <c r="I23" s="329"/>
      <c r="J23" s="320"/>
      <c r="K23" s="308"/>
    </row>
    <row r="24" spans="1:11" ht="15.75">
      <c r="A24" s="326"/>
      <c r="B24" s="320"/>
      <c r="C24" s="331"/>
      <c r="D24" s="320"/>
      <c r="E24" s="331"/>
      <c r="F24" s="320"/>
      <c r="G24" s="331"/>
      <c r="H24" s="320"/>
      <c r="I24" s="328"/>
      <c r="J24" s="320"/>
      <c r="K24" s="308"/>
    </row>
    <row r="25" spans="1:11" ht="15.75">
      <c r="A25" s="326"/>
      <c r="B25" s="320"/>
      <c r="C25" s="329"/>
      <c r="D25" s="320"/>
      <c r="E25" s="329"/>
      <c r="F25" s="320"/>
      <c r="G25" s="329"/>
      <c r="H25" s="320"/>
      <c r="I25" s="329"/>
      <c r="J25" s="320"/>
      <c r="K25" s="308"/>
    </row>
    <row r="26" spans="1:11" ht="15.75">
      <c r="A26" s="326"/>
      <c r="B26" s="320"/>
      <c r="C26" s="329"/>
      <c r="D26" s="320"/>
      <c r="E26" s="329"/>
      <c r="F26" s="320"/>
      <c r="G26" s="329"/>
      <c r="H26" s="320"/>
      <c r="I26" s="329"/>
      <c r="J26" s="320"/>
      <c r="K26" s="308"/>
    </row>
    <row r="27" spans="1:11" ht="15.75">
      <c r="A27" s="326"/>
      <c r="B27" s="320"/>
      <c r="C27" s="326"/>
      <c r="D27" s="320"/>
      <c r="E27" s="326"/>
      <c r="F27" s="320"/>
      <c r="G27" s="329"/>
      <c r="H27" s="320"/>
      <c r="I27" s="329"/>
      <c r="J27" s="320"/>
      <c r="K27" s="308"/>
    </row>
    <row r="28" spans="1:11" ht="15.75">
      <c r="A28" s="323" t="s">
        <v>89</v>
      </c>
      <c r="B28" s="322">
        <f>SUM(B20:B27)</f>
        <v>10890</v>
      </c>
      <c r="C28" s="323" t="s">
        <v>89</v>
      </c>
      <c r="D28" s="322">
        <f>SUM(D20:D27)</f>
        <v>190995</v>
      </c>
      <c r="E28" s="323" t="s">
        <v>89</v>
      </c>
      <c r="F28" s="359">
        <f>SUM(F20:F27)</f>
        <v>0</v>
      </c>
      <c r="G28" s="323" t="s">
        <v>89</v>
      </c>
      <c r="H28" s="359">
        <f>SUM(H20:H27)</f>
        <v>17238</v>
      </c>
      <c r="I28" s="323" t="s">
        <v>89</v>
      </c>
      <c r="J28" s="322">
        <f>SUM(J20:J27)</f>
        <v>0</v>
      </c>
      <c r="K28" s="322">
        <f>SUM(B28+D28+F28+H28+J28)</f>
        <v>219123</v>
      </c>
    </row>
    <row r="29" spans="1:12" ht="15.75">
      <c r="A29" s="323" t="s">
        <v>17</v>
      </c>
      <c r="B29" s="322">
        <f>B18-B28</f>
        <v>485382</v>
      </c>
      <c r="C29" s="323" t="s">
        <v>17</v>
      </c>
      <c r="D29" s="322">
        <f>D18-D28</f>
        <v>259090</v>
      </c>
      <c r="E29" s="323" t="s">
        <v>17</v>
      </c>
      <c r="F29" s="322">
        <f>F18-F28</f>
        <v>4374</v>
      </c>
      <c r="G29" s="323" t="s">
        <v>17</v>
      </c>
      <c r="H29" s="322">
        <f>H18-H28</f>
        <v>17762</v>
      </c>
      <c r="I29" s="323" t="s">
        <v>17</v>
      </c>
      <c r="J29" s="322">
        <f>J18-J28</f>
        <v>8171</v>
      </c>
      <c r="K29" s="333">
        <f>SUM(B29+D29+F29+H29+J29)</f>
        <v>774779</v>
      </c>
      <c r="L29" s="48" t="s">
        <v>31</v>
      </c>
    </row>
    <row r="30" spans="1:12" ht="15.75">
      <c r="A30" s="323"/>
      <c r="B30" s="345">
        <f>IF(B29&lt;0,"See Tab B","")</f>
      </c>
      <c r="C30" s="323"/>
      <c r="D30" s="345">
        <f>IF(D29&lt;0,"See Tab B","")</f>
      </c>
      <c r="E30" s="323"/>
      <c r="F30" s="345">
        <f>IF(F29&lt;0,"See Tab B","")</f>
      </c>
      <c r="G30" s="91"/>
      <c r="H30" s="345">
        <f>IF(H29&lt;0,"See Tab B","")</f>
      </c>
      <c r="I30" s="91"/>
      <c r="J30" s="345">
        <f>IF(J29&lt;0,"See Tab B","")</f>
      </c>
      <c r="K30" s="333">
        <f>SUM(K7+K17-K28)</f>
        <v>774779</v>
      </c>
      <c r="L30" s="48" t="s">
        <v>31</v>
      </c>
    </row>
    <row r="31" spans="1:11" ht="15.75">
      <c r="A31" s="91"/>
      <c r="B31" s="334"/>
      <c r="C31" s="91"/>
      <c r="D31" s="308"/>
      <c r="E31" s="91"/>
      <c r="F31" s="91"/>
      <c r="G31" s="49" t="s">
        <v>32</v>
      </c>
      <c r="H31" s="49"/>
      <c r="I31" s="49"/>
      <c r="J31" s="49"/>
      <c r="K31" s="91"/>
    </row>
    <row r="32" spans="1:11" ht="15.75">
      <c r="A32" s="91"/>
      <c r="B32" s="334"/>
      <c r="C32" s="91"/>
      <c r="D32" s="91"/>
      <c r="E32" s="91"/>
      <c r="F32" s="91"/>
      <c r="G32" s="91"/>
      <c r="H32" s="91"/>
      <c r="I32" s="91"/>
      <c r="J32" s="91"/>
      <c r="K32" s="91"/>
    </row>
    <row r="33" spans="1:11" ht="15.75">
      <c r="A33" s="91"/>
      <c r="B33" s="334"/>
      <c r="C33" s="91"/>
      <c r="D33" s="91"/>
      <c r="E33" s="275" t="s">
        <v>109</v>
      </c>
      <c r="F33" s="302">
        <v>24</v>
      </c>
      <c r="G33" s="91"/>
      <c r="H33" s="91"/>
      <c r="I33" s="91"/>
      <c r="J33" s="91"/>
      <c r="K33" s="91"/>
    </row>
    <row r="34" ht="15.75">
      <c r="B34" s="335"/>
    </row>
    <row r="35" ht="15.75">
      <c r="B35" s="335"/>
    </row>
    <row r="36" ht="15.75">
      <c r="B36" s="335"/>
    </row>
    <row r="37" ht="15.75">
      <c r="B37" s="335"/>
    </row>
    <row r="38" ht="15.75">
      <c r="B38" s="335"/>
    </row>
    <row r="39" ht="15.75">
      <c r="B39" s="335"/>
    </row>
    <row r="40" ht="15.75">
      <c r="B40" s="335"/>
    </row>
    <row r="41" ht="15.75">
      <c r="B41" s="335"/>
    </row>
  </sheetData>
  <sheetProtection/>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6" r:id="rId1"/>
  <headerFooter alignWithMargins="0">
    <oddHeader>&amp;RState of Kansas
County</oddHeader>
  </headerFooter>
</worksheet>
</file>

<file path=xl/worksheets/sheet29.xml><?xml version="1.0" encoding="utf-8"?>
<worksheet xmlns="http://schemas.openxmlformats.org/spreadsheetml/2006/main" xmlns:r="http://schemas.openxmlformats.org/officeDocument/2006/relationships">
  <sheetPr>
    <pageSetUpPr fitToPage="1"/>
  </sheetPr>
  <dimension ref="A1:L41"/>
  <sheetViews>
    <sheetView view="pageBreakPreview" zoomScale="98" zoomScaleSheetLayoutView="98" zoomScalePageLayoutView="0" workbookViewId="0" topLeftCell="A7">
      <selection activeCell="F34" sqref="F34"/>
    </sheetView>
  </sheetViews>
  <sheetFormatPr defaultColWidth="8.796875" defaultRowHeight="15"/>
  <cols>
    <col min="1" max="1" width="11.59765625" style="48" customWidth="1"/>
    <col min="2" max="2" width="7.3984375" style="48" customWidth="1"/>
    <col min="3" max="3" width="11.59765625" style="48" customWidth="1"/>
    <col min="4" max="4" width="7.3984375" style="48" customWidth="1"/>
    <col min="5" max="5" width="11.59765625" style="48" customWidth="1"/>
    <col min="6" max="6" width="7.3984375" style="48" customWidth="1"/>
    <col min="7" max="7" width="11.59765625" style="48" customWidth="1"/>
    <col min="8" max="8" width="7.3984375" style="48" customWidth="1"/>
    <col min="9" max="9" width="11.59765625" style="48" customWidth="1"/>
    <col min="10" max="11" width="8.8984375" style="48" customWidth="1"/>
    <col min="12" max="12" width="3.296875" style="48" customWidth="1"/>
    <col min="13" max="16384" width="8.8984375" style="48" customWidth="1"/>
  </cols>
  <sheetData>
    <row r="1" spans="1:11" ht="15.75">
      <c r="A1" s="110" t="str">
        <f>inputPrYr!$C$2</f>
        <v>MITCHELL COUNTY</v>
      </c>
      <c r="B1" s="308"/>
      <c r="C1" s="91"/>
      <c r="D1" s="91"/>
      <c r="E1" s="91"/>
      <c r="F1" s="309" t="s">
        <v>18</v>
      </c>
      <c r="G1" s="91"/>
      <c r="H1" s="91"/>
      <c r="I1" s="91"/>
      <c r="J1" s="91"/>
      <c r="K1" s="91">
        <f>inputPrYr!$C$4</f>
        <v>2014</v>
      </c>
    </row>
    <row r="2" spans="1:11" ht="15.75">
      <c r="A2" s="91"/>
      <c r="B2" s="91"/>
      <c r="C2" s="91"/>
      <c r="D2" s="91"/>
      <c r="E2" s="91"/>
      <c r="F2" s="310" t="str">
        <f>CONCATENATE("(Only the actual budget year for ",K1-2," is to be shown)")</f>
        <v>(Only the actual budget year for 2012 is to be shown)</v>
      </c>
      <c r="G2" s="91"/>
      <c r="H2" s="91"/>
      <c r="I2" s="91"/>
      <c r="J2" s="91"/>
      <c r="K2" s="91"/>
    </row>
    <row r="3" spans="1:11" ht="15.75">
      <c r="A3" s="91" t="s">
        <v>19</v>
      </c>
      <c r="B3" s="91"/>
      <c r="C3" s="91"/>
      <c r="D3" s="91"/>
      <c r="E3" s="91"/>
      <c r="F3" s="308"/>
      <c r="G3" s="91"/>
      <c r="H3" s="91"/>
      <c r="I3" s="91"/>
      <c r="J3" s="91"/>
      <c r="K3" s="91"/>
    </row>
    <row r="4" spans="1:11" ht="15.75">
      <c r="A4" s="91" t="s">
        <v>11</v>
      </c>
      <c r="B4" s="91"/>
      <c r="C4" s="91" t="s">
        <v>12</v>
      </c>
      <c r="D4" s="91"/>
      <c r="E4" s="91" t="s">
        <v>13</v>
      </c>
      <c r="F4" s="308"/>
      <c r="G4" s="91" t="s">
        <v>14</v>
      </c>
      <c r="H4" s="91"/>
      <c r="I4" s="91" t="s">
        <v>15</v>
      </c>
      <c r="J4" s="91"/>
      <c r="K4" s="91"/>
    </row>
    <row r="5" spans="1:11" ht="15.75">
      <c r="A5" s="614" t="str">
        <f>IF(inputPrYr!B60&gt;" ",(inputPrYr!B60)," ")</f>
        <v>Treas. &amp; Reg. of Deeds Off.</v>
      </c>
      <c r="B5" s="615"/>
      <c r="C5" s="614" t="str">
        <f>IF(inputPrYr!B61&gt;" ",(inputPrYr!B61)," ")</f>
        <v>Spec. Motor Vehicle</v>
      </c>
      <c r="D5" s="615"/>
      <c r="E5" s="614" t="str">
        <f>IF(inputPrYr!B62&gt;" ",(inputPrYr!B62)," ")</f>
        <v>Federal &amp; State Grants</v>
      </c>
      <c r="F5" s="615"/>
      <c r="G5" s="614" t="str">
        <f>IF(inputPrYr!B63&gt;" ",(inputPrYr!B63)," ")</f>
        <v>Concealed Weapon Permit</v>
      </c>
      <c r="H5" s="615"/>
      <c r="I5" s="614" t="str">
        <f>IF(inputPrYr!B64&gt;" ",(inputPrYr!B64)," ")</f>
        <v> </v>
      </c>
      <c r="J5" s="615"/>
      <c r="K5" s="312"/>
    </row>
    <row r="6" spans="1:11" ht="15.75">
      <c r="A6" s="313" t="s">
        <v>16</v>
      </c>
      <c r="B6" s="314"/>
      <c r="C6" s="315" t="s">
        <v>16</v>
      </c>
      <c r="D6" s="316"/>
      <c r="E6" s="315" t="s">
        <v>16</v>
      </c>
      <c r="F6" s="311"/>
      <c r="G6" s="315" t="s">
        <v>16</v>
      </c>
      <c r="H6" s="317"/>
      <c r="I6" s="315" t="s">
        <v>16</v>
      </c>
      <c r="J6" s="91"/>
      <c r="K6" s="318" t="s">
        <v>47</v>
      </c>
    </row>
    <row r="7" spans="1:11" ht="15.75">
      <c r="A7" s="319" t="s">
        <v>41</v>
      </c>
      <c r="B7" s="320">
        <v>33053</v>
      </c>
      <c r="C7" s="321" t="s">
        <v>41</v>
      </c>
      <c r="D7" s="320">
        <v>87354</v>
      </c>
      <c r="E7" s="321" t="s">
        <v>41</v>
      </c>
      <c r="F7" s="320">
        <v>0</v>
      </c>
      <c r="G7" s="321" t="s">
        <v>41</v>
      </c>
      <c r="H7" s="320">
        <v>3575</v>
      </c>
      <c r="I7" s="321" t="s">
        <v>41</v>
      </c>
      <c r="J7" s="320"/>
      <c r="K7" s="322">
        <f>SUM(B7+D7+F7+H7+J7)</f>
        <v>123982</v>
      </c>
    </row>
    <row r="8" spans="1:11" ht="15.75">
      <c r="A8" s="323" t="s">
        <v>199</v>
      </c>
      <c r="B8" s="324"/>
      <c r="C8" s="323" t="s">
        <v>199</v>
      </c>
      <c r="D8" s="325"/>
      <c r="E8" s="323" t="s">
        <v>199</v>
      </c>
      <c r="F8" s="308"/>
      <c r="G8" s="323" t="s">
        <v>199</v>
      </c>
      <c r="H8" s="91"/>
      <c r="I8" s="323" t="s">
        <v>199</v>
      </c>
      <c r="J8" s="91"/>
      <c r="K8" s="308"/>
    </row>
    <row r="9" spans="1:11" ht="15.75">
      <c r="A9" s="326"/>
      <c r="B9" s="320"/>
      <c r="C9" s="326" t="s">
        <v>429</v>
      </c>
      <c r="D9" s="320">
        <v>2266512</v>
      </c>
      <c r="E9" s="326"/>
      <c r="F9" s="320"/>
      <c r="G9" s="326" t="s">
        <v>421</v>
      </c>
      <c r="H9" s="320">
        <v>2105</v>
      </c>
      <c r="I9" s="326"/>
      <c r="J9" s="320"/>
      <c r="K9" s="308"/>
    </row>
    <row r="10" spans="1:11" ht="15.75">
      <c r="A10" s="326"/>
      <c r="B10" s="320"/>
      <c r="C10" s="326" t="s">
        <v>430</v>
      </c>
      <c r="D10" s="320">
        <v>439</v>
      </c>
      <c r="E10" s="326"/>
      <c r="F10" s="320"/>
      <c r="G10" s="326"/>
      <c r="H10" s="320"/>
      <c r="I10" s="326"/>
      <c r="J10" s="320"/>
      <c r="K10" s="308"/>
    </row>
    <row r="11" spans="1:11" ht="15.75">
      <c r="A11" s="326"/>
      <c r="B11" s="320"/>
      <c r="C11" s="327" t="s">
        <v>431</v>
      </c>
      <c r="D11" s="320">
        <v>706</v>
      </c>
      <c r="E11" s="327"/>
      <c r="F11" s="320"/>
      <c r="G11" s="327"/>
      <c r="H11" s="320"/>
      <c r="I11" s="328"/>
      <c r="J11" s="320"/>
      <c r="K11" s="308"/>
    </row>
    <row r="12" spans="1:11" ht="15.75">
      <c r="A12" s="326"/>
      <c r="B12" s="320"/>
      <c r="C12" s="326"/>
      <c r="D12" s="320"/>
      <c r="E12" s="329"/>
      <c r="F12" s="320"/>
      <c r="G12" s="329"/>
      <c r="H12" s="320"/>
      <c r="I12" s="329"/>
      <c r="J12" s="320"/>
      <c r="K12" s="308"/>
    </row>
    <row r="13" spans="1:11" ht="15.75">
      <c r="A13" s="330"/>
      <c r="B13" s="320"/>
      <c r="C13" s="331"/>
      <c r="D13" s="320"/>
      <c r="E13" s="331"/>
      <c r="F13" s="320"/>
      <c r="G13" s="331"/>
      <c r="H13" s="320"/>
      <c r="I13" s="328"/>
      <c r="J13" s="320"/>
      <c r="K13" s="308"/>
    </row>
    <row r="14" spans="1:11" ht="15.75">
      <c r="A14" s="326"/>
      <c r="B14" s="320"/>
      <c r="C14" s="329"/>
      <c r="D14" s="320"/>
      <c r="E14" s="329"/>
      <c r="F14" s="320"/>
      <c r="G14" s="329"/>
      <c r="H14" s="320"/>
      <c r="I14" s="329"/>
      <c r="J14" s="320"/>
      <c r="K14" s="308"/>
    </row>
    <row r="15" spans="1:11" ht="15.75">
      <c r="A15" s="326"/>
      <c r="B15" s="320"/>
      <c r="C15" s="329"/>
      <c r="D15" s="320"/>
      <c r="E15" s="329"/>
      <c r="F15" s="320"/>
      <c r="G15" s="329"/>
      <c r="H15" s="320"/>
      <c r="I15" s="329"/>
      <c r="J15" s="320"/>
      <c r="K15" s="308"/>
    </row>
    <row r="16" spans="1:11" ht="15.75">
      <c r="A16" s="326"/>
      <c r="B16" s="320"/>
      <c r="C16" s="326"/>
      <c r="D16" s="320"/>
      <c r="E16" s="326"/>
      <c r="F16" s="320"/>
      <c r="G16" s="329"/>
      <c r="H16" s="320"/>
      <c r="I16" s="326"/>
      <c r="J16" s="320"/>
      <c r="K16" s="308"/>
    </row>
    <row r="17" spans="1:11" ht="15.75">
      <c r="A17" s="323" t="s">
        <v>84</v>
      </c>
      <c r="B17" s="322">
        <f>SUM(B9:B16)</f>
        <v>0</v>
      </c>
      <c r="C17" s="323" t="s">
        <v>84</v>
      </c>
      <c r="D17" s="322">
        <f>SUM(D9:D16)</f>
        <v>2267657</v>
      </c>
      <c r="E17" s="323" t="s">
        <v>84</v>
      </c>
      <c r="F17" s="359">
        <f>SUM(F9:F16)</f>
        <v>0</v>
      </c>
      <c r="G17" s="323" t="s">
        <v>84</v>
      </c>
      <c r="H17" s="322">
        <f>SUM(H9:H16)</f>
        <v>2105</v>
      </c>
      <c r="I17" s="323" t="s">
        <v>84</v>
      </c>
      <c r="J17" s="322">
        <f>SUM(J9:J16)</f>
        <v>0</v>
      </c>
      <c r="K17" s="322">
        <f>SUM(B17+D17+F17+H17+J17)</f>
        <v>2269762</v>
      </c>
    </row>
    <row r="18" spans="1:11" ht="15.75">
      <c r="A18" s="323" t="s">
        <v>85</v>
      </c>
      <c r="B18" s="322">
        <f>SUM(B7+B17)</f>
        <v>33053</v>
      </c>
      <c r="C18" s="323" t="s">
        <v>85</v>
      </c>
      <c r="D18" s="322">
        <f>SUM(D7+D17)</f>
        <v>2355011</v>
      </c>
      <c r="E18" s="323" t="s">
        <v>85</v>
      </c>
      <c r="F18" s="322">
        <f>SUM(F7+F17)</f>
        <v>0</v>
      </c>
      <c r="G18" s="323" t="s">
        <v>85</v>
      </c>
      <c r="H18" s="322">
        <f>SUM(H7+H17)</f>
        <v>5680</v>
      </c>
      <c r="I18" s="323" t="s">
        <v>85</v>
      </c>
      <c r="J18" s="322">
        <f>SUM(J7+J17)</f>
        <v>0</v>
      </c>
      <c r="K18" s="322">
        <f>SUM(B18+D18+F18+H18+J18)</f>
        <v>2393744</v>
      </c>
    </row>
    <row r="19" spans="1:11" ht="15.75">
      <c r="A19" s="323" t="s">
        <v>88</v>
      </c>
      <c r="B19" s="324"/>
      <c r="C19" s="323" t="s">
        <v>88</v>
      </c>
      <c r="D19" s="325"/>
      <c r="E19" s="323" t="s">
        <v>88</v>
      </c>
      <c r="F19" s="308"/>
      <c r="G19" s="323" t="s">
        <v>88</v>
      </c>
      <c r="H19" s="91"/>
      <c r="I19" s="323" t="s">
        <v>88</v>
      </c>
      <c r="J19" s="91"/>
      <c r="K19" s="308"/>
    </row>
    <row r="20" spans="1:11" ht="15.75">
      <c r="A20" s="326"/>
      <c r="B20" s="320"/>
      <c r="C20" s="329" t="s">
        <v>432</v>
      </c>
      <c r="D20" s="320">
        <v>2186234</v>
      </c>
      <c r="E20" s="329"/>
      <c r="F20" s="320"/>
      <c r="G20" s="329"/>
      <c r="H20" s="320"/>
      <c r="I20" s="329"/>
      <c r="J20" s="320"/>
      <c r="K20" s="308"/>
    </row>
    <row r="21" spans="1:11" ht="15.75">
      <c r="A21" s="326"/>
      <c r="B21" s="320"/>
      <c r="C21" s="329" t="s">
        <v>433</v>
      </c>
      <c r="D21" s="320">
        <v>74151</v>
      </c>
      <c r="E21" s="329"/>
      <c r="F21" s="320"/>
      <c r="G21" s="329"/>
      <c r="H21" s="320"/>
      <c r="I21" s="329"/>
      <c r="J21" s="320"/>
      <c r="K21" s="308"/>
    </row>
    <row r="22" spans="1:11" ht="15.75">
      <c r="A22" s="326"/>
      <c r="B22" s="320"/>
      <c r="C22" s="331"/>
      <c r="D22" s="320"/>
      <c r="E22" s="331"/>
      <c r="F22" s="320"/>
      <c r="G22" s="331"/>
      <c r="H22" s="320"/>
      <c r="I22" s="328"/>
      <c r="J22" s="320"/>
      <c r="K22" s="308"/>
    </row>
    <row r="23" spans="1:11" ht="15.75">
      <c r="A23" s="326"/>
      <c r="B23" s="320"/>
      <c r="C23" s="329"/>
      <c r="D23" s="320"/>
      <c r="E23" s="329"/>
      <c r="F23" s="320"/>
      <c r="G23" s="329"/>
      <c r="H23" s="320"/>
      <c r="I23" s="329"/>
      <c r="J23" s="320"/>
      <c r="K23" s="308"/>
    </row>
    <row r="24" spans="1:11" ht="15.75">
      <c r="A24" s="326"/>
      <c r="B24" s="320"/>
      <c r="C24" s="331"/>
      <c r="D24" s="320"/>
      <c r="E24" s="331"/>
      <c r="F24" s="320"/>
      <c r="G24" s="331"/>
      <c r="H24" s="320"/>
      <c r="I24" s="328"/>
      <c r="J24" s="320"/>
      <c r="K24" s="308"/>
    </row>
    <row r="25" spans="1:11" ht="15.75">
      <c r="A25" s="326"/>
      <c r="B25" s="320"/>
      <c r="C25" s="329"/>
      <c r="D25" s="320"/>
      <c r="E25" s="329"/>
      <c r="F25" s="320"/>
      <c r="G25" s="329"/>
      <c r="H25" s="320"/>
      <c r="I25" s="329"/>
      <c r="J25" s="320"/>
      <c r="K25" s="308"/>
    </row>
    <row r="26" spans="1:11" ht="15.75">
      <c r="A26" s="326"/>
      <c r="B26" s="320"/>
      <c r="C26" s="329"/>
      <c r="D26" s="320"/>
      <c r="E26" s="329"/>
      <c r="F26" s="320"/>
      <c r="G26" s="329"/>
      <c r="H26" s="320"/>
      <c r="I26" s="329"/>
      <c r="J26" s="320"/>
      <c r="K26" s="308"/>
    </row>
    <row r="27" spans="1:11" ht="15.75">
      <c r="A27" s="326"/>
      <c r="B27" s="320"/>
      <c r="C27" s="326"/>
      <c r="D27" s="320"/>
      <c r="E27" s="326"/>
      <c r="F27" s="320"/>
      <c r="G27" s="329"/>
      <c r="H27" s="320"/>
      <c r="I27" s="329"/>
      <c r="J27" s="320"/>
      <c r="K27" s="308"/>
    </row>
    <row r="28" spans="1:11" ht="15.75">
      <c r="A28" s="323" t="s">
        <v>89</v>
      </c>
      <c r="B28" s="322">
        <f>SUM(B20:B27)</f>
        <v>0</v>
      </c>
      <c r="C28" s="323" t="s">
        <v>89</v>
      </c>
      <c r="D28" s="322">
        <f>SUM(D20:D27)</f>
        <v>2260385</v>
      </c>
      <c r="E28" s="323" t="s">
        <v>89</v>
      </c>
      <c r="F28" s="359">
        <f>SUM(F20:F27)</f>
        <v>0</v>
      </c>
      <c r="G28" s="323" t="s">
        <v>89</v>
      </c>
      <c r="H28" s="359">
        <f>SUM(H20:H27)</f>
        <v>0</v>
      </c>
      <c r="I28" s="323" t="s">
        <v>89</v>
      </c>
      <c r="J28" s="322">
        <f>SUM(J20:J27)</f>
        <v>0</v>
      </c>
      <c r="K28" s="322">
        <f>SUM(B28+D28+F28+H28+J28)</f>
        <v>2260385</v>
      </c>
    </row>
    <row r="29" spans="1:12" ht="15.75">
      <c r="A29" s="323" t="s">
        <v>17</v>
      </c>
      <c r="B29" s="322">
        <f>B18-B28</f>
        <v>33053</v>
      </c>
      <c r="C29" s="323" t="s">
        <v>17</v>
      </c>
      <c r="D29" s="322">
        <f>D18-D28</f>
        <v>94626</v>
      </c>
      <c r="E29" s="323" t="s">
        <v>17</v>
      </c>
      <c r="F29" s="322">
        <f>F18-F28</f>
        <v>0</v>
      </c>
      <c r="G29" s="323" t="s">
        <v>17</v>
      </c>
      <c r="H29" s="322">
        <f>H18-H28</f>
        <v>5680</v>
      </c>
      <c r="I29" s="323" t="s">
        <v>17</v>
      </c>
      <c r="J29" s="322">
        <f>J18-J28</f>
        <v>0</v>
      </c>
      <c r="K29" s="333">
        <f>SUM(B29+D29+F29+H29+J29)</f>
        <v>133359</v>
      </c>
      <c r="L29" s="48" t="s">
        <v>31</v>
      </c>
    </row>
    <row r="30" spans="1:12" ht="15.75">
      <c r="A30" s="323"/>
      <c r="B30" s="345">
        <f>IF(B29&lt;0,"See Tab B","")</f>
      </c>
      <c r="C30" s="323"/>
      <c r="D30" s="345">
        <f>IF(D29&lt;0,"See Tab B","")</f>
      </c>
      <c r="E30" s="323"/>
      <c r="F30" s="345">
        <f>IF(F29&lt;0,"See Tab B","")</f>
      </c>
      <c r="G30" s="91"/>
      <c r="H30" s="345">
        <f>IF(H29&lt;0,"See Tab B","")</f>
      </c>
      <c r="I30" s="91"/>
      <c r="J30" s="345">
        <f>IF(J29&lt;0,"See Tab B","")</f>
      </c>
      <c r="K30" s="333">
        <f>SUM(K7+K17-K28)</f>
        <v>133359</v>
      </c>
      <c r="L30" s="48" t="s">
        <v>31</v>
      </c>
    </row>
    <row r="31" spans="1:11" ht="15.75">
      <c r="A31" s="91"/>
      <c r="B31" s="334"/>
      <c r="C31" s="91"/>
      <c r="D31" s="308"/>
      <c r="E31" s="91"/>
      <c r="F31" s="91"/>
      <c r="G31" s="49" t="s">
        <v>32</v>
      </c>
      <c r="H31" s="49"/>
      <c r="I31" s="49"/>
      <c r="J31" s="49"/>
      <c r="K31" s="91"/>
    </row>
    <row r="32" spans="1:11" ht="15.75">
      <c r="A32" s="91"/>
      <c r="B32" s="334"/>
      <c r="C32" s="91"/>
      <c r="D32" s="91"/>
      <c r="E32" s="91"/>
      <c r="F32" s="91"/>
      <c r="G32" s="91"/>
      <c r="H32" s="91"/>
      <c r="I32" s="91"/>
      <c r="J32" s="91"/>
      <c r="K32" s="91"/>
    </row>
    <row r="33" spans="1:11" ht="15.75">
      <c r="A33" s="91"/>
      <c r="B33" s="334"/>
      <c r="C33" s="91"/>
      <c r="D33" s="91"/>
      <c r="E33" s="275" t="s">
        <v>109</v>
      </c>
      <c r="F33" s="302">
        <v>25</v>
      </c>
      <c r="G33" s="91"/>
      <c r="H33" s="91"/>
      <c r="I33" s="91"/>
      <c r="J33" s="91"/>
      <c r="K33" s="91"/>
    </row>
    <row r="34" ht="15.75">
      <c r="B34" s="335"/>
    </row>
    <row r="35" ht="15.75">
      <c r="B35" s="335"/>
    </row>
    <row r="36" ht="15.75">
      <c r="B36" s="335"/>
    </row>
    <row r="37" ht="15.75">
      <c r="B37" s="335"/>
    </row>
    <row r="38" ht="15.75">
      <c r="B38" s="335"/>
    </row>
    <row r="39" ht="15.75">
      <c r="B39" s="335"/>
    </row>
    <row r="40" ht="15.75">
      <c r="B40" s="335"/>
    </row>
    <row r="41" ht="15.75">
      <c r="B41" s="335"/>
    </row>
  </sheetData>
  <sheetProtection/>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6" r:id="rId1"/>
  <headerFooter alignWithMargins="0">
    <oddHeader>&amp;RState of Kansas
County</oddHeader>
  </headerFooter>
</worksheet>
</file>

<file path=xl/worksheets/sheet3.xml><?xml version="1.0" encoding="utf-8"?>
<worksheet xmlns="http://schemas.openxmlformats.org/spreadsheetml/2006/main" xmlns:r="http://schemas.openxmlformats.org/officeDocument/2006/relationships">
  <dimension ref="A1:J23"/>
  <sheetViews>
    <sheetView view="pageBreakPreview" zoomScale="108" zoomScaleSheetLayoutView="108" zoomScalePageLayoutView="0" workbookViewId="0" topLeftCell="A7">
      <selection activeCell="B8" sqref="B8"/>
    </sheetView>
  </sheetViews>
  <sheetFormatPr defaultColWidth="8.796875" defaultRowHeight="15"/>
  <cols>
    <col min="1" max="1" width="13.796875" style="0" customWidth="1"/>
    <col min="2" max="2" width="16.09765625" style="0" customWidth="1"/>
  </cols>
  <sheetData>
    <row r="1" ht="15">
      <c r="J1" s="446" t="s">
        <v>298</v>
      </c>
    </row>
    <row r="2" spans="1:10" ht="54" customHeight="1">
      <c r="A2" s="564" t="s">
        <v>259</v>
      </c>
      <c r="B2" s="565"/>
      <c r="C2" s="565"/>
      <c r="D2" s="565"/>
      <c r="E2" s="565"/>
      <c r="F2" s="565"/>
      <c r="J2" s="446" t="s">
        <v>299</v>
      </c>
    </row>
    <row r="3" spans="1:10" ht="15.75">
      <c r="A3" s="2" t="s">
        <v>296</v>
      </c>
      <c r="B3" s="524" t="s">
        <v>492</v>
      </c>
      <c r="J3" s="446" t="s">
        <v>300</v>
      </c>
    </row>
    <row r="4" spans="1:10" ht="15.75">
      <c r="A4" s="348"/>
      <c r="B4" s="348"/>
      <c r="C4" s="348"/>
      <c r="D4" s="445" t="s">
        <v>297</v>
      </c>
      <c r="E4" s="348"/>
      <c r="F4" s="348"/>
      <c r="J4" s="446" t="s">
        <v>301</v>
      </c>
    </row>
    <row r="5" spans="1:10" ht="15.75">
      <c r="A5" s="349" t="s">
        <v>260</v>
      </c>
      <c r="B5" s="350" t="s">
        <v>493</v>
      </c>
      <c r="C5" s="351"/>
      <c r="D5" s="445" t="str">
        <f>IF(B5="","",CONCATENATE("Latest date for notice to be published in your newspaper: ",G18," ",G22,", ",G23))</f>
        <v>Latest date for notice to be published in your newspaper: August 9, 2013</v>
      </c>
      <c r="E5" s="348"/>
      <c r="F5" s="348"/>
      <c r="J5" s="446" t="s">
        <v>302</v>
      </c>
    </row>
    <row r="6" spans="1:10" ht="15.75">
      <c r="A6" s="349"/>
      <c r="B6" s="352"/>
      <c r="C6" s="353"/>
      <c r="D6" s="349"/>
      <c r="E6" s="348"/>
      <c r="F6" s="348"/>
      <c r="J6" s="446" t="s">
        <v>303</v>
      </c>
    </row>
    <row r="7" spans="1:10" ht="15.75">
      <c r="A7" s="349" t="s">
        <v>261</v>
      </c>
      <c r="B7" s="350" t="s">
        <v>494</v>
      </c>
      <c r="C7" s="354"/>
      <c r="D7" s="349"/>
      <c r="E7" s="348"/>
      <c r="F7" s="348"/>
      <c r="J7" s="446" t="s">
        <v>304</v>
      </c>
    </row>
    <row r="8" spans="1:10" ht="15.75">
      <c r="A8" s="349"/>
      <c r="B8" s="349"/>
      <c r="C8" s="349"/>
      <c r="D8" s="349"/>
      <c r="E8" s="348"/>
      <c r="F8" s="348"/>
      <c r="J8" s="446" t="s">
        <v>305</v>
      </c>
    </row>
    <row r="9" spans="1:10" ht="15.75">
      <c r="A9" s="349" t="s">
        <v>262</v>
      </c>
      <c r="B9" s="355" t="s">
        <v>461</v>
      </c>
      <c r="C9" s="355"/>
      <c r="D9" s="355"/>
      <c r="E9" s="356"/>
      <c r="F9" s="348"/>
      <c r="J9" s="446" t="s">
        <v>306</v>
      </c>
    </row>
    <row r="10" spans="1:10" ht="15.75">
      <c r="A10" s="349"/>
      <c r="B10" s="349"/>
      <c r="C10" s="349"/>
      <c r="D10" s="349"/>
      <c r="E10" s="348"/>
      <c r="F10" s="348"/>
      <c r="J10" s="446" t="s">
        <v>307</v>
      </c>
    </row>
    <row r="11" spans="1:10" ht="15.75">
      <c r="A11" s="349"/>
      <c r="B11" s="349"/>
      <c r="C11" s="349"/>
      <c r="D11" s="349"/>
      <c r="E11" s="348"/>
      <c r="F11" s="348"/>
      <c r="J11" s="446" t="s">
        <v>308</v>
      </c>
    </row>
    <row r="12" spans="1:10" ht="15.75">
      <c r="A12" s="349" t="s">
        <v>264</v>
      </c>
      <c r="B12" s="355" t="s">
        <v>462</v>
      </c>
      <c r="C12" s="355"/>
      <c r="D12" s="355"/>
      <c r="E12" s="356"/>
      <c r="F12" s="348"/>
      <c r="J12" s="446" t="s">
        <v>309</v>
      </c>
    </row>
    <row r="15" spans="1:6" ht="15.75">
      <c r="A15" s="566" t="s">
        <v>265</v>
      </c>
      <c r="B15" s="566"/>
      <c r="C15" s="349"/>
      <c r="D15" s="349"/>
      <c r="E15" s="349"/>
      <c r="F15" s="348"/>
    </row>
    <row r="16" spans="1:6" ht="15.75">
      <c r="A16" s="349"/>
      <c r="B16" s="349"/>
      <c r="C16" s="349"/>
      <c r="D16" s="349"/>
      <c r="E16" s="349"/>
      <c r="F16" s="348"/>
    </row>
    <row r="17" spans="1:5" ht="15.75">
      <c r="A17" s="349" t="s">
        <v>260</v>
      </c>
      <c r="B17" s="352" t="s">
        <v>266</v>
      </c>
      <c r="C17" s="349"/>
      <c r="D17" s="349"/>
      <c r="E17" s="349"/>
    </row>
    <row r="18" spans="1:7" ht="15.75">
      <c r="A18" s="349"/>
      <c r="B18" s="349"/>
      <c r="C18" s="349"/>
      <c r="D18" s="349"/>
      <c r="E18" s="349"/>
      <c r="G18" s="446" t="str">
        <f ca="1">IF(B5="","",INDIRECT(G19))</f>
        <v>August</v>
      </c>
    </row>
    <row r="19" spans="1:7" ht="15.75">
      <c r="A19" s="349" t="s">
        <v>261</v>
      </c>
      <c r="B19" s="349" t="s">
        <v>267</v>
      </c>
      <c r="C19" s="349"/>
      <c r="D19" s="349"/>
      <c r="E19" s="349"/>
      <c r="G19" s="447" t="str">
        <f>IF(B5="","",CONCATENATE("J",G21))</f>
        <v>J8</v>
      </c>
    </row>
    <row r="20" spans="1:7" ht="15.75">
      <c r="A20" s="349"/>
      <c r="B20" s="349"/>
      <c r="C20" s="349"/>
      <c r="D20" s="349"/>
      <c r="E20" s="349"/>
      <c r="G20" s="448">
        <f>B5-10</f>
        <v>41495</v>
      </c>
    </row>
    <row r="21" spans="1:7" ht="15.75">
      <c r="A21" s="349" t="s">
        <v>262</v>
      </c>
      <c r="B21" s="349" t="s">
        <v>263</v>
      </c>
      <c r="C21" s="349"/>
      <c r="D21" s="349"/>
      <c r="E21" s="349"/>
      <c r="G21" s="449">
        <f>IF(B5="","",MONTH(G20))</f>
        <v>8</v>
      </c>
    </row>
    <row r="22" spans="1:7" ht="15.75">
      <c r="A22" s="349"/>
      <c r="B22" s="349"/>
      <c r="C22" s="349"/>
      <c r="D22" s="349"/>
      <c r="E22" s="349"/>
      <c r="G22" s="450">
        <f>IF(B5="","",DAY(G20))</f>
        <v>9</v>
      </c>
    </row>
    <row r="23" spans="1:7" ht="15.75">
      <c r="A23" s="349" t="s">
        <v>264</v>
      </c>
      <c r="B23" s="349" t="s">
        <v>263</v>
      </c>
      <c r="C23" s="349"/>
      <c r="D23" s="349"/>
      <c r="E23" s="349"/>
      <c r="G23" s="451">
        <f>IF(B5="","",YEAR(G20))</f>
        <v>2013</v>
      </c>
    </row>
  </sheetData>
  <sheetProtection sheet="1"/>
  <mergeCells count="2">
    <mergeCell ref="A2:F2"/>
    <mergeCell ref="A15:B15"/>
  </mergeCells>
  <printOptions/>
  <pageMargins left="0.7" right="0.7" top="0.75" bottom="0.75" header="0.3" footer="0.3"/>
  <pageSetup blackAndWhite="1" horizontalDpi="600" verticalDpi="600" orientation="portrait" scale="76" r:id="rId1"/>
</worksheet>
</file>

<file path=xl/worksheets/sheet30.xml><?xml version="1.0" encoding="utf-8"?>
<worksheet xmlns="http://schemas.openxmlformats.org/spreadsheetml/2006/main" xmlns:r="http://schemas.openxmlformats.org/officeDocument/2006/relationships">
  <sheetPr>
    <pageSetUpPr fitToPage="1"/>
  </sheetPr>
  <dimension ref="A1:M71"/>
  <sheetViews>
    <sheetView view="pageBreakPreview" zoomScale="93" zoomScaleSheetLayoutView="93" zoomScalePageLayoutView="0" workbookViewId="0" topLeftCell="A60">
      <selection activeCell="A79" sqref="A79"/>
    </sheetView>
  </sheetViews>
  <sheetFormatPr defaultColWidth="8.796875" defaultRowHeight="15"/>
  <cols>
    <col min="1" max="1" width="19.19921875" style="48" customWidth="1"/>
    <col min="2" max="2" width="15.69921875" style="48" customWidth="1"/>
    <col min="3" max="3" width="9.3984375" style="48" customWidth="1"/>
    <col min="4" max="4" width="16.796875" style="48" customWidth="1"/>
    <col min="5" max="5" width="9.796875" style="48" customWidth="1"/>
    <col min="6" max="6" width="15.796875" style="48" customWidth="1"/>
    <col min="7" max="7" width="13.69921875" style="48" customWidth="1"/>
    <col min="8" max="8" width="9.796875" style="48" customWidth="1"/>
    <col min="9" max="9" width="8.8984375" style="48" customWidth="1"/>
    <col min="10" max="10" width="12.3984375" style="48" customWidth="1"/>
    <col min="11" max="11" width="12.296875" style="48" customWidth="1"/>
    <col min="12" max="12" width="10.59765625" style="48" customWidth="1"/>
    <col min="13" max="13" width="12.09765625" style="48" customWidth="1"/>
    <col min="14" max="16384" width="8.8984375" style="48" customWidth="1"/>
  </cols>
  <sheetData>
    <row r="1" spans="1:8" ht="15.75">
      <c r="A1" s="51"/>
      <c r="B1" s="51"/>
      <c r="C1" s="51"/>
      <c r="D1" s="51"/>
      <c r="E1" s="51"/>
      <c r="F1" s="51"/>
      <c r="G1" s="51"/>
      <c r="H1" s="240">
        <f>inputPrYr!C4</f>
        <v>2014</v>
      </c>
    </row>
    <row r="2" spans="1:9" ht="15.75">
      <c r="A2" s="554" t="s">
        <v>151</v>
      </c>
      <c r="B2" s="554"/>
      <c r="C2" s="554"/>
      <c r="D2" s="554"/>
      <c r="E2" s="554"/>
      <c r="F2" s="554"/>
      <c r="G2" s="554"/>
      <c r="H2" s="554"/>
      <c r="I2" s="336"/>
    </row>
    <row r="3" spans="1:8" ht="15.75">
      <c r="A3" s="51"/>
      <c r="B3" s="51"/>
      <c r="C3" s="51"/>
      <c r="D3" s="51"/>
      <c r="E3" s="51"/>
      <c r="F3" s="51"/>
      <c r="G3" s="51"/>
      <c r="H3" s="51"/>
    </row>
    <row r="4" spans="1:8" ht="15.75">
      <c r="A4" s="610" t="s">
        <v>180</v>
      </c>
      <c r="B4" s="610"/>
      <c r="C4" s="610"/>
      <c r="D4" s="610"/>
      <c r="E4" s="610"/>
      <c r="F4" s="610"/>
      <c r="G4" s="610"/>
      <c r="H4" s="610"/>
    </row>
    <row r="5" spans="1:8" ht="15.75">
      <c r="A5" s="625" t="str">
        <f>inputPrYr!C2</f>
        <v>MITCHELL COUNTY</v>
      </c>
      <c r="B5" s="625"/>
      <c r="C5" s="625"/>
      <c r="D5" s="625"/>
      <c r="E5" s="625"/>
      <c r="F5" s="625"/>
      <c r="G5" s="625"/>
      <c r="H5" s="625"/>
    </row>
    <row r="6" spans="1:8" ht="15.75">
      <c r="A6" s="616" t="str">
        <f>CONCATENATE("will meet on ",inputBudSum!B5," at ",inputBudSum!B7," at ",inputBudSum!B9," for the purpose of hearing and")</f>
        <v>will meet on August 19, 2013 at 8:30 A.M. at Mitchell County Commissioner's Room for the purpose of hearing and</v>
      </c>
      <c r="B6" s="616"/>
      <c r="C6" s="616"/>
      <c r="D6" s="616"/>
      <c r="E6" s="616"/>
      <c r="F6" s="616"/>
      <c r="G6" s="616"/>
      <c r="H6" s="616"/>
    </row>
    <row r="7" spans="1:8" ht="15.75">
      <c r="A7" s="610" t="s">
        <v>268</v>
      </c>
      <c r="B7" s="610"/>
      <c r="C7" s="610"/>
      <c r="D7" s="610"/>
      <c r="E7" s="610"/>
      <c r="F7" s="610"/>
      <c r="G7" s="610"/>
      <c r="H7" s="610"/>
    </row>
    <row r="8" spans="1:8" ht="15.75">
      <c r="A8" s="616" t="str">
        <f>CONCATENATE("Detailed budget information is available at ",inputBudSum!B12," and will be available at this hearing.")</f>
        <v>Detailed budget information is available at Mitchell County Clerk's Office and will be available at this hearing.</v>
      </c>
      <c r="B8" s="616"/>
      <c r="C8" s="616"/>
      <c r="D8" s="616"/>
      <c r="E8" s="616"/>
      <c r="F8" s="616"/>
      <c r="G8" s="616"/>
      <c r="H8" s="616"/>
    </row>
    <row r="9" spans="1:8" ht="15.75">
      <c r="A9" s="58" t="s">
        <v>152</v>
      </c>
      <c r="B9" s="59"/>
      <c r="C9" s="59"/>
      <c r="D9" s="174"/>
      <c r="E9" s="59"/>
      <c r="F9" s="59"/>
      <c r="G9" s="59"/>
      <c r="H9" s="59"/>
    </row>
    <row r="10" spans="1:8" ht="15.75">
      <c r="A10" s="610" t="str">
        <f>CONCATENATE("Proposed Budget ",H1," Expenditures and Amount of ",H1-1," Ad Valorem Tax establish the maximum limits of the ",H1," budget.")</f>
        <v>Proposed Budget 2014 Expenditures and Amount of 2013 Ad Valorem Tax establish the maximum limits of the 2014 budget.</v>
      </c>
      <c r="B10" s="610"/>
      <c r="C10" s="610"/>
      <c r="D10" s="610"/>
      <c r="E10" s="610"/>
      <c r="F10" s="610"/>
      <c r="G10" s="610"/>
      <c r="H10" s="610"/>
    </row>
    <row r="11" spans="1:8" ht="15.75">
      <c r="A11" s="610" t="s">
        <v>204</v>
      </c>
      <c r="B11" s="610"/>
      <c r="C11" s="610"/>
      <c r="D11" s="610"/>
      <c r="E11" s="610"/>
      <c r="F11" s="610"/>
      <c r="G11" s="610"/>
      <c r="H11" s="610"/>
    </row>
    <row r="12" spans="1:9" ht="15.75">
      <c r="A12" s="51"/>
      <c r="B12" s="51"/>
      <c r="C12" s="51"/>
      <c r="D12" s="51"/>
      <c r="E12" s="51"/>
      <c r="F12" s="51"/>
      <c r="G12" s="51"/>
      <c r="H12" s="51"/>
      <c r="I12" s="109"/>
    </row>
    <row r="13" spans="1:8" ht="15.75">
      <c r="A13" s="51"/>
      <c r="B13" s="337" t="str">
        <f>CONCATENATE("Prior Year Actual for ",H1-2,"")</f>
        <v>Prior Year Actual for 2012</v>
      </c>
      <c r="C13" s="177"/>
      <c r="D13" s="338" t="str">
        <f>CONCATENATE("Current Year Estimate for ",H1-1,"")</f>
        <v>Current Year Estimate for 2013</v>
      </c>
      <c r="E13" s="177"/>
      <c r="F13" s="175" t="str">
        <f>CONCATENATE("Proposed Budget Year for ",H1,"")</f>
        <v>Proposed Budget Year for 2014</v>
      </c>
      <c r="G13" s="176"/>
      <c r="H13" s="177"/>
    </row>
    <row r="14" spans="1:8" ht="18.75" customHeight="1">
      <c r="A14" s="50"/>
      <c r="B14" s="276"/>
      <c r="C14" s="178" t="s">
        <v>111</v>
      </c>
      <c r="D14" s="178"/>
      <c r="E14" s="178" t="s">
        <v>111</v>
      </c>
      <c r="F14" s="413" t="s">
        <v>277</v>
      </c>
      <c r="G14" s="583" t="str">
        <f>CONCATENATE("Amount of ",H1-1,"       Ad Valorem Tax")</f>
        <v>Amount of 2013       Ad Valorem Tax</v>
      </c>
      <c r="H14" s="178" t="s">
        <v>112</v>
      </c>
    </row>
    <row r="15" spans="1:8" ht="15.75">
      <c r="A15" s="79" t="s">
        <v>113</v>
      </c>
      <c r="B15" s="217" t="s">
        <v>56</v>
      </c>
      <c r="C15" s="217" t="s">
        <v>114</v>
      </c>
      <c r="D15" s="217" t="s">
        <v>56</v>
      </c>
      <c r="E15" s="217" t="s">
        <v>114</v>
      </c>
      <c r="F15" s="414" t="s">
        <v>278</v>
      </c>
      <c r="G15" s="561"/>
      <c r="H15" s="217" t="s">
        <v>114</v>
      </c>
    </row>
    <row r="16" spans="1:8" ht="15.75">
      <c r="A16" s="93" t="str">
        <f>inputPrYr!B16</f>
        <v>General</v>
      </c>
      <c r="B16" s="93">
        <f>IF(general!$C$96&lt;&gt;0,general!$C$96,"  ")</f>
        <v>3295938</v>
      </c>
      <c r="C16" s="339">
        <f>IF(inputPrYr!D82&lt;&gt;0,inputPrYr!D82,"  ")</f>
        <v>27.917</v>
      </c>
      <c r="D16" s="93">
        <f>IF(general!$D$96&lt;&gt;0,general!$D$96,"  ")</f>
        <v>3401187</v>
      </c>
      <c r="E16" s="339">
        <f>IF(inputPrYr!F16&lt;&gt;0,inputPrYr!F16,"  ")</f>
        <v>37.585</v>
      </c>
      <c r="F16" s="93">
        <f>IF(general!$E$96&lt;&gt;0,general!$E$96,"  ")</f>
        <v>3866766</v>
      </c>
      <c r="G16" s="93">
        <f>IF(general!$E$103&lt;&gt;0,general!$E$103,"  ")</f>
        <v>2832595.79</v>
      </c>
      <c r="H16" s="339">
        <f>IF(general!E103&lt;&gt;0,ROUND(G16/$F$57*1000,3),"  ")</f>
        <v>41.769</v>
      </c>
    </row>
    <row r="17" spans="1:8" ht="15.75">
      <c r="A17" s="93" t="str">
        <f>inputPrYr!B17</f>
        <v>Debt Service</v>
      </c>
      <c r="B17" s="93" t="str">
        <f>IF(DebtService!$C$50&lt;&gt;0,DebtService!$C$50,"  ")</f>
        <v>  </v>
      </c>
      <c r="C17" s="339" t="str">
        <f>IF(inputPrYr!D83&lt;&gt;0,inputPrYr!D83,"  ")</f>
        <v>  </v>
      </c>
      <c r="D17" s="93" t="str">
        <f>IF(DebtService!$D$50&lt;&gt;0,DebtService!$D$50,"  ")</f>
        <v>  </v>
      </c>
      <c r="E17" s="339" t="str">
        <f>IF(inputPrYr!F17&lt;&gt;0,inputPrYr!F17,"  ")</f>
        <v>  </v>
      </c>
      <c r="F17" s="93" t="str">
        <f>IF(DebtService!$E$50&lt;&gt;0,DebtService!$E$50,"  ")</f>
        <v>  </v>
      </c>
      <c r="G17" s="93" t="str">
        <f>IF(DebtService!$E$57&lt;&gt;0,DebtService!$E$57,"  ")</f>
        <v>  </v>
      </c>
      <c r="H17" s="339" t="str">
        <f>IF(DebtService!E57&lt;&gt;0,ROUND(G17/$F$57*1000,3),"  ")</f>
        <v>  </v>
      </c>
    </row>
    <row r="18" spans="1:8" ht="15.75">
      <c r="A18" s="93" t="str">
        <f>inputPrYr!B18</f>
        <v>Road &amp; Bridge</v>
      </c>
      <c r="B18" s="93">
        <f>IF(road!$C$41&lt;&gt;0,road!$C$41,"  ")</f>
        <v>2276839</v>
      </c>
      <c r="C18" s="339">
        <f>IF(inputPrYr!D84&lt;&gt;0,inputPrYr!D84,"  ")</f>
        <v>25.882</v>
      </c>
      <c r="D18" s="93">
        <f>IF(road!$D$41&lt;&gt;0,road!$D$41,"  ")</f>
        <v>2247616</v>
      </c>
      <c r="E18" s="339">
        <f>IF(inputPrYr!F18&lt;&gt;0,inputPrYr!F18,"  ")</f>
        <v>23.336</v>
      </c>
      <c r="F18" s="93">
        <f>IF(road!$E$41&lt;&gt;0,road!$E$41,"  ")</f>
        <v>2422475</v>
      </c>
      <c r="G18" s="93">
        <f>IF(road!$E$48&lt;&gt;0,road!$E$48,"  ")</f>
        <v>1766680.72</v>
      </c>
      <c r="H18" s="339">
        <f>IF(road!E48&lt;&gt;0,ROUND(G18/$F$57*1000,3),"  ")</f>
        <v>26.051</v>
      </c>
    </row>
    <row r="19" spans="1:8" ht="15.75">
      <c r="A19" s="93" t="str">
        <f>IF((inputPrYr!$B19&gt;" "),(inputPrYr!$B19),"  ")</f>
        <v>Special bridge</v>
      </c>
      <c r="B19" s="93">
        <f>IF('SpecBrdg-Fair'!$C$29&lt;&gt;0,'SpecBrdg-Fair'!$C$29,"  ")</f>
        <v>167482</v>
      </c>
      <c r="C19" s="339">
        <f>IF(inputPrYr!D85&lt;&gt;0,inputPrYr!D85,"  ")</f>
        <v>1.655</v>
      </c>
      <c r="D19" s="93">
        <f>IF('SpecBrdg-Fair'!$D$29&lt;&gt;0,'SpecBrdg-Fair'!$D$29,"  ")</f>
        <v>130000</v>
      </c>
      <c r="E19" s="339">
        <f>IF(inputPrYr!F19&lt;&gt;0,inputPrYr!F19,"  ")</f>
        <v>1.036</v>
      </c>
      <c r="F19" s="93">
        <f>IF('SpecBrdg-Fair'!$E$29&lt;&gt;0,'SpecBrdg-Fair'!$E$29,"  ")</f>
        <v>150000</v>
      </c>
      <c r="G19" s="93">
        <f>IF('SpecBrdg-Fair'!$E$36&lt;&gt;0,'SpecBrdg-Fair'!$E$36,"  ")</f>
        <v>67668</v>
      </c>
      <c r="H19" s="339">
        <f>IF('SpecBrdg-Fair'!E36&lt;&gt;0,ROUND(G19/$F$57*1000,3),"  ")</f>
        <v>0.998</v>
      </c>
    </row>
    <row r="20" spans="1:8" ht="15.75">
      <c r="A20" s="93" t="str">
        <f>IF((inputPrYr!$B20&gt;" "),(inputPrYr!$B20),"  ")</f>
        <v>Fair Building</v>
      </c>
      <c r="B20" s="93">
        <f>IF('SpecBrdg-Fair'!$C$62&lt;&gt;0,'SpecBrdg-Fair'!$C$62,"  ")</f>
        <v>22000</v>
      </c>
      <c r="C20" s="339">
        <f>IF(inputPrYr!D86&lt;&gt;0,inputPrYr!D86,"  ")</f>
        <v>0.358</v>
      </c>
      <c r="D20" s="93">
        <f>IF('SpecBrdg-Fair'!$D$62&lt;&gt;0,'SpecBrdg-Fair'!$D$62,"  ")</f>
        <v>24000</v>
      </c>
      <c r="E20" s="339">
        <f>IF(inputPrYr!F20&lt;&gt;0,inputPrYr!F20,"  ")</f>
        <v>0.335</v>
      </c>
      <c r="F20" s="93">
        <f>IF('SpecBrdg-Fair'!$E$62&lt;&gt;0,'SpecBrdg-Fair'!$E$62,"  ")</f>
        <v>24000</v>
      </c>
      <c r="G20" s="93">
        <f>IF('SpecBrdg-Fair'!$E$69&lt;&gt;0,'SpecBrdg-Fair'!$E$69,"  ")</f>
        <v>22790</v>
      </c>
      <c r="H20" s="339">
        <f>IF('SpecBrdg-Fair'!E69&lt;&gt;0,ROUND(G20/$F$57*1000,3),"  ")</f>
        <v>0.336</v>
      </c>
    </row>
    <row r="21" spans="1:8" ht="15.75">
      <c r="A21" s="93" t="str">
        <f>IF((inputPrYr!$B21&gt;" "),(inputPrYr!$B21),"  ")</f>
        <v>Conservation</v>
      </c>
      <c r="B21" s="93">
        <f>IF('Conserv-NW'!$C$27&lt;&gt;0,'Conserv-NW'!$C$27,"  ")</f>
        <v>21000</v>
      </c>
      <c r="C21" s="339">
        <f>IF(inputPrYr!D87&lt;&gt;0,inputPrYr!D87,"  ")</f>
        <v>0.345</v>
      </c>
      <c r="D21" s="93">
        <f>IF('Conserv-NW'!$D$27&lt;&gt;0,'Conserv-NW'!$D$27,"  ")</f>
        <v>21000</v>
      </c>
      <c r="E21" s="339">
        <f>IF(inputPrYr!F21&lt;&gt;0,inputPrYr!F21,"  ")</f>
        <v>0.294</v>
      </c>
      <c r="F21" s="93">
        <f>IF('Conserv-NW'!$E$27&lt;&gt;0,'Conserv-NW'!$E$27,"  ")</f>
        <v>21000</v>
      </c>
      <c r="G21" s="93">
        <f>IF('Conserv-NW'!$E$34&lt;&gt;0,'Conserv-NW'!$E$34,"  ")</f>
        <v>19835</v>
      </c>
      <c r="H21" s="339">
        <f>IF('Conserv-NW'!$E$34&lt;&gt;0,ROUND(G21/$F$57*1000,3),"  ")</f>
        <v>0.292</v>
      </c>
    </row>
    <row r="22" spans="1:8" ht="15.75">
      <c r="A22" s="93" t="str">
        <f>IF((inputPrYr!$B22&gt;" "),(inputPrYr!$B22),"  ")</f>
        <v>Noxious Weed</v>
      </c>
      <c r="B22" s="93">
        <f>IF('Conserv-NW'!$C$65&lt;&gt;0,'Conserv-NW'!$C$65,"  ")</f>
        <v>317027</v>
      </c>
      <c r="C22" s="339">
        <f>IF(inputPrYr!D88&lt;&gt;0,inputPrYr!D88,"  ")</f>
        <v>2.476</v>
      </c>
      <c r="D22" s="93">
        <f>IF('Conserv-NW'!$D$65&lt;&gt;0,'Conserv-NW'!$D$65,"  ")</f>
        <v>321088</v>
      </c>
      <c r="E22" s="339">
        <f>IF(inputPrYr!F22&lt;&gt;0,inputPrYr!F22,"  ")</f>
        <v>1.282</v>
      </c>
      <c r="F22" s="93">
        <f>IF('Conserv-NW'!$E$65&lt;&gt;0,'Conserv-NW'!$E$65,"  ")</f>
        <v>335168</v>
      </c>
      <c r="G22" s="93">
        <f>IF('Conserv-NW'!$E$72&lt;&gt;0,'Conserv-NW'!$E$72,"  ")</f>
        <v>106682</v>
      </c>
      <c r="H22" s="339">
        <f>IF('Conserv-NW'!$E$72&lt;&gt;0,ROUND(G22/$F$57*1000,3),"  ")</f>
        <v>1.573</v>
      </c>
    </row>
    <row r="23" spans="1:8" ht="15.75">
      <c r="A23" s="93" t="str">
        <f>IF((inputPrYr!$B23&gt;" "),(inputPrYr!$B23),"  ")</f>
        <v>Ambulance</v>
      </c>
      <c r="B23" s="93">
        <f>IF('Ambul-SerEldery'!$C$38&lt;&gt;0,'Ambul-SerEldery'!$C$38,"  ")</f>
        <v>1062280</v>
      </c>
      <c r="C23" s="339">
        <f>IF(inputPrYr!D89&lt;&gt;0,inputPrYr!D89,"  ")</f>
        <v>10.371</v>
      </c>
      <c r="D23" s="93">
        <f>IF('Ambul-SerEldery'!$D$38&lt;&gt;0,'Ambul-SerEldery'!$D$38,"  ")</f>
        <v>1075194</v>
      </c>
      <c r="E23" s="339">
        <f>IF(inputPrYr!F23&lt;&gt;0,inputPrYr!F23,"  ")</f>
        <v>10.172</v>
      </c>
      <c r="F23" s="93">
        <f>IF('Ambul-SerEldery'!$E$38&lt;&gt;0,'Ambul-SerEldery'!$E$38,"  ")</f>
        <v>1137538</v>
      </c>
      <c r="G23" s="93">
        <f>IF('Ambul-SerEldery'!$E$45&lt;&gt;0,'Ambul-SerEldery'!$E$45,"  ")</f>
        <v>680730</v>
      </c>
      <c r="H23" s="339">
        <f>IF('Ambul-SerEldery'!$E$45&lt;&gt;0,ROUND(G23/$F$57*1000,3),"  ")</f>
        <v>10.038</v>
      </c>
    </row>
    <row r="24" spans="1:8" ht="15.75">
      <c r="A24" s="93" t="str">
        <f>IF((inputPrYr!$B24&gt;" "),(inputPrYr!$B24),"  ")</f>
        <v>Services for the Elderly</v>
      </c>
      <c r="B24" s="93">
        <f>IF('Ambul-SerEldery'!$C$75&lt;&gt;0,'Ambul-SerEldery'!$C$75,"  ")</f>
        <v>74216</v>
      </c>
      <c r="C24" s="339">
        <f>IF(inputPrYr!D90&lt;&gt;0,inputPrYr!D90,"  ")</f>
        <v>1.195</v>
      </c>
      <c r="D24" s="93">
        <f>IF('Ambul-SerEldery'!$D$75&lt;&gt;0,'Ambul-SerEldery'!$D$75,"  ")</f>
        <v>103191</v>
      </c>
      <c r="E24" s="339">
        <f>IF(inputPrYr!F24&lt;&gt;0,inputPrYr!F24,"  ")</f>
        <v>1.47</v>
      </c>
      <c r="F24" s="93">
        <f>IF('Ambul-SerEldery'!$E$75&lt;&gt;0,'Ambul-SerEldery'!$E$75,"  ")</f>
        <v>105116</v>
      </c>
      <c r="G24" s="93">
        <f>IF('Ambul-SerEldery'!$E$82&lt;&gt;0,'Ambul-SerEldery'!$E$82,"  ")</f>
        <v>101727</v>
      </c>
      <c r="H24" s="339">
        <f>IF('Ambul-SerEldery'!$E$82&lt;&gt;0,ROUND(G24/$F$57*1000,3),"  ")</f>
        <v>1.5</v>
      </c>
    </row>
    <row r="25" spans="1:8" ht="15.75">
      <c r="A25" s="93" t="str">
        <f>IF((inputPrYr!$B25&gt;" "),(inputPrYr!$B25),"  ")</f>
        <v>Hospital Maintenance</v>
      </c>
      <c r="B25" s="93">
        <f>IF('HospMaint-CoHealth'!$C$27&lt;&gt;0,'HospMaint-CoHealth'!$C$27,"  ")</f>
        <v>124031</v>
      </c>
      <c r="C25" s="339">
        <f>IF(inputPrYr!D91&lt;&gt;0,inputPrYr!D91,"  ")</f>
        <v>2.001</v>
      </c>
      <c r="D25" s="93">
        <f>IF('HospMaint-CoHealth'!$D$27&lt;&gt;0,'HospMaint-CoHealth'!$D$27,"  ")</f>
        <v>139537</v>
      </c>
      <c r="E25" s="339">
        <f>IF(inputPrYr!F25&lt;&gt;0,inputPrYr!F25,"  ")</f>
        <v>1.96</v>
      </c>
      <c r="F25" s="93">
        <f>IF('HospMaint-CoHealth'!$E$27&lt;&gt;0,'HospMaint-CoHealth'!$E$27,"  ")</f>
        <v>142569</v>
      </c>
      <c r="G25" s="93">
        <f>IF('HospMaint-CoHealth'!$E$34&lt;&gt;0,'HospMaint-CoHealth'!$E$34,"  ")</f>
        <v>135631</v>
      </c>
      <c r="H25" s="339">
        <f>IF('HospMaint-CoHealth'!$E$34&lt;&gt;0,ROUND(G25/$F$57*1000,3),"  ")</f>
        <v>2</v>
      </c>
    </row>
    <row r="26" spans="1:8" ht="15.75">
      <c r="A26" s="93" t="str">
        <f>IF((inputPrYr!$B26&gt;" "),(inputPrYr!$B26),"  ")</f>
        <v>County Health</v>
      </c>
      <c r="B26" s="93">
        <f>IF('HospMaint-CoHealth'!$C$65&lt;&gt;0,'HospMaint-CoHealth'!$C$65,"  ")</f>
        <v>859689</v>
      </c>
      <c r="C26" s="339">
        <f>IF(inputPrYr!D92&lt;&gt;0,inputPrYr!D92,"  ")</f>
        <v>6.211</v>
      </c>
      <c r="D26" s="93">
        <f>IF('HospMaint-CoHealth'!$D$65&lt;&gt;0,'HospMaint-CoHealth'!$D$65,"  ")</f>
        <v>854340</v>
      </c>
      <c r="E26" s="339">
        <f>IF(inputPrYr!F26&lt;&gt;0,inputPrYr!F26,"  ")</f>
        <v>5.634</v>
      </c>
      <c r="F26" s="93">
        <f>IF('HospMaint-CoHealth'!$E$65&lt;&gt;0,'HospMaint-CoHealth'!$E$65,"  ")</f>
        <v>885035</v>
      </c>
      <c r="G26" s="93">
        <f>IF('HospMaint-CoHealth'!$E$72&lt;&gt;0,'HospMaint-CoHealth'!$E$72,"  ")</f>
        <v>364061</v>
      </c>
      <c r="H26" s="339">
        <f>IF('HospMaint-CoHealth'!$E$72&lt;&gt;0,ROUND(G26/$F$57*1000,3),"  ")</f>
        <v>5.368</v>
      </c>
    </row>
    <row r="27" spans="1:8" ht="15.75">
      <c r="A27" s="93" t="str">
        <f>IF((inputPrYr!$B27&gt;" "),(inputPrYr!$B27),"  ")</f>
        <v>Mental Health</v>
      </c>
      <c r="B27" s="93">
        <f>IF('MentHlth-MentRetard'!$C$27&lt;&gt;0,'MentHlth-MentRetard'!$C$27,"  ")</f>
        <v>49782</v>
      </c>
      <c r="C27" s="339">
        <f>IF(inputPrYr!D93&lt;&gt;0,inputPrYr!D93,"  ")</f>
        <v>0.755</v>
      </c>
      <c r="D27" s="93">
        <f>IF('MentHlth-MentRetard'!$D$27&lt;&gt;0,'MentHlth-MentRetard'!$D$27,"  ")</f>
        <v>46335</v>
      </c>
      <c r="E27" s="339">
        <f>IF(inputPrYr!F27&lt;&gt;0,inputPrYr!F27,"  ")</f>
        <v>0.665</v>
      </c>
      <c r="F27" s="93">
        <f>IF('MentHlth-MentRetard'!$E$27&lt;&gt;0,'MentHlth-MentRetard'!$E$27,"  ")</f>
        <v>46335</v>
      </c>
      <c r="G27" s="93">
        <f>IF('MentHlth-MentRetard'!$E$34&lt;&gt;0,'MentHlth-MentRetard'!$E$34,"  ")</f>
        <v>44404</v>
      </c>
      <c r="H27" s="339">
        <f>IF('MentHlth-MentRetard'!$E$34&lt;&gt;0,ROUND(G27/$F$57*1000,3),"  ")</f>
        <v>0.655</v>
      </c>
    </row>
    <row r="28" spans="1:8" ht="15.75">
      <c r="A28" s="93" t="str">
        <f>IF((inputPrYr!$B28&gt;" "),(inputPrYr!$B28),"  ")</f>
        <v>Mental Retardation</v>
      </c>
      <c r="B28" s="93">
        <f>IF('MentHlth-MentRetard'!$C$60&lt;&gt;0,'MentHlth-MentRetard'!$C$60,"  ")</f>
        <v>54386</v>
      </c>
      <c r="C28" s="339">
        <f>IF(inputPrYr!D94&lt;&gt;0,inputPrYr!D94,"  ")</f>
        <v>0.826</v>
      </c>
      <c r="D28" s="93">
        <f>IF('MentHlth-MentRetard'!$D$60&lt;&gt;0,'MentHlth-MentRetard'!$D$60,"  ")</f>
        <v>50935</v>
      </c>
      <c r="E28" s="339">
        <f>IF(inputPrYr!F28&lt;&gt;0,inputPrYr!F28,"  ")</f>
        <v>0.735</v>
      </c>
      <c r="F28" s="93">
        <f>IF('MentHlth-MentRetard'!$E$60&lt;&gt;0,'MentHlth-MentRetard'!$E$60,"  ")</f>
        <v>48535</v>
      </c>
      <c r="G28" s="93">
        <f>IF('MentHlth-MentRetard'!$E$67&lt;&gt;0,'MentHlth-MentRetard'!$E$67,"  ")</f>
        <v>46427</v>
      </c>
      <c r="H28" s="339">
        <f>IF('MentHlth-MentRetard'!$E$67&lt;&gt;0,ROUND(G28/$F$57*1000,3),"  ")</f>
        <v>0.685</v>
      </c>
    </row>
    <row r="29" spans="1:8" ht="15.75">
      <c r="A29" s="93" t="str">
        <f>IF((inputPrYr!$B29&gt;" "),(inputPrYr!$B29),"  ")</f>
        <v>Election Expense</v>
      </c>
      <c r="B29" s="93">
        <f>IF('Elect-HistMus'!$C$32&lt;&gt;0,'Elect-HistMus'!$C$32,"  ")</f>
        <v>37418</v>
      </c>
      <c r="C29" s="339">
        <f>IF(inputPrYr!D95&lt;&gt;0,inputPrYr!D95,"  ")</f>
        <v>0.419</v>
      </c>
      <c r="D29" s="93">
        <f>IF('Elect-HistMus'!$D$32&lt;&gt;0,'Elect-HistMus'!$D$32,"  ")</f>
        <v>30000</v>
      </c>
      <c r="E29" s="339">
        <f>IF(inputPrYr!F29&lt;&gt;0,inputPrYr!F29,"  ")</f>
        <v>0.092</v>
      </c>
      <c r="F29" s="93">
        <f>IF('Elect-HistMus'!$E$32&lt;&gt;0,'Elect-HistMus'!$E$32,"  ")</f>
        <v>40500</v>
      </c>
      <c r="G29" s="93">
        <f>IF('Elect-HistMus'!$E$39&lt;&gt;0,'Elect-HistMus'!$E$39,"  ")</f>
        <v>27494</v>
      </c>
      <c r="H29" s="339">
        <f>IF('Elect-HistMus'!$E$39&lt;&gt;0,ROUND(G29/$F$57*1000,3),"  ")</f>
        <v>0.405</v>
      </c>
    </row>
    <row r="30" spans="1:8" ht="15.75">
      <c r="A30" s="93" t="str">
        <f>IF((inputPrYr!$B30&gt;" "),(inputPrYr!$B30),"  ")</f>
        <v>Historical Museum</v>
      </c>
      <c r="B30" s="93">
        <f>IF('Elect-HistMus'!$C$66&lt;&gt;0,'Elect-HistMus'!$C$66,"  ")</f>
        <v>49000</v>
      </c>
      <c r="C30" s="339">
        <f>IF(inputPrYr!D96&lt;&gt;0,inputPrYr!D96,"  ")</f>
        <v>0.809</v>
      </c>
      <c r="D30" s="93">
        <f>IF('Elect-HistMus'!$D$66&lt;&gt;0,'Elect-HistMus'!$D$66,"  ")</f>
        <v>49000</v>
      </c>
      <c r="E30" s="339">
        <f>IF(inputPrYr!F30&lt;&gt;0,inputPrYr!F30,"  ")</f>
        <v>0.692</v>
      </c>
      <c r="F30" s="93">
        <f>IF('Elect-HistMus'!$E$66&lt;&gt;0,'Elect-HistMus'!$E$66,"  ")</f>
        <v>55100</v>
      </c>
      <c r="G30" s="93">
        <f>IF('Elect-HistMus'!$E$73&lt;&gt;0,'Elect-HistMus'!$E$73,"  ")</f>
        <v>52997</v>
      </c>
      <c r="H30" s="339">
        <f>IF('Elect-HistMus'!$E$73&lt;&gt;0,ROUND(G30/$F$57*1000,3),"  ")</f>
        <v>0.781</v>
      </c>
    </row>
    <row r="31" spans="1:8" ht="15.75">
      <c r="A31" s="93" t="str">
        <f>IF((inputPrYr!$B31&gt;" "),(inputPrYr!$B31),"  ")</f>
        <v>Employee Benefits</v>
      </c>
      <c r="B31" s="93">
        <f>IF('EmployBen-SpecReap'!$C$29&lt;&gt;0,'EmployBen-SpecReap'!$C$29,"  ")</f>
        <v>103327</v>
      </c>
      <c r="C31" s="339" t="str">
        <f>IF(inputPrYr!D97&lt;&gt;0,inputPrYr!D97,"  ")</f>
        <v>  </v>
      </c>
      <c r="D31" s="93">
        <f>IF('EmployBen-SpecReap'!$D$29&lt;&gt;0,'EmployBen-SpecReap'!$D$29,"  ")</f>
        <v>77524</v>
      </c>
      <c r="E31" s="339" t="str">
        <f>IF(inputPrYr!F31&lt;&gt;0,inputPrYr!F31,"  ")</f>
        <v>  </v>
      </c>
      <c r="F31" s="93">
        <f>IF('EmployBen-SpecReap'!$E$29&lt;&gt;0,'EmployBen-SpecReap'!$E$29,"  ")</f>
        <v>77524</v>
      </c>
      <c r="G31" s="93" t="str">
        <f>IF('EmployBen-SpecReap'!$E$36&lt;&gt;0,'EmployBen-SpecReap'!$E$36,"  ")</f>
        <v>  </v>
      </c>
      <c r="H31" s="339" t="str">
        <f>IF('EmployBen-SpecReap'!$E$36&lt;&gt;0,ROUND(G31/$F$57*1000,3),"  ")</f>
        <v>  </v>
      </c>
    </row>
    <row r="32" spans="1:8" ht="15.75">
      <c r="A32" s="93" t="str">
        <f>IF((inputPrYr!$B32&gt;" "),(inputPrYr!$B32),"  ")</f>
        <v>Special Reappraisal</v>
      </c>
      <c r="B32" s="93">
        <f>IF('EmployBen-SpecReap'!$C$67&lt;&gt;0,'EmployBen-SpecReap'!$C$67,"  ")</f>
        <v>315552</v>
      </c>
      <c r="C32" s="339">
        <f>IF(inputPrYr!D98&lt;&gt;0,inputPrYr!D98,"  ")</f>
        <v>4.934</v>
      </c>
      <c r="D32" s="93">
        <f>IF('EmployBen-SpecReap'!$D$67&lt;&gt;0,'EmployBen-SpecReap'!$D$67,"  ")</f>
        <v>335000</v>
      </c>
      <c r="E32" s="339">
        <f>IF(inputPrYr!F32&lt;&gt;0,inputPrYr!F32,"  ")</f>
        <v>4.328</v>
      </c>
      <c r="F32" s="93">
        <f>IF('EmployBen-SpecReap'!$E$67&lt;&gt;0,'EmployBen-SpecReap'!$E$67,"  ")</f>
        <v>321000</v>
      </c>
      <c r="G32" s="93">
        <f>IF('EmployBen-SpecReap'!$E$74&lt;&gt;0,'EmployBen-SpecReap'!$E$74,"  ")</f>
        <v>275777</v>
      </c>
      <c r="H32" s="339">
        <f>IF('EmployBen-SpecReap'!$E$74&lt;&gt;0,ROUND(G32/$F$57*1000,3),"  ")</f>
        <v>4.067</v>
      </c>
    </row>
    <row r="33" spans="1:8" ht="15.75">
      <c r="A33" s="93"/>
      <c r="B33" s="93"/>
      <c r="C33" s="339"/>
      <c r="D33" s="93"/>
      <c r="E33" s="339"/>
      <c r="F33" s="93"/>
      <c r="G33" s="93"/>
      <c r="H33" s="339"/>
    </row>
    <row r="34" spans="1:8" ht="15.75">
      <c r="A34" s="93"/>
      <c r="B34" s="93"/>
      <c r="C34" s="339"/>
      <c r="D34" s="93"/>
      <c r="E34" s="339"/>
      <c r="F34" s="93"/>
      <c r="G34" s="93"/>
      <c r="H34" s="339"/>
    </row>
    <row r="35" spans="1:8" ht="15.75">
      <c r="A35" s="93" t="str">
        <f>IF((inputPrYr!$B37&gt;" "),(inputPrYr!$B37),"  ")</f>
        <v>Noxious Weed C.O.</v>
      </c>
      <c r="B35" s="93">
        <f>IF('NWC.O.-AmbulSpecEq.'!$C$29&lt;&gt;0,'NWC.O.-AmbulSpecEq.'!$C$29,"  ")</f>
        <v>4549</v>
      </c>
      <c r="C35" s="74"/>
      <c r="D35" s="93">
        <f>IF('NWC.O.-AmbulSpecEq.'!$D$29&lt;&gt;0,'NWC.O.-AmbulSpecEq.'!$D$29,"  ")</f>
        <v>10000</v>
      </c>
      <c r="E35" s="74"/>
      <c r="F35" s="93">
        <f>IF('NWC.O.-AmbulSpecEq.'!$E$29&lt;&gt;0,'NWC.O.-AmbulSpecEq.'!$E$29,"  ")</f>
        <v>87541</v>
      </c>
      <c r="G35" s="93"/>
      <c r="H35" s="70"/>
    </row>
    <row r="36" spans="1:8" ht="15.75">
      <c r="A36" s="93" t="str">
        <f>IF((inputPrYr!$B38&gt;" "),(inputPrYr!$B38),"  ")</f>
        <v>Ambulance Spec. Equip.</v>
      </c>
      <c r="B36" s="93">
        <f>IF('NWC.O.-AmbulSpecEq.'!$C$60&lt;&gt;0,'NWC.O.-AmbulSpecEq.'!$C$60,"  ")</f>
        <v>33008</v>
      </c>
      <c r="C36" s="74"/>
      <c r="D36" s="93">
        <f>IF('NWC.O.-AmbulSpecEq.'!$D$60&lt;&gt;0,'NWC.O.-AmbulSpecEq.'!$D$60,"  ")</f>
        <v>50000</v>
      </c>
      <c r="E36" s="74"/>
      <c r="F36" s="93">
        <f>IF('NWC.O.-AmbulSpecEq.'!$E$60&lt;&gt;0,'NWC.O.-AmbulSpecEq.'!$E$60,"  ")</f>
        <v>174978</v>
      </c>
      <c r="G36" s="93"/>
      <c r="H36" s="70"/>
    </row>
    <row r="37" spans="1:8" ht="15.75">
      <c r="A37" s="93" t="str">
        <f>IF((inputPrYr!$B39&gt;" "),(inputPrYr!$B39),"  ")</f>
        <v>County Health C.O.</v>
      </c>
      <c r="B37" s="93">
        <f>IF('CoHC.O.-SpecReappEq.'!$C$29&lt;&gt;0,'CoHC.O.-SpecReappEq.'!$C$29,"  ")</f>
        <v>1746</v>
      </c>
      <c r="C37" s="74"/>
      <c r="D37" s="93">
        <f>IF('CoHC.O.-SpecReappEq.'!$D$29&lt;&gt;0,'CoHC.O.-SpecReappEq.'!$D$29,"  ")</f>
        <v>20000</v>
      </c>
      <c r="E37" s="74"/>
      <c r="F37" s="93">
        <f>IF('CoHC.O.-SpecReappEq.'!$E$29&lt;&gt;0,'CoHC.O.-SpecReappEq.'!$E$29,"  ")</f>
        <v>56231</v>
      </c>
      <c r="G37" s="93"/>
      <c r="H37" s="70"/>
    </row>
    <row r="38" spans="1:8" ht="15.75">
      <c r="A38" s="93" t="str">
        <f>IF((inputPrYr!$B40&gt;" "),(inputPrYr!$B40),"  ")</f>
        <v>Spec. Reappraisal Equip.</v>
      </c>
      <c r="B38" s="93">
        <f>IF('CoHC.O.-SpecReappEq.'!$C$60&lt;&gt;0,'CoHC.O.-SpecReappEq.'!$C$60,"  ")</f>
        <v>17923</v>
      </c>
      <c r="C38" s="74"/>
      <c r="D38" s="93">
        <f>IF('CoHC.O.-SpecReappEq.'!$D$60&lt;&gt;0,'CoHC.O.-SpecReappEq.'!$D$60,"  ")</f>
        <v>20000</v>
      </c>
      <c r="E38" s="74"/>
      <c r="F38" s="93">
        <f>IF('CoHC.O.-SpecReappEq.'!$E$60&lt;&gt;0,'CoHC.O.-SpecReappEq.'!$E$60,"  ")</f>
        <v>29168</v>
      </c>
      <c r="G38" s="93"/>
      <c r="H38" s="70"/>
    </row>
    <row r="39" spans="1:8" ht="15.75">
      <c r="A39" s="93" t="str">
        <f>IF((inputPrYr!$B41&gt;" "),(inputPrYr!$B41),"  ")</f>
        <v>Alcohol Treatment</v>
      </c>
      <c r="B39" s="93">
        <f>IF('Alchol-911'!$C$29&lt;&gt;0,'Alchol-911'!$C$29,"  ")</f>
        <v>16269</v>
      </c>
      <c r="C39" s="74"/>
      <c r="D39" s="93">
        <f>IF('Alchol-911'!$D$29&lt;&gt;0,'Alchol-911'!$D$29,"  ")</f>
        <v>16140</v>
      </c>
      <c r="E39" s="74"/>
      <c r="F39" s="93">
        <f>IF('Alchol-911'!$E$29&lt;&gt;0,'Alchol-911'!$E$29,"  ")</f>
        <v>15828</v>
      </c>
      <c r="G39" s="93"/>
      <c r="H39" s="70"/>
    </row>
    <row r="40" spans="1:8" ht="15.75">
      <c r="A40" s="93" t="str">
        <f>IF((inputPrYr!$B42&gt;" "),(inputPrYr!$B42),"  ")</f>
        <v>911 Fund</v>
      </c>
      <c r="B40" s="93">
        <f>IF('Alchol-911'!$C$60&lt;&gt;0,'Alchol-911'!$C$60,"  ")</f>
        <v>30609</v>
      </c>
      <c r="C40" s="74"/>
      <c r="D40" s="93">
        <f>IF('Alchol-911'!$D$60&lt;&gt;0,'Alchol-911'!$D$60,"  ")</f>
        <v>20</v>
      </c>
      <c r="E40" s="74"/>
      <c r="F40" s="93" t="str">
        <f>IF('Alchol-911'!$E$60&lt;&gt;0,'Alchol-911'!$E$60,"  ")</f>
        <v>  </v>
      </c>
      <c r="G40" s="93"/>
      <c r="H40" s="70"/>
    </row>
    <row r="41" spans="1:8" ht="15.75">
      <c r="A41" s="93" t="str">
        <f>IF((inputPrYr!$B43&gt;" "),(inputPrYr!$B43),"  ")</f>
        <v>Emergency 911</v>
      </c>
      <c r="B41" s="93">
        <f>IF('Emerg911-Mitch911'!$C$29&lt;&gt;0,'Emerg911-Mitch911'!$C$29,"  ")</f>
        <v>809</v>
      </c>
      <c r="C41" s="74"/>
      <c r="D41" s="93">
        <f>IF('Emerg911-Mitch911'!$D$29&lt;&gt;0,'Emerg911-Mitch911'!$D$29,"  ")</f>
        <v>20000</v>
      </c>
      <c r="E41" s="74"/>
      <c r="F41" s="93">
        <f>IF('Emerg911-Mitch911'!$E$29&lt;&gt;0,'Emerg911-Mitch911'!$E$29,"  ")</f>
        <v>57058</v>
      </c>
      <c r="G41" s="93"/>
      <c r="H41" s="70"/>
    </row>
    <row r="42" spans="1:8" ht="15.75">
      <c r="A42" s="93" t="str">
        <f>IF((inputPrYr!$B44&gt;" "),(inputPrYr!$B44),"  ")</f>
        <v>Mitchell- 911</v>
      </c>
      <c r="B42" s="93">
        <f>IF('Emerg911-Mitch911'!$C$60&lt;&gt;0,'Emerg911-Mitch911'!$C$60,"  ")</f>
        <v>13271</v>
      </c>
      <c r="C42" s="74"/>
      <c r="D42" s="93">
        <f>IF('Emerg911-Mitch911'!$D$60&lt;&gt;0,'Emerg911-Mitch911'!$D$60,"  ")</f>
        <v>50000</v>
      </c>
      <c r="E42" s="74"/>
      <c r="F42" s="93">
        <f>IF('Emerg911-Mitch911'!$E$60&lt;&gt;0,'Emerg911-Mitch911'!$E$60,"  ")</f>
        <v>78270</v>
      </c>
      <c r="G42" s="93"/>
      <c r="H42" s="70"/>
    </row>
    <row r="43" spans="1:8" ht="15.75">
      <c r="A43" s="93" t="str">
        <f>IF((inputPrYr!$B45&gt;" "),(inputPrYr!$B45),"  ")</f>
        <v>Courthouse Technology</v>
      </c>
      <c r="B43" s="93">
        <f>IF('CrtHouseTech-RegDTech'!$C$29&lt;&gt;0,'CrtHouseTech-RegDTech'!$C$29,"  ")</f>
        <v>10214</v>
      </c>
      <c r="C43" s="74"/>
      <c r="D43" s="93">
        <f>IF('CrtHouseTech-RegDTech'!$D$29&lt;&gt;0,'CrtHouseTech-RegDTech'!$D$29,"  ")</f>
        <v>20000</v>
      </c>
      <c r="E43" s="74"/>
      <c r="F43" s="93">
        <f>IF('CrtHouseTech-RegDTech'!$E$29&lt;&gt;0,'CrtHouseTech-RegDTech'!$E$29,"  ")</f>
        <v>27086</v>
      </c>
      <c r="G43" s="93"/>
      <c r="H43" s="70"/>
    </row>
    <row r="44" spans="1:13" ht="15.75">
      <c r="A44" s="93" t="str">
        <f>IF((inputPrYr!$B46&gt;" "),(inputPrYr!$B46),"  ")</f>
        <v>Reg. of Deeds Technology</v>
      </c>
      <c r="B44" s="93" t="str">
        <f>IF('CrtHouseTech-RegDTech'!$C$60&lt;&gt;0,'CrtHouseTech-RegDTech'!$C$60,"  ")</f>
        <v>  </v>
      </c>
      <c r="C44" s="74"/>
      <c r="D44" s="93">
        <f>IF('CrtHouseTech-RegDTech'!$D$60&lt;&gt;0,'CrtHouseTech-RegDTech'!$D$60,"  ")</f>
        <v>25000</v>
      </c>
      <c r="E44" s="74"/>
      <c r="F44" s="93">
        <f>IF('CrtHouseTech-RegDTech'!$E$60&lt;&gt;0,'CrtHouseTech-RegDTech'!$E$60,"  ")</f>
        <v>30281</v>
      </c>
      <c r="G44" s="93"/>
      <c r="H44" s="70"/>
      <c r="J44" s="617" t="str">
        <f>CONCATENATE("Estimated Value Of One Mill For ",H1,"")</f>
        <v>Estimated Value Of One Mill For 2014</v>
      </c>
      <c r="K44" s="623"/>
      <c r="L44" s="623"/>
      <c r="M44" s="624"/>
    </row>
    <row r="45" spans="1:13" ht="15.75">
      <c r="A45" s="93" t="str">
        <f>IF((inputPrYr!$B47&gt;" "),(inputPrYr!$B47),"  ")</f>
        <v>Courthouse Renovation</v>
      </c>
      <c r="B45" s="93">
        <f>IF('CrthouseRenov-ElectTech'!$C$24&lt;&gt;0,'CrthouseRenov-ElectTech'!$C$24,"  ")</f>
        <v>200480</v>
      </c>
      <c r="C45" s="74"/>
      <c r="D45" s="93">
        <f>IF('CrthouseRenov-ElectTech'!$D$24&lt;&gt;0,'CrthouseRenov-ElectTech'!$D$24,"  ")</f>
        <v>50000</v>
      </c>
      <c r="E45" s="74"/>
      <c r="F45" s="93">
        <f>IF('CrthouseRenov-ElectTech'!$E$24&lt;&gt;0,'CrthouseRenov-ElectTech'!$E$24,"  ")</f>
        <v>54883</v>
      </c>
      <c r="G45" s="93"/>
      <c r="H45" s="70"/>
      <c r="J45" s="419"/>
      <c r="K45" s="420"/>
      <c r="L45" s="420"/>
      <c r="M45" s="421"/>
    </row>
    <row r="46" spans="1:13" ht="15.75">
      <c r="A46" s="93" t="str">
        <f>IF((inputPrYr!$B48&gt;" "),(inputPrYr!$B48),"  ")</f>
        <v>Election Technology</v>
      </c>
      <c r="B46" s="93">
        <f>IF('CrthouseRenov-ElectTech'!$C$50&lt;&gt;0,'CrthouseRenov-ElectTech'!$C$50,"  ")</f>
        <v>4368</v>
      </c>
      <c r="C46" s="74"/>
      <c r="D46" s="93">
        <f>IF('CrthouseRenov-ElectTech'!$D$50&lt;&gt;0,'CrthouseRenov-ElectTech'!$D$50,"  ")</f>
        <v>10000</v>
      </c>
      <c r="E46" s="74"/>
      <c r="F46" s="93">
        <f>IF('CrthouseRenov-ElectTech'!$E$50&lt;&gt;0,'CrthouseRenov-ElectTech'!$E$50,"  ")</f>
        <v>26352</v>
      </c>
      <c r="G46" s="93"/>
      <c r="H46" s="70"/>
      <c r="J46" s="422" t="s">
        <v>289</v>
      </c>
      <c r="K46" s="423"/>
      <c r="L46" s="423"/>
      <c r="M46" s="424">
        <f>ROUND(F57/1000,0)</f>
        <v>67816</v>
      </c>
    </row>
    <row r="47" spans="1:8" ht="15.75">
      <c r="A47" s="93" t="str">
        <f>IF((inputPrYr!$B49&gt;" "),(inputPrYr!$B49),"  ")</f>
        <v>Solid Waste</v>
      </c>
      <c r="B47" s="93">
        <f>IF(SolidW!$C$27&lt;&gt;0,SolidW!$C$27,"  ")</f>
        <v>505409</v>
      </c>
      <c r="C47" s="74"/>
      <c r="D47" s="93">
        <f>IF(SolidW!$D$27&lt;&gt;0,SolidW!$D$27,"  ")</f>
        <v>553000</v>
      </c>
      <c r="E47" s="74"/>
      <c r="F47" s="93">
        <f>IF(SolidW!$E$27&lt;&gt;0,SolidW!$E$27,"  ")</f>
        <v>553000</v>
      </c>
      <c r="G47" s="93"/>
      <c r="H47" s="70"/>
    </row>
    <row r="48" spans="1:13" ht="15.75">
      <c r="A48" s="93"/>
      <c r="B48" s="93"/>
      <c r="C48" s="74"/>
      <c r="D48" s="93"/>
      <c r="E48" s="74"/>
      <c r="F48" s="93"/>
      <c r="G48" s="93"/>
      <c r="H48" s="70"/>
      <c r="J48" s="426" t="str">
        <f>CONCATENATE("",H1-1," Mill Rate Was:")</f>
        <v>2013 Mill Rate Was:</v>
      </c>
      <c r="K48" s="420"/>
      <c r="L48" s="420"/>
      <c r="M48" s="428">
        <f>E53</f>
        <v>89.61599999999999</v>
      </c>
    </row>
    <row r="49" spans="1:13" ht="15.75">
      <c r="A49" s="155" t="str">
        <f>IF((inputPrYr!$B54&gt;"  "),(nonbudA!$A3),"  ")</f>
        <v>Non-Budgeted Funds-A</v>
      </c>
      <c r="B49" s="93">
        <f>IF(nonbudA!$K$28&lt;&gt;0,nonbudA!$K$28,"  ")</f>
        <v>219123</v>
      </c>
      <c r="C49" s="74"/>
      <c r="D49" s="93"/>
      <c r="E49" s="74"/>
      <c r="F49" s="93"/>
      <c r="G49" s="93"/>
      <c r="H49" s="70"/>
      <c r="J49" s="429" t="str">
        <f>CONCATENATE("",H1," Tax Levy Fund Expenditures Must Be")</f>
        <v>2014 Tax Levy Fund Expenditures Must Be</v>
      </c>
      <c r="K49" s="430"/>
      <c r="L49" s="430"/>
      <c r="M49" s="427"/>
    </row>
    <row r="50" spans="1:13" ht="15.75">
      <c r="A50" s="155" t="str">
        <f>IF((inputPrYr!$B60&gt;"  "),(nonbudB!$A3),"  ")</f>
        <v>Non-Budgeted Funds-B</v>
      </c>
      <c r="B50" s="93">
        <f>IF(nonbudB!$K$28&lt;&gt;0,nonbudB!$K$28,"  ")</f>
        <v>2260385</v>
      </c>
      <c r="C50" s="74"/>
      <c r="D50" s="93"/>
      <c r="E50" s="74"/>
      <c r="F50" s="93"/>
      <c r="G50" s="93"/>
      <c r="H50" s="70"/>
      <c r="J50" s="429">
        <f>IF(M50&gt;0,"Increased By:","")</f>
      </c>
      <c r="K50" s="430"/>
      <c r="L50" s="430"/>
      <c r="M50" s="438">
        <f>IF(M57&lt;0,M57*-1,0)</f>
        <v>0</v>
      </c>
    </row>
    <row r="51" spans="1:13" ht="15.75">
      <c r="A51" s="155" t="str">
        <f>IF((inputPrYr!$B66&gt;"  "),(#REF!),"  ")</f>
        <v>  </v>
      </c>
      <c r="B51" s="93"/>
      <c r="C51" s="74"/>
      <c r="D51" s="93"/>
      <c r="E51" s="74"/>
      <c r="F51" s="93"/>
      <c r="G51" s="93"/>
      <c r="H51" s="70"/>
      <c r="J51" s="439" t="str">
        <f>IF(M51&lt;0,"Reduced By:","")</f>
        <v>Reduced By:</v>
      </c>
      <c r="K51" s="440"/>
      <c r="L51" s="440"/>
      <c r="M51" s="441">
        <f>IF(M57&gt;0,M57*-1,0)</f>
        <v>-468129.5099999998</v>
      </c>
    </row>
    <row r="52" spans="1:13" ht="16.5" thickBot="1">
      <c r="A52" s="155" t="str">
        <f>IF((inputPrYr!$B72&gt;"  "),(#REF!),"  ")</f>
        <v>  </v>
      </c>
      <c r="B52" s="409"/>
      <c r="C52" s="408"/>
      <c r="D52" s="409"/>
      <c r="E52" s="408"/>
      <c r="F52" s="409"/>
      <c r="G52" s="409"/>
      <c r="H52" s="407"/>
      <c r="J52" s="433"/>
      <c r="K52" s="433"/>
      <c r="L52" s="433"/>
      <c r="M52" s="433"/>
    </row>
    <row r="53" spans="1:13" ht="15.75">
      <c r="A53" s="69" t="s">
        <v>73</v>
      </c>
      <c r="B53" s="411">
        <f>SUM(B16:B52)</f>
        <v>12148130</v>
      </c>
      <c r="C53" s="410">
        <f>SUM(C16:C34)</f>
        <v>86.15399999999998</v>
      </c>
      <c r="D53" s="411">
        <f>SUM(D16:D52)</f>
        <v>9750107</v>
      </c>
      <c r="E53" s="410">
        <f>SUM(E16:E34)</f>
        <v>89.61599999999999</v>
      </c>
      <c r="F53" s="411">
        <f>SUM(F16:F52)</f>
        <v>10869337</v>
      </c>
      <c r="G53" s="411">
        <f>SUM(G16:G34)</f>
        <v>6545499.51</v>
      </c>
      <c r="H53" s="410">
        <f>SUM(H16:H34)</f>
        <v>96.518</v>
      </c>
      <c r="J53" s="617" t="str">
        <f>CONCATENATE("Impact On Keeping The Same Mill Rate As For ",H1-1,"")</f>
        <v>Impact On Keeping The Same Mill Rate As For 2013</v>
      </c>
      <c r="K53" s="618"/>
      <c r="L53" s="618"/>
      <c r="M53" s="619"/>
    </row>
    <row r="54" spans="1:13" ht="15.75">
      <c r="A54" s="50" t="s">
        <v>115</v>
      </c>
      <c r="B54" s="340">
        <f>transfers!C29</f>
        <v>688971</v>
      </c>
      <c r="C54" s="341"/>
      <c r="D54" s="340">
        <f>transfers!D29</f>
        <v>399140</v>
      </c>
      <c r="E54" s="286"/>
      <c r="F54" s="340">
        <f>transfers!E29</f>
        <v>399140</v>
      </c>
      <c r="G54" s="51"/>
      <c r="H54" s="91"/>
      <c r="J54" s="426"/>
      <c r="K54" s="420"/>
      <c r="L54" s="420"/>
      <c r="M54" s="427"/>
    </row>
    <row r="55" spans="1:13" ht="16.5" thickBot="1">
      <c r="A55" s="50" t="s">
        <v>116</v>
      </c>
      <c r="B55" s="343">
        <f>B53-B54</f>
        <v>11459159</v>
      </c>
      <c r="C55" s="51"/>
      <c r="D55" s="343">
        <f>D53-D54</f>
        <v>9350967</v>
      </c>
      <c r="E55" s="341"/>
      <c r="F55" s="343">
        <f>F53-F54</f>
        <v>10470197</v>
      </c>
      <c r="G55" s="51"/>
      <c r="H55" s="91"/>
      <c r="J55" s="426" t="str">
        <f>CONCATENATE("",H1," Ad Valorem Tax Revenue:")</f>
        <v>2014 Ad Valorem Tax Revenue:</v>
      </c>
      <c r="K55" s="420"/>
      <c r="L55" s="420"/>
      <c r="M55" s="421">
        <f>G53</f>
        <v>6545499.51</v>
      </c>
    </row>
    <row r="56" spans="1:13" ht="16.5" thickTop="1">
      <c r="A56" s="50" t="s">
        <v>117</v>
      </c>
      <c r="B56" s="411">
        <f>inputPrYr!F109</f>
        <v>5021483</v>
      </c>
      <c r="C56" s="51"/>
      <c r="D56" s="411">
        <f>inputPrYr!E35</f>
        <v>5648634</v>
      </c>
      <c r="E56" s="51"/>
      <c r="F56" s="411">
        <f>G53</f>
        <v>6545499.51</v>
      </c>
      <c r="G56" s="51"/>
      <c r="H56" s="91"/>
      <c r="J56" s="426" t="str">
        <f>CONCATENATE("",H1-1," Ad Valorem Tax Revenue:")</f>
        <v>2013 Ad Valorem Tax Revenue:</v>
      </c>
      <c r="K56" s="420"/>
      <c r="L56" s="420"/>
      <c r="M56" s="434">
        <f>ROUND(F57*M48/1000,0)</f>
        <v>6077370</v>
      </c>
    </row>
    <row r="57" spans="1:13" ht="15.75">
      <c r="A57" s="50" t="s">
        <v>118</v>
      </c>
      <c r="B57" s="93">
        <f>inputPrYr!F110</f>
        <v>58289622</v>
      </c>
      <c r="C57" s="51"/>
      <c r="D57" s="93">
        <f>inputPrYr!F77</f>
        <v>63035572</v>
      </c>
      <c r="E57" s="51"/>
      <c r="F57" s="93">
        <f>inputOth!E6</f>
        <v>67815680</v>
      </c>
      <c r="G57" s="51"/>
      <c r="H57" s="91"/>
      <c r="J57" s="431" t="s">
        <v>290</v>
      </c>
      <c r="K57" s="432"/>
      <c r="L57" s="432"/>
      <c r="M57" s="424">
        <f>SUM(M55-M56)</f>
        <v>468129.5099999998</v>
      </c>
    </row>
    <row r="58" spans="1:13" ht="15.75">
      <c r="A58" s="51"/>
      <c r="B58" s="51"/>
      <c r="C58" s="51"/>
      <c r="D58" s="51"/>
      <c r="E58" s="51"/>
      <c r="F58" s="51"/>
      <c r="G58" s="51"/>
      <c r="H58" s="91"/>
      <c r="J58" s="425"/>
      <c r="K58" s="425"/>
      <c r="L58" s="425"/>
      <c r="M58" s="433"/>
    </row>
    <row r="59" spans="1:13" ht="15.75">
      <c r="A59" s="50" t="s">
        <v>119</v>
      </c>
      <c r="B59" s="51"/>
      <c r="C59" s="51"/>
      <c r="D59" s="51"/>
      <c r="E59" s="51"/>
      <c r="F59" s="51"/>
      <c r="G59" s="51"/>
      <c r="H59" s="103"/>
      <c r="J59" s="617" t="s">
        <v>291</v>
      </c>
      <c r="K59" s="620"/>
      <c r="L59" s="620"/>
      <c r="M59" s="621"/>
    </row>
    <row r="60" spans="1:13" ht="15.75">
      <c r="A60" s="50" t="s">
        <v>120</v>
      </c>
      <c r="B60" s="342">
        <f>H1-3</f>
        <v>2011</v>
      </c>
      <c r="C60" s="51"/>
      <c r="D60" s="342">
        <f>H1-2</f>
        <v>2012</v>
      </c>
      <c r="E60" s="51"/>
      <c r="F60" s="342">
        <f>H1-1</f>
        <v>2013</v>
      </c>
      <c r="G60" s="51"/>
      <c r="H60" s="103"/>
      <c r="J60" s="426"/>
      <c r="K60" s="420"/>
      <c r="L60" s="420"/>
      <c r="M60" s="427"/>
    </row>
    <row r="61" spans="1:13" ht="15.75">
      <c r="A61" s="50" t="s">
        <v>121</v>
      </c>
      <c r="B61" s="93">
        <f>inputPrYr!D114</f>
        <v>0</v>
      </c>
      <c r="C61" s="51"/>
      <c r="D61" s="93">
        <f>inputPrYr!E114</f>
        <v>0</v>
      </c>
      <c r="E61" s="51"/>
      <c r="F61" s="93">
        <f>debt!G19</f>
        <v>0</v>
      </c>
      <c r="G61" s="51"/>
      <c r="H61" s="103"/>
      <c r="J61" s="426" t="str">
        <f>CONCATENATE("Current ",H1," Estimated Mill Rate:")</f>
        <v>Current 2014 Estimated Mill Rate:</v>
      </c>
      <c r="K61" s="420"/>
      <c r="L61" s="420"/>
      <c r="M61" s="428">
        <f>H53</f>
        <v>96.518</v>
      </c>
    </row>
    <row r="62" spans="1:13" ht="15.75">
      <c r="A62" s="50" t="s">
        <v>122</v>
      </c>
      <c r="B62" s="93">
        <f>inputPrYr!D115</f>
        <v>0</v>
      </c>
      <c r="C62" s="51"/>
      <c r="D62" s="93">
        <f>inputPrYr!E115</f>
        <v>0</v>
      </c>
      <c r="E62" s="51"/>
      <c r="F62" s="93">
        <f>debt!G27</f>
        <v>0</v>
      </c>
      <c r="G62" s="51"/>
      <c r="H62" s="103"/>
      <c r="J62" s="426" t="str">
        <f>CONCATENATE("Desired ",H1," Mill Rate:")</f>
        <v>Desired 2014 Mill Rate:</v>
      </c>
      <c r="K62" s="420"/>
      <c r="L62" s="420"/>
      <c r="M62" s="435">
        <v>45</v>
      </c>
    </row>
    <row r="63" spans="1:13" ht="15.75">
      <c r="A63" s="50" t="s">
        <v>108</v>
      </c>
      <c r="B63" s="93">
        <f>inputPrYr!D116</f>
        <v>0</v>
      </c>
      <c r="C63" s="51"/>
      <c r="D63" s="93">
        <f>inputPrYr!E116</f>
        <v>0</v>
      </c>
      <c r="E63" s="51"/>
      <c r="F63" s="93">
        <f>debt!G36</f>
        <v>0</v>
      </c>
      <c r="G63" s="51"/>
      <c r="H63" s="103"/>
      <c r="J63" s="426" t="str">
        <f>CONCATENATE("",H1," Ad Valorem Tax:")</f>
        <v>2014 Ad Valorem Tax:</v>
      </c>
      <c r="K63" s="420"/>
      <c r="L63" s="420"/>
      <c r="M63" s="434">
        <f>ROUND(F57*M62/1000,0)</f>
        <v>3051706</v>
      </c>
    </row>
    <row r="64" spans="1:13" ht="15.75">
      <c r="A64" s="50" t="s">
        <v>205</v>
      </c>
      <c r="B64" s="93">
        <f>inputPrYr!D117</f>
        <v>13946764</v>
      </c>
      <c r="C64" s="51"/>
      <c r="D64" s="93">
        <f>inputPrYr!E117</f>
        <v>13371879</v>
      </c>
      <c r="E64" s="51"/>
      <c r="F64" s="93">
        <f>lpform!G37</f>
        <v>12796801</v>
      </c>
      <c r="G64" s="51"/>
      <c r="H64" s="103"/>
      <c r="J64" s="431" t="str">
        <f>CONCATENATE("",H1," Tax Levy Fund Exp. Changed By:")</f>
        <v>2014 Tax Levy Fund Exp. Changed By:</v>
      </c>
      <c r="K64" s="432"/>
      <c r="L64" s="432"/>
      <c r="M64" s="424">
        <f>IF(M62=0,0,(M63-G53))</f>
        <v>-3493793.51</v>
      </c>
    </row>
    <row r="65" spans="1:8" ht="16.5" thickBot="1">
      <c r="A65" s="50" t="s">
        <v>123</v>
      </c>
      <c r="B65" s="436">
        <f>SUM(B61:B64)</f>
        <v>13946764</v>
      </c>
      <c r="C65" s="51"/>
      <c r="D65" s="436">
        <f>SUM(D61:D64)</f>
        <v>13371879</v>
      </c>
      <c r="E65" s="51"/>
      <c r="F65" s="436">
        <f>SUM(F61:F64)</f>
        <v>12796801</v>
      </c>
      <c r="G65" s="51"/>
      <c r="H65" s="103"/>
    </row>
    <row r="66" spans="1:8" ht="16.5" thickTop="1">
      <c r="A66" s="50" t="s">
        <v>124</v>
      </c>
      <c r="B66" s="51"/>
      <c r="C66" s="51"/>
      <c r="D66" s="51"/>
      <c r="E66" s="51"/>
      <c r="F66" s="51"/>
      <c r="G66" s="51"/>
      <c r="H66" s="103"/>
    </row>
    <row r="67" spans="1:8" ht="15.75">
      <c r="A67" s="51"/>
      <c r="B67" s="51"/>
      <c r="C67" s="51"/>
      <c r="D67" s="51"/>
      <c r="E67" s="51"/>
      <c r="F67" s="51"/>
      <c r="G67" s="51"/>
      <c r="H67" s="103"/>
    </row>
    <row r="68" spans="1:8" ht="15.75">
      <c r="A68" s="622" t="str">
        <f>inputBudSum!B3</f>
        <v>Chris Treaster</v>
      </c>
      <c r="B68" s="622"/>
      <c r="C68" s="51"/>
      <c r="D68" s="51"/>
      <c r="E68" s="51"/>
      <c r="F68" s="51"/>
      <c r="G68" s="51"/>
      <c r="H68" s="103"/>
    </row>
    <row r="69" spans="1:8" ht="15.75">
      <c r="A69" s="174" t="s">
        <v>125</v>
      </c>
      <c r="B69" s="59"/>
      <c r="C69" s="51"/>
      <c r="D69" s="51"/>
      <c r="E69" s="51"/>
      <c r="F69" s="51"/>
      <c r="G69" s="51"/>
      <c r="H69" s="103"/>
    </row>
    <row r="70" spans="1:8" ht="15.75">
      <c r="A70" s="51"/>
      <c r="B70" s="51"/>
      <c r="C70" s="51"/>
      <c r="D70" s="241" t="s">
        <v>86</v>
      </c>
      <c r="E70" s="344">
        <v>26</v>
      </c>
      <c r="F70" s="51"/>
      <c r="G70" s="51"/>
      <c r="H70" s="103"/>
    </row>
    <row r="71" spans="1:8" ht="15.75">
      <c r="A71" s="109"/>
      <c r="D71" s="109"/>
      <c r="E71" s="109"/>
      <c r="F71" s="109"/>
      <c r="G71" s="109"/>
      <c r="H71" s="109"/>
    </row>
  </sheetData>
  <sheetProtection/>
  <mergeCells count="13">
    <mergeCell ref="A2:H2"/>
    <mergeCell ref="A4:H4"/>
    <mergeCell ref="A5:H5"/>
    <mergeCell ref="A6:H6"/>
    <mergeCell ref="A10:H10"/>
    <mergeCell ref="A11:H11"/>
    <mergeCell ref="A7:H7"/>
    <mergeCell ref="A8:H8"/>
    <mergeCell ref="J53:M53"/>
    <mergeCell ref="J59:M59"/>
    <mergeCell ref="A68:B68"/>
    <mergeCell ref="G14:G15"/>
    <mergeCell ref="J44:M44"/>
  </mergeCells>
  <printOptions/>
  <pageMargins left="1.12" right="0.5" top="0.74" bottom="0.34" header="0.5" footer="0"/>
  <pageSetup blackAndWhite="1" fitToHeight="1" fitToWidth="1" horizontalDpi="120" verticalDpi="120" orientation="portrait" scale="62" r:id="rId1"/>
  <headerFooter alignWithMargins="0">
    <oddHeader>&amp;RState of Kansas
County
</oddHeader>
  </headerFooter>
</worksheet>
</file>

<file path=xl/worksheets/sheet31.xml><?xml version="1.0" encoding="utf-8"?>
<worksheet xmlns="http://schemas.openxmlformats.org/spreadsheetml/2006/main" xmlns:r="http://schemas.openxmlformats.org/officeDocument/2006/relationships">
  <dimension ref="A1:H57"/>
  <sheetViews>
    <sheetView view="pageBreakPreview" zoomScale="98" zoomScaleSheetLayoutView="98" zoomScalePageLayoutView="0" workbookViewId="0" topLeftCell="A26">
      <selection activeCell="E56" sqref="E56"/>
    </sheetView>
  </sheetViews>
  <sheetFormatPr defaultColWidth="9.796875" defaultRowHeight="15"/>
  <cols>
    <col min="1" max="16384" width="9.796875" style="19" customWidth="1"/>
  </cols>
  <sheetData>
    <row r="1" spans="1:8" ht="11.25" customHeight="1">
      <c r="A1" s="15"/>
      <c r="B1" s="16"/>
      <c r="C1" s="16"/>
      <c r="D1" s="16"/>
      <c r="E1" s="16"/>
      <c r="F1" s="16"/>
      <c r="G1" s="17"/>
      <c r="H1" s="18"/>
    </row>
    <row r="2" spans="1:8" ht="15.75" customHeight="1">
      <c r="A2" s="626" t="s">
        <v>211</v>
      </c>
      <c r="B2" s="626"/>
      <c r="C2" s="626"/>
      <c r="D2" s="626"/>
      <c r="E2" s="626"/>
      <c r="F2" s="626"/>
      <c r="G2" s="626"/>
      <c r="H2" s="626"/>
    </row>
    <row r="3" spans="1:8" ht="9" customHeight="1">
      <c r="A3" s="15"/>
      <c r="B3" s="32"/>
      <c r="C3" s="32"/>
      <c r="D3" s="32"/>
      <c r="E3" s="32"/>
      <c r="F3" s="32"/>
      <c r="G3" s="20"/>
      <c r="H3" s="33"/>
    </row>
    <row r="4" spans="1:8" ht="15.75" customHeight="1">
      <c r="A4" s="627" t="s">
        <v>212</v>
      </c>
      <c r="B4" s="627"/>
      <c r="C4" s="627"/>
      <c r="D4" s="627"/>
      <c r="E4" s="627"/>
      <c r="F4" s="627"/>
      <c r="G4" s="627"/>
      <c r="H4" s="627"/>
    </row>
    <row r="5" spans="1:8" ht="9" customHeight="1">
      <c r="A5" s="21"/>
      <c r="B5" s="32"/>
      <c r="C5" s="32"/>
      <c r="D5" s="32"/>
      <c r="E5" s="32"/>
      <c r="F5" s="32"/>
      <c r="G5" s="32"/>
      <c r="H5" s="33"/>
    </row>
    <row r="6" spans="1:8" ht="15.75" customHeight="1">
      <c r="A6" s="22" t="str">
        <f>CONCATENATE("A resolution expressing the property taxation policy of the Board of ",(inputPrYr!C2)," Commissioners")</f>
        <v>A resolution expressing the property taxation policy of the Board of MITCHELL COUNTY Commissioners</v>
      </c>
      <c r="B6" s="32"/>
      <c r="C6" s="32"/>
      <c r="D6" s="32"/>
      <c r="E6" s="32"/>
      <c r="F6" s="32"/>
      <c r="G6" s="32"/>
      <c r="H6" s="33"/>
    </row>
    <row r="7" spans="1:8" ht="15.75" customHeight="1">
      <c r="A7" s="22" t="str">
        <f>CONCATENATE("with respect to financing the ",inputPrYr!C4," annual budget for ",(inputPrYr!E2)," .")</f>
        <v>with respect to financing the 2014 annual budget for  .</v>
      </c>
      <c r="B7" s="32"/>
      <c r="C7" s="32"/>
      <c r="D7" s="32"/>
      <c r="E7" s="32"/>
      <c r="F7" s="32"/>
      <c r="G7" s="32"/>
      <c r="H7" s="33"/>
    </row>
    <row r="8" spans="1:8" ht="9" customHeight="1">
      <c r="A8" s="15"/>
      <c r="B8" s="32"/>
      <c r="C8" s="32"/>
      <c r="D8" s="32"/>
      <c r="E8" s="32"/>
      <c r="F8" s="32"/>
      <c r="G8" s="32"/>
      <c r="H8" s="33"/>
    </row>
    <row r="9" spans="1:8" ht="15.75" customHeight="1">
      <c r="A9" s="23" t="str">
        <f>CONCATENATE("Whereas, K.S.A. 79-2925b provides that a resolution be adopted if property taxes levied to finance the ",inputPrYr!C4,"")</f>
        <v>Whereas, K.S.A. 79-2925b provides that a resolution be adopted if property taxes levied to finance the 2014</v>
      </c>
      <c r="B9" s="32"/>
      <c r="C9" s="32"/>
      <c r="D9" s="32"/>
      <c r="E9" s="32"/>
      <c r="F9" s="32"/>
      <c r="G9" s="32"/>
      <c r="H9" s="33"/>
    </row>
    <row r="10" spans="1:8" ht="15.75" customHeight="1">
      <c r="A10" s="629" t="str">
        <f>CONCATENATE("",(inputPrYr!C2)," budget exceed the amount levied to finance the ",inputPrYr!C4-1," ",(inputPrYr!C2)," ",A16,)</f>
        <v>MITCHELL COUNTY budget exceed the amount levied to finance the 2013 MITCHELL COUNTY budget, except with regard to revenue produced and attributable to the 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v>
      </c>
      <c r="B10" s="629"/>
      <c r="C10" s="629"/>
      <c r="D10" s="629"/>
      <c r="E10" s="629"/>
      <c r="F10" s="629"/>
      <c r="G10" s="629"/>
      <c r="H10" s="629"/>
    </row>
    <row r="11" spans="1:8" ht="15.75" customHeight="1">
      <c r="A11" s="629"/>
      <c r="B11" s="629"/>
      <c r="C11" s="629"/>
      <c r="D11" s="629"/>
      <c r="E11" s="629"/>
      <c r="F11" s="629"/>
      <c r="G11" s="629"/>
      <c r="H11" s="629"/>
    </row>
    <row r="12" spans="1:8" ht="15.75" customHeight="1">
      <c r="A12" s="629"/>
      <c r="B12" s="629"/>
      <c r="C12" s="629"/>
      <c r="D12" s="629"/>
      <c r="E12" s="629"/>
      <c r="F12" s="629"/>
      <c r="G12" s="629"/>
      <c r="H12" s="629"/>
    </row>
    <row r="13" spans="1:8" ht="15.75" customHeight="1">
      <c r="A13" s="629"/>
      <c r="B13" s="629"/>
      <c r="C13" s="629"/>
      <c r="D13" s="629"/>
      <c r="E13" s="629"/>
      <c r="F13" s="629"/>
      <c r="G13" s="629"/>
      <c r="H13" s="629"/>
    </row>
    <row r="14" spans="1:8" ht="15.75" customHeight="1">
      <c r="A14" s="629"/>
      <c r="B14" s="629"/>
      <c r="C14" s="629"/>
      <c r="D14" s="629"/>
      <c r="E14" s="629"/>
      <c r="F14" s="629"/>
      <c r="G14" s="629"/>
      <c r="H14" s="629"/>
    </row>
    <row r="15" spans="1:8" ht="15.75" customHeight="1">
      <c r="A15" s="629"/>
      <c r="B15" s="629"/>
      <c r="C15" s="629"/>
      <c r="D15" s="629"/>
      <c r="E15" s="629"/>
      <c r="F15" s="629"/>
      <c r="G15" s="629"/>
      <c r="H15" s="629"/>
    </row>
    <row r="16" spans="1:8" ht="9" customHeight="1">
      <c r="A16" s="34" t="s">
        <v>232</v>
      </c>
      <c r="B16" s="32"/>
      <c r="C16" s="32"/>
      <c r="D16" s="32"/>
      <c r="E16" s="32"/>
      <c r="F16" s="32"/>
      <c r="G16" s="32"/>
      <c r="H16" s="33" t="s">
        <v>110</v>
      </c>
    </row>
    <row r="17" spans="1:8" ht="15.75" customHeight="1">
      <c r="A17" s="629" t="s">
        <v>213</v>
      </c>
      <c r="B17" s="629"/>
      <c r="C17" s="629"/>
      <c r="D17" s="629"/>
      <c r="E17" s="629"/>
      <c r="F17" s="629"/>
      <c r="G17" s="629"/>
      <c r="H17" s="629"/>
    </row>
    <row r="18" spans="1:8" ht="15.75" customHeight="1">
      <c r="A18" s="629"/>
      <c r="B18" s="629"/>
      <c r="C18" s="629"/>
      <c r="D18" s="629"/>
      <c r="E18" s="629"/>
      <c r="F18" s="629"/>
      <c r="G18" s="629"/>
      <c r="H18" s="629"/>
    </row>
    <row r="19" spans="1:8" ht="9" customHeight="1">
      <c r="A19" s="21"/>
      <c r="B19" s="32"/>
      <c r="C19" s="32"/>
      <c r="D19" s="32"/>
      <c r="E19" s="32"/>
      <c r="F19" s="32"/>
      <c r="G19" s="32"/>
      <c r="H19" s="33"/>
    </row>
    <row r="20" spans="1:8" ht="15.75" customHeight="1">
      <c r="A20" s="629" t="str">
        <f>CONCATENATE("Whereas, ",(inputPrYr!C2)," provides the essential services to protect the health, safety, and well being of the citizens of the county; and")</f>
        <v>Whereas, MITCHELL COUNTY provides the essential services to protect the health, safety, and well being of the citizens of the county; and</v>
      </c>
      <c r="B20" s="629"/>
      <c r="C20" s="629"/>
      <c r="D20" s="629"/>
      <c r="E20" s="629"/>
      <c r="F20" s="629"/>
      <c r="G20" s="629"/>
      <c r="H20" s="629"/>
    </row>
    <row r="21" spans="1:8" ht="15.75" customHeight="1">
      <c r="A21" s="629"/>
      <c r="B21" s="629"/>
      <c r="C21" s="629"/>
      <c r="D21" s="629"/>
      <c r="E21" s="629"/>
      <c r="F21" s="629"/>
      <c r="G21" s="629"/>
      <c r="H21" s="629"/>
    </row>
    <row r="22" spans="1:8" ht="9" customHeight="1">
      <c r="A22" s="24"/>
      <c r="B22" s="32"/>
      <c r="C22" s="32"/>
      <c r="D22" s="32"/>
      <c r="E22" s="32"/>
      <c r="F22" s="32"/>
      <c r="G22" s="32"/>
      <c r="H22" s="33"/>
    </row>
    <row r="23" spans="1:8" ht="15.75" customHeight="1">
      <c r="A23" s="24" t="s">
        <v>214</v>
      </c>
      <c r="B23" s="32"/>
      <c r="C23" s="32"/>
      <c r="D23" s="32"/>
      <c r="E23" s="32"/>
      <c r="F23" s="32"/>
      <c r="G23" s="32"/>
      <c r="H23" s="33"/>
    </row>
    <row r="24" spans="1:8" ht="9" customHeight="1">
      <c r="A24" s="21"/>
      <c r="B24" s="32"/>
      <c r="C24" s="32"/>
      <c r="D24" s="32"/>
      <c r="E24" s="32"/>
      <c r="F24" s="32"/>
      <c r="G24" s="32"/>
      <c r="H24" s="33"/>
    </row>
    <row r="25" spans="1:8" ht="15.75" customHeight="1">
      <c r="A25" s="629" t="str">
        <f>CONCATENATE("Whereas, the ",inputPrYr!C4-1," Kansas State Legislature failed to fulfill its obligations in regard to the statutory funding of demand transfers and, by significantly ",A28," ",(inputPrYr!C2),B28)</f>
        <v>Whereas, the 2013 Kansas State Legislature failed to fulfill its obligations in regard to the statutory funding of demand transfers and, by significantly limiting state revenue sharing payments to counties, has contributed to higher county property tax levies to finance the 2014 MITCHELL COUNTY budget.</v>
      </c>
      <c r="B25" s="629"/>
      <c r="C25" s="629"/>
      <c r="D25" s="629"/>
      <c r="E25" s="629"/>
      <c r="F25" s="629"/>
      <c r="G25" s="629"/>
      <c r="H25" s="629"/>
    </row>
    <row r="26" spans="1:8" ht="15.75" customHeight="1">
      <c r="A26" s="629"/>
      <c r="B26" s="629"/>
      <c r="C26" s="629"/>
      <c r="D26" s="629"/>
      <c r="E26" s="629"/>
      <c r="F26" s="629"/>
      <c r="G26" s="629"/>
      <c r="H26" s="629"/>
    </row>
    <row r="27" spans="1:8" ht="15.75" customHeight="1">
      <c r="A27" s="629"/>
      <c r="B27" s="629"/>
      <c r="C27" s="629"/>
      <c r="D27" s="629"/>
      <c r="E27" s="629"/>
      <c r="F27" s="629"/>
      <c r="G27" s="629"/>
      <c r="H27" s="629"/>
    </row>
    <row r="28" spans="1:8" ht="9" customHeight="1">
      <c r="A28" s="25" t="str">
        <f>CONCATENATE("limiting state revenue sharing payments to counties, has contributed to higher county property tax levies to finance the ",inputPrYr!C4,"")</f>
        <v>limiting state revenue sharing payments to counties, has contributed to higher county property tax levies to finance the 2014</v>
      </c>
      <c r="B28" s="35" t="s">
        <v>233</v>
      </c>
      <c r="C28" s="3"/>
      <c r="D28" s="3"/>
      <c r="E28" s="3"/>
      <c r="F28" s="3"/>
      <c r="G28" s="3"/>
      <c r="H28" s="36"/>
    </row>
    <row r="29" spans="1:8" ht="15.75" customHeight="1">
      <c r="A29" s="629" t="str">
        <f>CONCATENATE("NOW, THEREFORE, BE IT RESOLVED by the Board of ",(inputPrYr!C2)," Commissioners that is our desire to notify the public of the possibility of increased property taxes to finance the ",inputPrYr!C4," ",(inputPrYr!C2)," budget due to the above mentioned constraints, and that all persons are invited and encouraged to attend budget meeting conducted by the Board of ",(inputPrYr!C2)," Commissioners.  The date and time of budget hearings with the Board of ",(inputPrYr!C2),A38,)</f>
        <v>NOW, THEREFORE, BE IT RESOLVED by the Board of MITCHELL COUNTY Commissioners that is our desire to notify the public of the possibility of increased property taxes to finance the 2014 MITCHELL COUNTY budget due to the above mentioned constraints, and that all persons are invited and encouraged to attend budget meeting conducted by the Board of MITCHELL COUNTY Commissioners.  The date and time of budget hearings with the Board of MITCHELL COUNTY Commissioners will be published in the _________ (newspaper).   Interested persons can also address questions concerning the budget to __________ (office) _______ by calling ___________ between the hours of ________ a.m. to ________ p.m., Monday through Fridays, excluding holidays.  </v>
      </c>
      <c r="B29" s="629"/>
      <c r="C29" s="629"/>
      <c r="D29" s="629"/>
      <c r="E29" s="629"/>
      <c r="F29" s="629"/>
      <c r="G29" s="629"/>
      <c r="H29" s="629"/>
    </row>
    <row r="30" spans="1:8" ht="15.75" customHeight="1">
      <c r="A30" s="629"/>
      <c r="B30" s="629"/>
      <c r="C30" s="629"/>
      <c r="D30" s="629"/>
      <c r="E30" s="629"/>
      <c r="F30" s="629"/>
      <c r="G30" s="629"/>
      <c r="H30" s="629"/>
    </row>
    <row r="31" spans="1:8" ht="15.75" customHeight="1">
      <c r="A31" s="629"/>
      <c r="B31" s="629"/>
      <c r="C31" s="629"/>
      <c r="D31" s="629"/>
      <c r="E31" s="629"/>
      <c r="F31" s="629"/>
      <c r="G31" s="629"/>
      <c r="H31" s="629"/>
    </row>
    <row r="32" spans="1:8" ht="15.75" customHeight="1">
      <c r="A32" s="629"/>
      <c r="B32" s="629"/>
      <c r="C32" s="629"/>
      <c r="D32" s="629"/>
      <c r="E32" s="629"/>
      <c r="F32" s="629"/>
      <c r="G32" s="629"/>
      <c r="H32" s="629"/>
    </row>
    <row r="33" spans="1:8" ht="15.75" customHeight="1">
      <c r="A33" s="629"/>
      <c r="B33" s="629"/>
      <c r="C33" s="629"/>
      <c r="D33" s="629"/>
      <c r="E33" s="629"/>
      <c r="F33" s="629"/>
      <c r="G33" s="629"/>
      <c r="H33" s="629"/>
    </row>
    <row r="34" spans="1:8" ht="15.75" customHeight="1">
      <c r="A34" s="629"/>
      <c r="B34" s="629"/>
      <c r="C34" s="629"/>
      <c r="D34" s="629"/>
      <c r="E34" s="629"/>
      <c r="F34" s="629"/>
      <c r="G34" s="629"/>
      <c r="H34" s="629"/>
    </row>
    <row r="35" spans="1:8" ht="15.75" customHeight="1">
      <c r="A35" s="629"/>
      <c r="B35" s="629"/>
      <c r="C35" s="629"/>
      <c r="D35" s="629"/>
      <c r="E35" s="629"/>
      <c r="F35" s="629"/>
      <c r="G35" s="629"/>
      <c r="H35" s="629"/>
    </row>
    <row r="36" spans="1:8" ht="15.75" customHeight="1">
      <c r="A36" s="629"/>
      <c r="B36" s="629"/>
      <c r="C36" s="629"/>
      <c r="D36" s="629"/>
      <c r="E36" s="629"/>
      <c r="F36" s="629"/>
      <c r="G36" s="629"/>
      <c r="H36" s="629"/>
    </row>
    <row r="37" spans="1:8" ht="15.75" customHeight="1">
      <c r="A37" s="629"/>
      <c r="B37" s="629"/>
      <c r="C37" s="629"/>
      <c r="D37" s="629"/>
      <c r="E37" s="629"/>
      <c r="F37" s="629"/>
      <c r="G37" s="629"/>
      <c r="H37" s="629"/>
    </row>
    <row r="38" spans="1:8" ht="15.75" customHeight="1">
      <c r="A38" s="26" t="s">
        <v>241</v>
      </c>
      <c r="B38" s="3"/>
      <c r="C38" s="3"/>
      <c r="D38" s="3"/>
      <c r="E38" s="3"/>
      <c r="F38" s="3"/>
      <c r="G38" s="3"/>
      <c r="H38" s="36" t="s">
        <v>110</v>
      </c>
    </row>
    <row r="39" spans="1:8" ht="15.75" customHeight="1">
      <c r="A39" s="628" t="str">
        <f>CONCATENATE("                                                 Adopted this _________ day of ___________, ",inputPrYr!C4-1," by the Board of ",(inputPrYr!C2)," Commissioners.")</f>
        <v>                                                 Adopted this _________ day of ___________, 2013 by the Board of MITCHELL COUNTY Commissioners.</v>
      </c>
      <c r="B39" s="628"/>
      <c r="C39" s="628"/>
      <c r="D39" s="628"/>
      <c r="E39" s="628"/>
      <c r="F39" s="628"/>
      <c r="G39" s="628"/>
      <c r="H39" s="628"/>
    </row>
    <row r="40" spans="1:8" ht="15.75" customHeight="1">
      <c r="A40" s="628"/>
      <c r="B40" s="628"/>
      <c r="C40" s="628"/>
      <c r="D40" s="628"/>
      <c r="E40" s="628"/>
      <c r="F40" s="628"/>
      <c r="G40" s="628"/>
      <c r="H40" s="628"/>
    </row>
    <row r="41" spans="1:8" ht="15.75" customHeight="1">
      <c r="A41" s="3"/>
      <c r="B41" s="3"/>
      <c r="C41" s="3"/>
      <c r="D41" s="3"/>
      <c r="E41" s="630" t="s">
        <v>215</v>
      </c>
      <c r="F41" s="630"/>
      <c r="G41" s="630"/>
      <c r="H41" s="630"/>
    </row>
    <row r="42" spans="1:8" ht="15.75" customHeight="1">
      <c r="A42" s="27"/>
      <c r="B42" s="3"/>
      <c r="C42" s="3"/>
      <c r="D42" s="3"/>
      <c r="E42" s="630"/>
      <c r="F42" s="630"/>
      <c r="G42" s="630"/>
      <c r="H42" s="630"/>
    </row>
    <row r="43" spans="1:8" ht="15.75" customHeight="1">
      <c r="A43" s="3"/>
      <c r="B43" s="3"/>
      <c r="C43" s="3"/>
      <c r="D43" s="3"/>
      <c r="E43" s="630" t="s">
        <v>216</v>
      </c>
      <c r="F43" s="630"/>
      <c r="G43" s="630"/>
      <c r="H43" s="630"/>
    </row>
    <row r="44" spans="1:8" ht="15.75" customHeight="1">
      <c r="A44" s="27"/>
      <c r="B44" s="3"/>
      <c r="C44" s="3"/>
      <c r="D44" s="3"/>
      <c r="E44" s="630"/>
      <c r="F44" s="630"/>
      <c r="G44" s="630"/>
      <c r="H44" s="630"/>
    </row>
    <row r="45" spans="1:8" ht="15.75" customHeight="1">
      <c r="A45" s="3"/>
      <c r="B45" s="3"/>
      <c r="C45" s="3"/>
      <c r="D45" s="3"/>
      <c r="E45" s="630" t="s">
        <v>216</v>
      </c>
      <c r="F45" s="630"/>
      <c r="G45" s="630"/>
      <c r="H45" s="630"/>
    </row>
    <row r="46" spans="1:8" ht="15.75" customHeight="1">
      <c r="A46" s="27"/>
      <c r="B46" s="3"/>
      <c r="C46" s="3"/>
      <c r="D46" s="3"/>
      <c r="E46" s="630"/>
      <c r="F46" s="630"/>
      <c r="G46" s="630"/>
      <c r="H46" s="630"/>
    </row>
    <row r="47" spans="1:8" ht="15.75" customHeight="1">
      <c r="A47" s="3"/>
      <c r="B47" s="3"/>
      <c r="C47" s="3"/>
      <c r="D47" s="3"/>
      <c r="E47" s="630" t="s">
        <v>216</v>
      </c>
      <c r="F47" s="630"/>
      <c r="G47" s="630"/>
      <c r="H47" s="630"/>
    </row>
    <row r="48" spans="1:8" ht="15.75" customHeight="1">
      <c r="A48" s="27"/>
      <c r="B48" s="3"/>
      <c r="C48" s="3"/>
      <c r="D48" s="3"/>
      <c r="E48" s="3"/>
      <c r="F48" s="3"/>
      <c r="G48" s="3"/>
      <c r="H48" s="36"/>
    </row>
    <row r="49" spans="1:8" ht="15.75" customHeight="1">
      <c r="A49" s="27" t="s">
        <v>217</v>
      </c>
      <c r="B49" s="3"/>
      <c r="C49" s="3"/>
      <c r="D49" s="3"/>
      <c r="E49" s="3"/>
      <c r="F49" s="3"/>
      <c r="G49" s="3"/>
      <c r="H49" s="36"/>
    </row>
    <row r="50" spans="1:8" ht="15.75" customHeight="1">
      <c r="A50" s="27"/>
      <c r="B50" s="3"/>
      <c r="C50" s="3"/>
      <c r="D50" s="3"/>
      <c r="E50" s="3"/>
      <c r="F50" s="3"/>
      <c r="G50" s="27"/>
      <c r="H50" s="36"/>
    </row>
    <row r="51" spans="1:8" ht="15.75" customHeight="1">
      <c r="A51" s="28" t="s">
        <v>218</v>
      </c>
      <c r="B51" s="2"/>
      <c r="C51" s="2"/>
      <c r="D51" s="2"/>
      <c r="E51" s="2"/>
      <c r="F51" s="2"/>
      <c r="G51" s="27"/>
      <c r="H51" s="36"/>
    </row>
    <row r="52" spans="1:8" ht="15.75" customHeight="1">
      <c r="A52" s="630" t="s">
        <v>219</v>
      </c>
      <c r="B52" s="630"/>
      <c r="C52" s="630"/>
      <c r="D52" s="2"/>
      <c r="E52" s="2"/>
      <c r="F52" s="2"/>
      <c r="G52" s="27"/>
      <c r="H52" s="36"/>
    </row>
    <row r="53" spans="1:8" ht="15.75" customHeight="1">
      <c r="A53" s="28"/>
      <c r="B53" s="2"/>
      <c r="C53" s="2"/>
      <c r="D53" s="2"/>
      <c r="E53" s="2"/>
      <c r="F53" s="2"/>
      <c r="G53" s="27"/>
      <c r="H53" s="36"/>
    </row>
    <row r="54" spans="1:8" ht="15.75" customHeight="1">
      <c r="A54" s="28"/>
      <c r="B54" s="2"/>
      <c r="C54" s="2"/>
      <c r="D54" s="2"/>
      <c r="E54" s="2"/>
      <c r="F54" s="2"/>
      <c r="G54" s="27"/>
      <c r="H54" s="36"/>
    </row>
    <row r="55" spans="1:8" ht="15.75" customHeight="1">
      <c r="A55" s="29" t="s">
        <v>220</v>
      </c>
      <c r="B55" s="2"/>
      <c r="C55" s="2"/>
      <c r="D55" s="37" t="s">
        <v>109</v>
      </c>
      <c r="E55" s="4">
        <v>27</v>
      </c>
      <c r="F55" s="2"/>
      <c r="G55" s="27"/>
      <c r="H55" s="36"/>
    </row>
    <row r="56" spans="1:8" ht="15" customHeight="1">
      <c r="A56" s="36"/>
      <c r="B56" s="36"/>
      <c r="C56" s="36"/>
      <c r="D56" s="36"/>
      <c r="E56" s="36"/>
      <c r="F56" s="36"/>
      <c r="G56" s="36"/>
      <c r="H56" s="36"/>
    </row>
    <row r="57" spans="1:8" ht="15" customHeight="1">
      <c r="A57" s="36"/>
      <c r="B57" s="36"/>
      <c r="C57" s="36"/>
      <c r="D57" s="36"/>
      <c r="E57" s="36"/>
      <c r="F57" s="36"/>
      <c r="G57" s="36"/>
      <c r="H57" s="36"/>
    </row>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sheetData>
  <sheetProtection sheet="1"/>
  <mergeCells count="16">
    <mergeCell ref="E45:H45"/>
    <mergeCell ref="E46:H46"/>
    <mergeCell ref="E47:H47"/>
    <mergeCell ref="A52:C52"/>
    <mergeCell ref="E41:H41"/>
    <mergeCell ref="E42:H42"/>
    <mergeCell ref="E43:H43"/>
    <mergeCell ref="E44:H44"/>
    <mergeCell ref="A2:H2"/>
    <mergeCell ref="A4:H4"/>
    <mergeCell ref="A39:H40"/>
    <mergeCell ref="A10:H15"/>
    <mergeCell ref="A29:H37"/>
    <mergeCell ref="A17:H18"/>
    <mergeCell ref="A20:H21"/>
    <mergeCell ref="A25:H27"/>
  </mergeCells>
  <printOptions/>
  <pageMargins left="0.37" right="0.27" top="0.5" bottom="0.51" header="0.5" footer="0.5"/>
  <pageSetup horizontalDpi="600" verticalDpi="600" orientation="portrait" scale="85" r:id="rId1"/>
</worksheet>
</file>

<file path=xl/worksheets/sheet4.xml><?xml version="1.0" encoding="utf-8"?>
<worksheet xmlns="http://schemas.openxmlformats.org/spreadsheetml/2006/main" xmlns:r="http://schemas.openxmlformats.org/officeDocument/2006/relationships">
  <sheetPr>
    <pageSetUpPr fitToPage="1"/>
  </sheetPr>
  <dimension ref="A1:F78"/>
  <sheetViews>
    <sheetView view="pageBreakPreview" zoomScale="102" zoomScaleNormal="90" zoomScaleSheetLayoutView="102" zoomScalePageLayoutView="0" workbookViewId="0" topLeftCell="A1">
      <selection activeCell="E37" sqref="E36:E37"/>
    </sheetView>
  </sheetViews>
  <sheetFormatPr defaultColWidth="8.796875" defaultRowHeight="15"/>
  <cols>
    <col min="1" max="1" width="20.796875" style="128" customWidth="1"/>
    <col min="2" max="2" width="9.796875" style="128" customWidth="1"/>
    <col min="3" max="3" width="5.796875" style="128" customWidth="1"/>
    <col min="4" max="6" width="15.796875" style="128" customWidth="1"/>
    <col min="7" max="16384" width="8.8984375" style="128" customWidth="1"/>
  </cols>
  <sheetData>
    <row r="1" spans="1:6" ht="12.75">
      <c r="A1" s="127"/>
      <c r="B1" s="127"/>
      <c r="C1" s="127"/>
      <c r="D1" s="127"/>
      <c r="E1" s="127"/>
      <c r="F1" s="127"/>
    </row>
    <row r="2" spans="1:6" ht="12.75">
      <c r="A2" s="568" t="s">
        <v>149</v>
      </c>
      <c r="B2" s="568"/>
      <c r="C2" s="568"/>
      <c r="D2" s="568"/>
      <c r="E2" s="568"/>
      <c r="F2" s="568"/>
    </row>
    <row r="3" spans="1:6" ht="15" customHeight="1">
      <c r="A3" s="129"/>
      <c r="B3" s="129"/>
      <c r="C3" s="129"/>
      <c r="D3" s="129"/>
      <c r="E3" s="129"/>
      <c r="F3" s="127">
        <f>inputPrYr!C4</f>
        <v>2014</v>
      </c>
    </row>
    <row r="4" spans="1:6" ht="15">
      <c r="A4" s="573" t="str">
        <f>CONCATENATE("To the Clerk of ",inputPrYr!C2,", State of Kansas")</f>
        <v>To the Clerk of MITCHELL COUNTY, State of Kansas</v>
      </c>
      <c r="B4" s="574"/>
      <c r="C4" s="574"/>
      <c r="D4" s="574"/>
      <c r="E4" s="574"/>
      <c r="F4" s="574"/>
    </row>
    <row r="5" spans="1:6" ht="15">
      <c r="A5" s="573" t="s">
        <v>5</v>
      </c>
      <c r="B5" s="575"/>
      <c r="C5" s="575"/>
      <c r="D5" s="575"/>
      <c r="E5" s="575"/>
      <c r="F5" s="575"/>
    </row>
    <row r="6" spans="1:6" ht="15">
      <c r="A6" s="571" t="str">
        <f>(inputPrYr!C2)</f>
        <v>MITCHELL COUNTY</v>
      </c>
      <c r="B6" s="572"/>
      <c r="C6" s="572"/>
      <c r="D6" s="572"/>
      <c r="E6" s="572"/>
      <c r="F6" s="572"/>
    </row>
    <row r="7" spans="1:6" ht="12.75">
      <c r="A7" s="130" t="s">
        <v>50</v>
      </c>
      <c r="B7" s="131"/>
      <c r="C7" s="131"/>
      <c r="D7" s="131"/>
      <c r="E7" s="131"/>
      <c r="F7" s="131"/>
    </row>
    <row r="8" spans="1:6" ht="12.75">
      <c r="A8" s="130" t="s">
        <v>51</v>
      </c>
      <c r="B8" s="131"/>
      <c r="C8" s="131"/>
      <c r="D8" s="131"/>
      <c r="E8" s="131"/>
      <c r="F8" s="131"/>
    </row>
    <row r="9" spans="1:6" ht="12.75">
      <c r="A9" s="130" t="str">
        <f>CONCATENATE("maximum expenditure for the various funds for the year ",F3,"; and")</f>
        <v>maximum expenditure for the various funds for the year 2014; and</v>
      </c>
      <c r="B9" s="131"/>
      <c r="C9" s="131"/>
      <c r="D9" s="131"/>
      <c r="E9" s="131"/>
      <c r="F9" s="131"/>
    </row>
    <row r="10" spans="1:6" ht="12.75">
      <c r="A10" s="130" t="str">
        <f>CONCATENATE("(3) the Amount(s) of ",F3-1," Ad Valorem Tax are within statutory limitations.")</f>
        <v>(3) the Amount(s) of 2013 Ad Valorem Tax are within statutory limitations.</v>
      </c>
      <c r="B10" s="131"/>
      <c r="C10" s="131"/>
      <c r="D10" s="131"/>
      <c r="E10" s="131"/>
      <c r="F10" s="131"/>
    </row>
    <row r="11" spans="1:6" ht="8.25" customHeight="1">
      <c r="A11" s="132"/>
      <c r="B11" s="129"/>
      <c r="C11" s="129"/>
      <c r="D11" s="133"/>
      <c r="E11" s="133"/>
      <c r="F11" s="133"/>
    </row>
    <row r="12" spans="1:6" ht="12.75">
      <c r="A12" s="129"/>
      <c r="B12" s="129"/>
      <c r="C12" s="129"/>
      <c r="D12" s="134" t="str">
        <f>CONCATENATE("",F3," Adopted Budget")</f>
        <v>2014 Adopted Budget</v>
      </c>
      <c r="E12" s="135"/>
      <c r="F12" s="136"/>
    </row>
    <row r="13" spans="1:6" ht="13.5" customHeight="1">
      <c r="A13" s="129"/>
      <c r="B13" s="129"/>
      <c r="C13" s="137" t="s">
        <v>52</v>
      </c>
      <c r="D13" s="387" t="s">
        <v>277</v>
      </c>
      <c r="E13" s="569" t="str">
        <f>CONCATENATE("Amount of ",F3-1,"               Ad Valorem Tax")</f>
        <v>Amount of 2013               Ad Valorem Tax</v>
      </c>
      <c r="F13" s="137" t="s">
        <v>53</v>
      </c>
    </row>
    <row r="14" spans="1:6" ht="12.75" customHeight="1">
      <c r="A14" s="138" t="s">
        <v>54</v>
      </c>
      <c r="B14" s="139"/>
      <c r="C14" s="140" t="s">
        <v>55</v>
      </c>
      <c r="D14" s="386" t="s">
        <v>278</v>
      </c>
      <c r="E14" s="570"/>
      <c r="F14" s="140" t="s">
        <v>57</v>
      </c>
    </row>
    <row r="15" spans="1:6" ht="12.75">
      <c r="A15" s="141" t="str">
        <f>CONCATENATE("Computation to Determine Limit for ",F3,"")</f>
        <v>Computation to Determine Limit for 2014</v>
      </c>
      <c r="B15" s="145"/>
      <c r="C15" s="140">
        <v>2</v>
      </c>
      <c r="D15" s="142"/>
      <c r="E15" s="142"/>
      <c r="F15" s="142"/>
    </row>
    <row r="16" spans="1:6" ht="12.75">
      <c r="A16" s="144" t="s">
        <v>320</v>
      </c>
      <c r="B16" s="145"/>
      <c r="C16" s="146">
        <v>3</v>
      </c>
      <c r="D16" s="142"/>
      <c r="E16" s="142"/>
      <c r="F16" s="142"/>
    </row>
    <row r="17" spans="1:6" ht="12.75">
      <c r="A17" s="470" t="s">
        <v>201</v>
      </c>
      <c r="B17" s="513"/>
      <c r="C17" s="146">
        <v>4</v>
      </c>
      <c r="D17" s="142"/>
      <c r="E17" s="142"/>
      <c r="F17" s="142"/>
    </row>
    <row r="18" spans="1:6" ht="12.75">
      <c r="A18" s="144" t="s">
        <v>58</v>
      </c>
      <c r="B18" s="145"/>
      <c r="C18" s="147">
        <v>5</v>
      </c>
      <c r="D18" s="148"/>
      <c r="E18" s="148"/>
      <c r="F18" s="148"/>
    </row>
    <row r="19" spans="1:6" ht="12.75">
      <c r="A19" s="144" t="s">
        <v>59</v>
      </c>
      <c r="B19" s="145"/>
      <c r="C19" s="149">
        <v>6</v>
      </c>
      <c r="D19" s="148"/>
      <c r="E19" s="148"/>
      <c r="F19" s="148"/>
    </row>
    <row r="20" spans="1:6" ht="12.75">
      <c r="A20" s="150" t="s">
        <v>60</v>
      </c>
      <c r="B20" s="151" t="s">
        <v>61</v>
      </c>
      <c r="C20" s="152"/>
      <c r="D20" s="153"/>
      <c r="E20" s="153"/>
      <c r="F20" s="153"/>
    </row>
    <row r="21" spans="1:6" ht="15.75">
      <c r="A21" s="141" t="str">
        <f>inputPrYr!B16</f>
        <v>General</v>
      </c>
      <c r="B21" s="154" t="str">
        <f>inputPrYr!C16</f>
        <v>79-1946</v>
      </c>
      <c r="C21" s="147">
        <v>7</v>
      </c>
      <c r="D21" s="517">
        <f>IF(general!$E$96&lt;&gt;0,general!$E$96,"  ")</f>
        <v>3866766</v>
      </c>
      <c r="E21" s="518">
        <f>IF(general!$E$103&lt;&gt;0,general!$E$103,0)</f>
        <v>2832595.79</v>
      </c>
      <c r="F21" s="519" t="str">
        <f>IF(AND(general!E103=0,$F$63&gt;=0)," ",IF(AND(E21&gt;0,$F$63=0)," ",IF(AND(E21&gt;0,$F$63&gt;0),ROUND(E21/$F$63*1000,3))))</f>
        <v> </v>
      </c>
    </row>
    <row r="22" spans="1:6" ht="15.75">
      <c r="A22" s="141" t="str">
        <f>inputPrYr!B17</f>
        <v>Debt Service</v>
      </c>
      <c r="B22" s="154" t="str">
        <f>inputPrYr!C17</f>
        <v>10-113</v>
      </c>
      <c r="C22" s="156">
        <f>IF(DebtService!C59&gt;0,DebtService!C59,"")</f>
        <v>8</v>
      </c>
      <c r="D22" s="517" t="str">
        <f>IF(DebtService!$E$50&lt;&gt;0,DebtService!$E$50,"  ")</f>
        <v>  </v>
      </c>
      <c r="E22" s="518">
        <f>IF(DebtService!$E$57&lt;&gt;0,DebtService!$E$57,0)</f>
        <v>0</v>
      </c>
      <c r="F22" s="519" t="str">
        <f>IF(AND(DebtService!E57=0,$F$63&gt;=0)," ",IF(AND(E22&gt;0,$F$63=0)," ",IF(AND(E22&gt;0,$F$63&gt;0),ROUND(E22/$F$63*1000,3))))</f>
        <v> </v>
      </c>
    </row>
    <row r="23" spans="1:6" ht="15.75">
      <c r="A23" s="141" t="str">
        <f>inputPrYr!B18</f>
        <v>Road &amp; Bridge</v>
      </c>
      <c r="B23" s="154" t="str">
        <f>inputPrYr!C18</f>
        <v>79-1946</v>
      </c>
      <c r="C23" s="147">
        <f>road!C50</f>
        <v>9</v>
      </c>
      <c r="D23" s="517">
        <f>IF(road!$E$41&lt;&gt;0,road!$E$41,"  ")</f>
        <v>2422475</v>
      </c>
      <c r="E23" s="518">
        <f>IF(road!$E$48&lt;&gt;0,road!$E$48,0)</f>
        <v>1766680.72</v>
      </c>
      <c r="F23" s="519" t="str">
        <f>IF(AND(road!E48=0,$F$63&gt;=0)," ",IF(AND(E23&gt;0,$F$63=0)," ",IF(AND(E23&gt;0,$F$63&gt;0),ROUND(E23/$F$63*1000,3))))</f>
        <v> </v>
      </c>
    </row>
    <row r="24" spans="1:6" ht="15.75">
      <c r="A24" s="155" t="str">
        <f>IF((inputPrYr!$B19&gt;"  "),(inputPrYr!$B19),"  ")</f>
        <v>Special bridge</v>
      </c>
      <c r="B24" s="154" t="str">
        <f>IF((inputPrYr!C19&gt;0),(inputPrYr!C19),"  ")</f>
        <v>68-1135</v>
      </c>
      <c r="C24" s="147">
        <f>IF('SpecBrdg-Fair'!C70&gt;0,'SpecBrdg-Fair'!C70,"  ")</f>
        <v>10</v>
      </c>
      <c r="D24" s="517">
        <f>IF('SpecBrdg-Fair'!$E$29&lt;&gt;0,'SpecBrdg-Fair'!$E$29,"  ")</f>
        <v>150000</v>
      </c>
      <c r="E24" s="518">
        <f>IF('SpecBrdg-Fair'!$E$36&lt;&gt;0,'SpecBrdg-Fair'!$E$36,0)</f>
        <v>67668</v>
      </c>
      <c r="F24" s="519" t="str">
        <f>IF(AND('SpecBrdg-Fair'!E36=0,$F$63&gt;=0)," ",IF(AND(E24&gt;0,$F$63=0)," ",IF(AND(E24&gt;0,$F$63&gt;0),ROUND(E24/$F$63*1000,3))))</f>
        <v> </v>
      </c>
    </row>
    <row r="25" spans="1:6" ht="15.75">
      <c r="A25" s="155" t="str">
        <f>IF((inputPrYr!$B20&gt;"  "),(inputPrYr!$B20),"  ")</f>
        <v>Fair Building</v>
      </c>
      <c r="B25" s="154" t="str">
        <f>IF((inputPrYr!C20&gt;0),(inputPrYr!C20),"  ")</f>
        <v>2-129</v>
      </c>
      <c r="C25" s="147">
        <f>IF('SpecBrdg-Fair'!C70&gt;0,'SpecBrdg-Fair'!C70,"  ")</f>
        <v>10</v>
      </c>
      <c r="D25" s="517">
        <f>IF('SpecBrdg-Fair'!$E$62&lt;&gt;0,'SpecBrdg-Fair'!$E$62,"  ")</f>
        <v>24000</v>
      </c>
      <c r="E25" s="518">
        <f>IF('SpecBrdg-Fair'!$E$69&lt;&gt;0,'SpecBrdg-Fair'!$E$69,0)</f>
        <v>22790</v>
      </c>
      <c r="F25" s="519" t="str">
        <f>IF(AND('SpecBrdg-Fair'!E69=0,$F$63&gt;=0)," ",IF(AND(E25&gt;0,$F$63=0)," ",IF(AND(E25&gt;0,$F$63&gt;0),ROUND(E25/$F$63*1000,3))))</f>
        <v> </v>
      </c>
    </row>
    <row r="26" spans="1:6" ht="15.75">
      <c r="A26" s="155" t="str">
        <f>IF((inputPrYr!$B21&gt;"  "),(inputPrYr!$B21),"  ")</f>
        <v>Conservation</v>
      </c>
      <c r="B26" s="154" t="str">
        <f>IF((inputPrYr!C21&gt;0),(inputPrYr!C21),"  ")</f>
        <v>2-1907b</v>
      </c>
      <c r="C26" s="147">
        <f>IF('Conserv-NW'!C73&gt;0,'Conserv-NW'!C73,"  ")</f>
        <v>11</v>
      </c>
      <c r="D26" s="517">
        <f>IF('Conserv-NW'!$E$27&lt;&gt;0,'Conserv-NW'!$E$27,"  ")</f>
        <v>21000</v>
      </c>
      <c r="E26" s="518">
        <f>IF('Conserv-NW'!$E$34&lt;&gt;0,'Conserv-NW'!$E$34,0)</f>
        <v>19835</v>
      </c>
      <c r="F26" s="519" t="str">
        <f>IF(AND('Conserv-NW'!E34=0,$F$63&gt;=0)," ",IF(AND(E26&gt;0,$F$63=0)," ",IF(AND(E26&gt;0,$F$63&gt;0),ROUND(E26/$F$63*1000,3))))</f>
        <v> </v>
      </c>
    </row>
    <row r="27" spans="1:6" ht="15.75">
      <c r="A27" s="155" t="str">
        <f>IF((inputPrYr!$B22&gt;"  "),(inputPrYr!$B22),"  ")</f>
        <v>Noxious Weed</v>
      </c>
      <c r="B27" s="154" t="str">
        <f>IF((inputPrYr!C22&gt;0),(inputPrYr!C22),"  ")</f>
        <v>2-1318</v>
      </c>
      <c r="C27" s="147">
        <f>IF('Conserv-NW'!C73&gt;0,'Conserv-NW'!C73,"  ")</f>
        <v>11</v>
      </c>
      <c r="D27" s="517">
        <f>IF('Conserv-NW'!$E$65&lt;&gt;0,'Conserv-NW'!$E$65,"  ")</f>
        <v>335168</v>
      </c>
      <c r="E27" s="518">
        <f>IF('Conserv-NW'!$E$72&lt;&gt;0,'Conserv-NW'!$E$72,0)</f>
        <v>106682</v>
      </c>
      <c r="F27" s="519" t="str">
        <f>IF(AND('Conserv-NW'!E72=0,$F$63&gt;=0)," ",IF(AND(E27&gt;0,$F$63=0)," ",IF(AND(E27&gt;0,$F$63&gt;0),ROUND(E27/$F$63*1000,3))))</f>
        <v> </v>
      </c>
    </row>
    <row r="28" spans="1:6" ht="15.75">
      <c r="A28" s="155" t="str">
        <f>IF((inputPrYr!$B23&gt;"  "),(inputPrYr!$B23),"  ")</f>
        <v>Ambulance</v>
      </c>
      <c r="B28" s="154" t="str">
        <f>IF((inputPrYr!C23&gt;0),(inputPrYr!C23),"  ")</f>
        <v>65-6113</v>
      </c>
      <c r="C28" s="147">
        <f>IF('Ambul-SerEldery'!C83&gt;0,'Ambul-SerEldery'!C83,"  ")</f>
        <v>12</v>
      </c>
      <c r="D28" s="517">
        <f>IF('Ambul-SerEldery'!$E$38&lt;&gt;0,'Ambul-SerEldery'!$E$38,"  ")</f>
        <v>1137538</v>
      </c>
      <c r="E28" s="518">
        <f>IF('Ambul-SerEldery'!$E$45&lt;&gt;0,'Ambul-SerEldery'!$E$45,0)</f>
        <v>680730</v>
      </c>
      <c r="F28" s="519" t="str">
        <f>IF(AND('Ambul-SerEldery'!E45=0,$F$63&gt;=0)," ",IF(AND(E28&gt;0,$F$63=0)," ",IF(AND(E28&gt;0,$F$63&gt;0),ROUND(E28/$F$63*1000,3))))</f>
        <v> </v>
      </c>
    </row>
    <row r="29" spans="1:6" ht="15.75">
      <c r="A29" s="155" t="str">
        <f>IF((inputPrYr!$B24&gt;"  "),(inputPrYr!$B24),"  ")</f>
        <v>Services for the Elderly</v>
      </c>
      <c r="B29" s="154" t="str">
        <f>IF((inputPrYr!C24&gt;0),(inputPrYr!C24),"  ")</f>
        <v>12-1680</v>
      </c>
      <c r="C29" s="147">
        <f>IF('Ambul-SerEldery'!C83&gt;0,'Ambul-SerEldery'!C83,"  ")</f>
        <v>12</v>
      </c>
      <c r="D29" s="517">
        <f>IF('Ambul-SerEldery'!$E$75&lt;&gt;0,'Ambul-SerEldery'!$E$75,"  ")</f>
        <v>105116</v>
      </c>
      <c r="E29" s="518">
        <f>IF('Ambul-SerEldery'!$E$82&lt;&gt;0,'Ambul-SerEldery'!$E$82,0)</f>
        <v>101727</v>
      </c>
      <c r="F29" s="519" t="str">
        <f>IF(AND('Ambul-SerEldery'!E82=0,$F$63&gt;=0)," ",IF(AND(E29&gt;0,$F$63=0)," ",IF(AND(E29&gt;0,$F$63&gt;0),ROUND(E29/$F$63*1000,3))))</f>
        <v> </v>
      </c>
    </row>
    <row r="30" spans="1:6" ht="15.75">
      <c r="A30" s="155" t="str">
        <f>IF((inputPrYr!$B25&gt;"  "),(inputPrYr!$B25),"  ")</f>
        <v>Hospital Maintenance</v>
      </c>
      <c r="B30" s="154" t="str">
        <f>IF((inputPrYr!C25&gt;0),(inputPrYr!C25),"  ")</f>
        <v>19-4606</v>
      </c>
      <c r="C30" s="147">
        <f>IF('HospMaint-CoHealth'!C73&gt;0,'HospMaint-CoHealth'!C73,"  ")</f>
        <v>13</v>
      </c>
      <c r="D30" s="517">
        <f>IF('HospMaint-CoHealth'!$E$27&lt;&gt;0,'HospMaint-CoHealth'!$E$27,"  ")</f>
        <v>142569</v>
      </c>
      <c r="E30" s="518">
        <f>IF('HospMaint-CoHealth'!$E$34&lt;&gt;0,'HospMaint-CoHealth'!$E$34,0)</f>
        <v>135631</v>
      </c>
      <c r="F30" s="519" t="str">
        <f>IF(AND('HospMaint-CoHealth'!E34=0,$F$63&gt;=0)," ",IF(AND(E30&gt;0,$F$63=0)," ",IF(AND(E30&gt;0,$F$63&gt;0),ROUND(E30/$F$63*1000,3))))</f>
        <v> </v>
      </c>
    </row>
    <row r="31" spans="1:6" ht="15.75">
      <c r="A31" s="155" t="str">
        <f>IF((inputPrYr!$B26&gt;"  "),(inputPrYr!$B26),"  ")</f>
        <v>County Health</v>
      </c>
      <c r="B31" s="154" t="str">
        <f>IF((inputPrYr!C26&gt;0),(inputPrYr!C26),"  ")</f>
        <v>65-204</v>
      </c>
      <c r="C31" s="147">
        <f>IF('HospMaint-CoHealth'!C73&gt;0,'HospMaint-CoHealth'!C73,"  ")</f>
        <v>13</v>
      </c>
      <c r="D31" s="517">
        <f>IF('HospMaint-CoHealth'!$E$65&lt;&gt;0,'HospMaint-CoHealth'!$E$65,"  ")</f>
        <v>885035</v>
      </c>
      <c r="E31" s="518">
        <f>IF('HospMaint-CoHealth'!$E$72&lt;&gt;0,'HospMaint-CoHealth'!$E$72,0)</f>
        <v>364061</v>
      </c>
      <c r="F31" s="519" t="str">
        <f>IF(AND('HospMaint-CoHealth'!E72=0,$F$63&gt;=0)," ",IF(AND(E31&gt;0,$F$63=0)," ",IF(AND(E31&gt;0,$F$63&gt;0),ROUND(E31/$F$63*1000,3))))</f>
        <v> </v>
      </c>
    </row>
    <row r="32" spans="1:6" ht="15.75">
      <c r="A32" s="155" t="str">
        <f>IF((inputPrYr!$B27&gt;"  "),(inputPrYr!$B27),"  ")</f>
        <v>Mental Health</v>
      </c>
      <c r="B32" s="154" t="str">
        <f>IF((inputPrYr!C27&gt;0),(inputPrYr!C27),"  ")</f>
        <v>19-4004</v>
      </c>
      <c r="C32" s="147">
        <f>IF('MentHlth-MentRetard'!C68&gt;0,'MentHlth-MentRetard'!C68,"  ")</f>
        <v>14</v>
      </c>
      <c r="D32" s="517">
        <f>IF('MentHlth-MentRetard'!$E$27&lt;&gt;0,'MentHlth-MentRetard'!$E$27,"  ")</f>
        <v>46335</v>
      </c>
      <c r="E32" s="518">
        <f>IF('MentHlth-MentRetard'!$E$34&lt;&gt;0,'MentHlth-MentRetard'!$E$34,0)</f>
        <v>44404</v>
      </c>
      <c r="F32" s="519" t="str">
        <f>IF(AND('MentHlth-MentRetard'!E34=0,$F$63&gt;=0)," ",IF(AND(E32&gt;0,$F$63=0)," ",IF(AND(E32&gt;0,$F$63&gt;0),ROUND(E32/$F$63*1000,3))))</f>
        <v> </v>
      </c>
    </row>
    <row r="33" spans="1:6" ht="15.75">
      <c r="A33" s="155" t="str">
        <f>IF((inputPrYr!$B28&gt;"  "),(inputPrYr!$B28),"  ")</f>
        <v>Mental Retardation</v>
      </c>
      <c r="B33" s="154" t="str">
        <f>IF((inputPrYr!C28&gt;0),(inputPrYr!C28),"  ")</f>
        <v>19-4004</v>
      </c>
      <c r="C33" s="147">
        <f>IF('MentHlth-MentRetard'!C68&gt;0,'MentHlth-MentRetard'!C68,"  ")</f>
        <v>14</v>
      </c>
      <c r="D33" s="517">
        <f>IF('MentHlth-MentRetard'!$E$60&lt;&gt;0,'MentHlth-MentRetard'!$E$60,"  ")</f>
        <v>48535</v>
      </c>
      <c r="E33" s="518">
        <f>IF('MentHlth-MentRetard'!$E$67&lt;&gt;0,'MentHlth-MentRetard'!$E$67,0)</f>
        <v>46427</v>
      </c>
      <c r="F33" s="519" t="str">
        <f>IF(AND('MentHlth-MentRetard'!E67=0,$F$63&gt;=0)," ",IF(AND(E33&gt;0,$F$63=0)," ",IF(AND(E33&gt;0,$F$63&gt;0),ROUND(E33/$F$63*1000,3))))</f>
        <v> </v>
      </c>
    </row>
    <row r="34" spans="1:6" ht="15.75">
      <c r="A34" s="155" t="str">
        <f>IF((inputPrYr!$B29&gt;"  "),(inputPrYr!$B29),"  ")</f>
        <v>Election Expense</v>
      </c>
      <c r="B34" s="154" t="str">
        <f>IF((inputPrYr!C29&gt;0),(inputPrYr!C29),"  ")</f>
        <v>25-2201a</v>
      </c>
      <c r="C34" s="147">
        <f>IF('Elect-HistMus'!C74&gt;0,'Elect-HistMus'!C74,"  ")</f>
        <v>15</v>
      </c>
      <c r="D34" s="517">
        <f>IF('Elect-HistMus'!$E$32&lt;&gt;0,'Elect-HistMus'!$E$32,"  ")</f>
        <v>40500</v>
      </c>
      <c r="E34" s="518">
        <f>IF('Elect-HistMus'!$E$39&lt;&gt;0,'Elect-HistMus'!$E$39,0)</f>
        <v>27494</v>
      </c>
      <c r="F34" s="519" t="str">
        <f>IF(AND('Elect-HistMus'!E39=0,$F$63&gt;=0)," ",IF(AND(E34&gt;0,$F$63=0)," ",IF(AND(E34&gt;0,$F$63&gt;0),ROUND(E34/$F$63*1000,3))))</f>
        <v> </v>
      </c>
    </row>
    <row r="35" spans="1:6" ht="15.75">
      <c r="A35" s="155" t="str">
        <f>IF((inputPrYr!$B30&gt;"  "),(inputPrYr!$B30),"  ")</f>
        <v>Historical Museum</v>
      </c>
      <c r="B35" s="154" t="str">
        <f>IF((inputPrYr!C30&gt;0),(inputPrYr!C30),"  ")</f>
        <v>19-2651</v>
      </c>
      <c r="C35" s="147">
        <f>IF('Elect-HistMus'!C74&gt;0,'Elect-HistMus'!C74,"  ")</f>
        <v>15</v>
      </c>
      <c r="D35" s="517">
        <f>IF('Elect-HistMus'!$E$66&lt;&gt;0,'Elect-HistMus'!$E$66,"  ")</f>
        <v>55100</v>
      </c>
      <c r="E35" s="518">
        <f>IF('Elect-HistMus'!$E$73&lt;&gt;0,'Elect-HistMus'!$E$73,0)</f>
        <v>52997</v>
      </c>
      <c r="F35" s="519" t="str">
        <f>IF(AND('Elect-HistMus'!E73=0,$F$63&gt;=0)," ",IF(AND(E35&gt;0,$F$63=0)," ",IF(AND(E35&gt;0,$F$63&gt;0),ROUND(E35/$F$63*1000,3))))</f>
        <v> </v>
      </c>
    </row>
    <row r="36" spans="1:6" ht="15.75">
      <c r="A36" s="155" t="str">
        <f>IF((inputPrYr!$B31&gt;"  "),(inputPrYr!$B31),"  ")</f>
        <v>Employee Benefits</v>
      </c>
      <c r="B36" s="154" t="str">
        <f>IF((inputPrYr!C31&gt;0),(inputPrYr!C31),"  ")</f>
        <v>12-16,102</v>
      </c>
      <c r="C36" s="147">
        <f>IF('EmployBen-SpecReap'!C75&gt;0,'EmployBen-SpecReap'!C75,"  ")</f>
        <v>16</v>
      </c>
      <c r="D36" s="517">
        <f>IF('EmployBen-SpecReap'!$E$29&lt;&gt;0,'EmployBen-SpecReap'!$E$29,"  ")</f>
        <v>77524</v>
      </c>
      <c r="E36" s="518">
        <f>IF('EmployBen-SpecReap'!$E$36&lt;&gt;0,'EmployBen-SpecReap'!$E$36,0)</f>
        <v>0</v>
      </c>
      <c r="F36" s="519" t="str">
        <f>IF(AND('EmployBen-SpecReap'!E36=0,$F$63&gt;=0)," ",IF(AND(E36&gt;0,$F$63=0)," ",IF(AND(E36&gt;0,$F$63&gt;0),ROUND(E36/$F$63*1000,3))))</f>
        <v> </v>
      </c>
    </row>
    <row r="37" spans="1:6" ht="15.75">
      <c r="A37" s="155" t="str">
        <f>IF((inputPrYr!$B32&gt;"  "),(inputPrYr!$B32),"  ")</f>
        <v>Special Reappraisal</v>
      </c>
      <c r="B37" s="154" t="str">
        <f>IF((inputPrYr!C32&gt;0),(inputPrYr!C32),"  ")</f>
        <v>79-1482</v>
      </c>
      <c r="C37" s="147">
        <f>IF('EmployBen-SpecReap'!C75&gt;0,'EmployBen-SpecReap'!C75,"  ")</f>
        <v>16</v>
      </c>
      <c r="D37" s="517">
        <f>IF('EmployBen-SpecReap'!$E$67&lt;&gt;0,'EmployBen-SpecReap'!$E$67,"  ")</f>
        <v>321000</v>
      </c>
      <c r="E37" s="518">
        <f>IF('EmployBen-SpecReap'!$E$74&lt;&gt;0,'EmployBen-SpecReap'!$E$74,0)</f>
        <v>275777</v>
      </c>
      <c r="F37" s="519" t="str">
        <f>IF(AND('EmployBen-SpecReap'!E74=0,$F$63&gt;=0)," ",IF(AND(E37&gt;0,$F$63=0)," ",IF(AND(E37&gt;0,$F$63&gt;0),ROUND(E37/$F$63*1000,3))))</f>
        <v> </v>
      </c>
    </row>
    <row r="38" spans="1:6" ht="15.75">
      <c r="A38" s="155" t="str">
        <f>IF((inputPrYr!$B33&gt;"  "),(inputPrYr!$B33),"  ")</f>
        <v>  </v>
      </c>
      <c r="B38" s="154" t="str">
        <f>IF((inputPrYr!C33&gt;0),(inputPrYr!C33),"  ")</f>
        <v>  </v>
      </c>
      <c r="C38" s="147"/>
      <c r="D38" s="517"/>
      <c r="E38" s="518"/>
      <c r="F38" s="519"/>
    </row>
    <row r="39" spans="1:6" ht="15.75">
      <c r="A39" s="155" t="str">
        <f>IF((inputPrYr!$B34&gt;"  "),(inputPrYr!$B34),"  ")</f>
        <v>  </v>
      </c>
      <c r="B39" s="154" t="str">
        <f>IF((inputPrYr!C34&gt;0),(inputPrYr!C34),"  ")</f>
        <v>  </v>
      </c>
      <c r="C39" s="147"/>
      <c r="D39" s="517"/>
      <c r="E39" s="518"/>
      <c r="F39" s="519"/>
    </row>
    <row r="40" spans="1:6" ht="12.75">
      <c r="A40" s="155" t="str">
        <f>IF((inputPrYr!$B37&gt;"  "),(inputPrYr!$B37),"  ")</f>
        <v>Noxious Weed C.O.</v>
      </c>
      <c r="B40" s="157"/>
      <c r="C40" s="147">
        <f>IF('NWC.O.-AmbulSpecEq.'!C66&gt;0,'NWC.O.-AmbulSpecEq.'!C66,"  ")</f>
        <v>17</v>
      </c>
      <c r="D40" s="517">
        <f>IF('NWC.O.-AmbulSpecEq.'!$E$29&lt;&gt;0,'NWC.O.-AmbulSpecEq.'!$E$29,"  ")</f>
        <v>87541</v>
      </c>
      <c r="E40" s="520"/>
      <c r="F40" s="520"/>
    </row>
    <row r="41" spans="1:6" ht="12.75">
      <c r="A41" s="155" t="str">
        <f>IF((inputPrYr!$B38&gt;"  "),(inputPrYr!$B38),"  ")</f>
        <v>Ambulance Spec. Equip.</v>
      </c>
      <c r="B41" s="157"/>
      <c r="C41" s="147">
        <f>IF('NWC.O.-AmbulSpecEq.'!C66&gt;0,'NWC.O.-AmbulSpecEq.'!C66,"  ")</f>
        <v>17</v>
      </c>
      <c r="D41" s="517">
        <f>IF('NWC.O.-AmbulSpecEq.'!$E$60&lt;&gt;0,'NWC.O.-AmbulSpecEq.'!$E$60,"  ")</f>
        <v>174978</v>
      </c>
      <c r="E41" s="520"/>
      <c r="F41" s="520"/>
    </row>
    <row r="42" spans="1:6" ht="12.75">
      <c r="A42" s="155" t="str">
        <f>IF((inputPrYr!$B39&gt;"  "),(inputPrYr!$B39),"  ")</f>
        <v>County Health C.O.</v>
      </c>
      <c r="B42" s="157"/>
      <c r="C42" s="147">
        <f>IF('CoHC.O.-SpecReappEq.'!C66&gt;0,'CoHC.O.-SpecReappEq.'!C66,"  ")</f>
        <v>18</v>
      </c>
      <c r="D42" s="517">
        <f>IF('CoHC.O.-SpecReappEq.'!$E$29&lt;&gt;0,'CoHC.O.-SpecReappEq.'!$E$29,"  ")</f>
        <v>56231</v>
      </c>
      <c r="E42" s="520"/>
      <c r="F42" s="520"/>
    </row>
    <row r="43" spans="1:6" ht="12.75">
      <c r="A43" s="155" t="str">
        <f>IF((inputPrYr!$B40&gt;"  "),(inputPrYr!$B40),"  ")</f>
        <v>Spec. Reappraisal Equip.</v>
      </c>
      <c r="B43" s="157"/>
      <c r="C43" s="147">
        <f>IF('CoHC.O.-SpecReappEq.'!C66&gt;0,'CoHC.O.-SpecReappEq.'!C66,"  ")</f>
        <v>18</v>
      </c>
      <c r="D43" s="517">
        <f>IF('CoHC.O.-SpecReappEq.'!$E$60&lt;&gt;0,'CoHC.O.-SpecReappEq.'!$E$60,"  ")</f>
        <v>29168</v>
      </c>
      <c r="E43" s="520"/>
      <c r="F43" s="520"/>
    </row>
    <row r="44" spans="1:6" ht="12.75">
      <c r="A44" s="155" t="str">
        <f>IF((inputPrYr!$B41&gt;"  "),(inputPrYr!$B41),"  ")</f>
        <v>Alcohol Treatment</v>
      </c>
      <c r="B44" s="157"/>
      <c r="C44" s="147">
        <f>IF('Alchol-911'!C66&gt;0,'Alchol-911'!C66,"  ")</f>
        <v>19</v>
      </c>
      <c r="D44" s="517">
        <f>IF('Alchol-911'!$E$29&lt;&gt;0,'Alchol-911'!$E$29,"  ")</f>
        <v>15828</v>
      </c>
      <c r="E44" s="520"/>
      <c r="F44" s="520"/>
    </row>
    <row r="45" spans="1:6" ht="12.75">
      <c r="A45" s="155" t="str">
        <f>IF((inputPrYr!$B42&gt;"  "),(inputPrYr!$B42),"  ")</f>
        <v>911 Fund</v>
      </c>
      <c r="B45" s="157"/>
      <c r="C45" s="147">
        <f>IF('Alchol-911'!C66&gt;0,'Alchol-911'!C66,"  ")</f>
        <v>19</v>
      </c>
      <c r="D45" s="517" t="str">
        <f>IF('Alchol-911'!$E$60&lt;&gt;0,'Alchol-911'!$E$60,"  ")</f>
        <v>  </v>
      </c>
      <c r="E45" s="520"/>
      <c r="F45" s="520"/>
    </row>
    <row r="46" spans="1:6" ht="12.75">
      <c r="A46" s="155" t="str">
        <f>IF((inputPrYr!$B43&gt;"  "),(inputPrYr!$B43),"  ")</f>
        <v>Emergency 911</v>
      </c>
      <c r="B46" s="157"/>
      <c r="C46" s="147">
        <f>IF('Emerg911-Mitch911'!C66&gt;0,'Emerg911-Mitch911'!C66,"  ")</f>
        <v>20</v>
      </c>
      <c r="D46" s="517">
        <f>IF('Emerg911-Mitch911'!$E$29&lt;&gt;0,'Emerg911-Mitch911'!$E$29,"  ")</f>
        <v>57058</v>
      </c>
      <c r="E46" s="520"/>
      <c r="F46" s="520"/>
    </row>
    <row r="47" spans="1:6" ht="12.75">
      <c r="A47" s="155" t="str">
        <f>IF((inputPrYr!$B44&gt;"  "),(inputPrYr!$B44),"  ")</f>
        <v>Mitchell- 911</v>
      </c>
      <c r="B47" s="157"/>
      <c r="C47" s="147">
        <f>IF('Emerg911-Mitch911'!C66&gt;0,'Emerg911-Mitch911'!C66,"  ")</f>
        <v>20</v>
      </c>
      <c r="D47" s="517">
        <f>IF('Emerg911-Mitch911'!$E$60&lt;&gt;0,'Emerg911-Mitch911'!$E$60,"  ")</f>
        <v>78270</v>
      </c>
      <c r="E47" s="520"/>
      <c r="F47" s="520"/>
    </row>
    <row r="48" spans="1:6" ht="12.75">
      <c r="A48" s="155" t="str">
        <f>IF((inputPrYr!$B45&gt;"  "),(inputPrYr!$B45),"  ")</f>
        <v>Courthouse Technology</v>
      </c>
      <c r="B48" s="157"/>
      <c r="C48" s="147">
        <f>IF('CrtHouseTech-RegDTech'!C66&gt;0,'CrtHouseTech-RegDTech'!C66,"  ")</f>
        <v>21</v>
      </c>
      <c r="D48" s="517">
        <f>IF('CrtHouseTech-RegDTech'!$E$29&lt;&gt;0,'CrtHouseTech-RegDTech'!$E$29,"  ")</f>
        <v>27086</v>
      </c>
      <c r="E48" s="520"/>
      <c r="F48" s="520"/>
    </row>
    <row r="49" spans="1:6" ht="12.75">
      <c r="A49" s="155" t="str">
        <f>IF((inputPrYr!$B46&gt;"  "),(inputPrYr!$B46),"  ")</f>
        <v>Reg. of Deeds Technology</v>
      </c>
      <c r="B49" s="157"/>
      <c r="C49" s="147">
        <f>IF('CrtHouseTech-RegDTech'!C66&gt;0,'CrtHouseTech-RegDTech'!C66,"  ")</f>
        <v>21</v>
      </c>
      <c r="D49" s="517">
        <f>IF('CrtHouseTech-RegDTech'!$E$60&lt;&gt;0,'CrtHouseTech-RegDTech'!$E$60,"  ")</f>
        <v>30281</v>
      </c>
      <c r="E49" s="520"/>
      <c r="F49" s="520"/>
    </row>
    <row r="50" spans="1:6" ht="12.75">
      <c r="A50" s="155" t="str">
        <f>IF((inputPrYr!$B47&gt;"  "),(inputPrYr!$B47),"  ")</f>
        <v>Courthouse Renovation</v>
      </c>
      <c r="B50" s="157"/>
      <c r="C50" s="147">
        <f>IF('CrthouseRenov-ElectTech'!C56&gt;0,'CrthouseRenov-ElectTech'!C56,"  ")</f>
        <v>22</v>
      </c>
      <c r="D50" s="517">
        <f>IF('CrthouseRenov-ElectTech'!$E$24&lt;&gt;0,'CrthouseRenov-ElectTech'!$E$24,"  ")</f>
        <v>54883</v>
      </c>
      <c r="E50" s="520"/>
      <c r="F50" s="520"/>
    </row>
    <row r="51" spans="1:6" ht="12.75">
      <c r="A51" s="155" t="str">
        <f>IF((inputPrYr!$B48&gt;"  "),(inputPrYr!$B48),"  ")</f>
        <v>Election Technology</v>
      </c>
      <c r="B51" s="157"/>
      <c r="C51" s="147">
        <f>IF('CrthouseRenov-ElectTech'!C56&gt;0,'CrthouseRenov-ElectTech'!C56,"  ")</f>
        <v>22</v>
      </c>
      <c r="D51" s="517">
        <f>IF('CrthouseRenov-ElectTech'!$E$50&lt;&gt;0,'CrthouseRenov-ElectTech'!$E$50,"  ")</f>
        <v>26352</v>
      </c>
      <c r="E51" s="521"/>
      <c r="F51" s="521"/>
    </row>
    <row r="52" spans="1:6" ht="12.75">
      <c r="A52" s="155" t="str">
        <f>IF((inputPrYr!$B49&gt;"  "),(inputPrYr!$B49),"  ")</f>
        <v>Solid Waste</v>
      </c>
      <c r="B52" s="157"/>
      <c r="C52" s="147">
        <f>IF(SolidW!C58&gt;0,SolidW!C58,"  ")</f>
        <v>23</v>
      </c>
      <c r="D52" s="517">
        <f>IF(SolidW!$E$27&lt;&gt;0,SolidW!$E$27,"  ")</f>
        <v>553000</v>
      </c>
      <c r="E52" s="521"/>
      <c r="F52" s="521"/>
    </row>
    <row r="53" spans="1:6" ht="12.75">
      <c r="A53" s="155"/>
      <c r="B53" s="157"/>
      <c r="C53" s="147">
        <f>IF(SolidW!C58&gt;0,SolidW!C58,"  ")</f>
        <v>23</v>
      </c>
      <c r="D53" s="517" t="str">
        <f>IF(SolidW!$E$52&lt;&gt;0,SolidW!$E$52,"  ")</f>
        <v>  </v>
      </c>
      <c r="E53" s="521"/>
      <c r="F53" s="521"/>
    </row>
    <row r="54" spans="1:6" ht="12.75">
      <c r="A54" s="155"/>
      <c r="B54" s="157"/>
      <c r="C54" s="147"/>
      <c r="D54" s="517"/>
      <c r="E54" s="521"/>
      <c r="F54" s="521"/>
    </row>
    <row r="55" spans="1:6" ht="12.75">
      <c r="A55" s="155" t="str">
        <f>IF((inputPrYr!$B50&gt;"  "),(inputPrYr!$B50),"  ")</f>
        <v>  </v>
      </c>
      <c r="B55" s="152"/>
      <c r="C55" s="147"/>
      <c r="D55" s="517"/>
      <c r="E55" s="521"/>
      <c r="F55" s="521"/>
    </row>
    <row r="56" spans="1:6" ht="12.75">
      <c r="A56" s="155" t="str">
        <f>inputPrYr!A53</f>
        <v>Non-Budgeted Funds-A</v>
      </c>
      <c r="B56" s="152"/>
      <c r="C56" s="147">
        <f>IF(nonbudA!$F$33&gt;0,nonbudA!$F$33,"  ")</f>
        <v>24</v>
      </c>
      <c r="D56" s="517"/>
      <c r="E56" s="521"/>
      <c r="F56" s="521"/>
    </row>
    <row r="57" spans="1:6" ht="12.75">
      <c r="A57" s="155" t="str">
        <f>IF((inputPrYr!$B60&gt;"  "),(nonbudB!$A3),"  ")</f>
        <v>Non-Budgeted Funds-B</v>
      </c>
      <c r="B57" s="152"/>
      <c r="C57" s="147">
        <f>IF(nonbudB!$F$33&gt;0,nonbudB!$F$33,"  ")</f>
        <v>25</v>
      </c>
      <c r="D57" s="517"/>
      <c r="E57" s="521"/>
      <c r="F57" s="521"/>
    </row>
    <row r="58" spans="1:6" ht="12.75">
      <c r="A58" s="155" t="str">
        <f>IF((inputPrYr!$B66&gt;"  "),(#REF!),"  ")</f>
        <v>  </v>
      </c>
      <c r="B58" s="152"/>
      <c r="C58" s="147"/>
      <c r="D58" s="517"/>
      <c r="E58" s="521"/>
      <c r="F58" s="521"/>
    </row>
    <row r="59" spans="1:6" ht="12.75">
      <c r="A59" s="155" t="str">
        <f>IF((inputPrYr!$B72&gt;"  "),(#REF!),"  ")</f>
        <v>  </v>
      </c>
      <c r="B59" s="152"/>
      <c r="C59" s="147"/>
      <c r="D59" s="517"/>
      <c r="E59" s="521"/>
      <c r="F59" s="521"/>
    </row>
    <row r="60" spans="1:6" ht="14.25" customHeight="1" thickBot="1">
      <c r="A60" s="159" t="s">
        <v>73</v>
      </c>
      <c r="B60" s="158"/>
      <c r="C60" s="147" t="s">
        <v>27</v>
      </c>
      <c r="D60" s="522">
        <f>SUM(D21:D59)</f>
        <v>10869337</v>
      </c>
      <c r="E60" s="522">
        <f>SUM(E21:E39)</f>
        <v>6545499.51</v>
      </c>
      <c r="F60" s="523">
        <f>IF(SUM(F21:F39)=0,"",SUM(F21:F39))</f>
      </c>
    </row>
    <row r="61" spans="1:6" ht="14.25" customHeight="1" thickTop="1">
      <c r="A61" s="160" t="s">
        <v>26</v>
      </c>
      <c r="B61" s="161"/>
      <c r="C61" s="147">
        <f>summ!E70</f>
        <v>26</v>
      </c>
      <c r="D61" s="162"/>
      <c r="E61" s="162"/>
      <c r="F61" s="143"/>
    </row>
    <row r="62" spans="1:6" ht="12.75">
      <c r="A62" s="144"/>
      <c r="B62" s="145"/>
      <c r="C62" s="147"/>
      <c r="D62" s="163"/>
      <c r="E62" s="129"/>
      <c r="F62" s="379" t="s">
        <v>230</v>
      </c>
    </row>
    <row r="63" spans="1:6" ht="15.75">
      <c r="A63" s="576"/>
      <c r="B63" s="577"/>
      <c r="C63" s="156"/>
      <c r="D63" s="164" t="s">
        <v>29</v>
      </c>
      <c r="E63" s="165" t="str">
        <f>IF(E60&gt;computation!J35,"Yes","No")</f>
        <v>Yes</v>
      </c>
      <c r="F63" s="166"/>
    </row>
    <row r="64" spans="1:6" ht="14.25" customHeight="1">
      <c r="A64" s="144" t="s">
        <v>28</v>
      </c>
      <c r="B64" s="167"/>
      <c r="C64" s="156">
        <f>IF(Resolution!E55&gt;0,Resolution!E55,"")</f>
        <v>27</v>
      </c>
      <c r="D64" s="163"/>
      <c r="E64" s="143"/>
      <c r="F64" s="579" t="str">
        <f>CONCATENATE("Nov 1, ",F3-1," Total Assessed Valuation")</f>
        <v>Nov 1, 2013 Total Assessed Valuation</v>
      </c>
    </row>
    <row r="65" spans="1:6" ht="12.75">
      <c r="A65" s="127" t="s">
        <v>63</v>
      </c>
      <c r="B65" s="129"/>
      <c r="C65" s="132"/>
      <c r="D65" s="129"/>
      <c r="E65" s="129"/>
      <c r="F65" s="580"/>
    </row>
    <row r="66" spans="1:6" ht="12.75">
      <c r="A66" s="169" t="s">
        <v>456</v>
      </c>
      <c r="B66" s="129"/>
      <c r="C66" s="129"/>
      <c r="D66" s="129"/>
      <c r="E66" s="347"/>
      <c r="F66" s="347"/>
    </row>
    <row r="67" spans="1:6" ht="12.75">
      <c r="A67" s="170" t="s">
        <v>457</v>
      </c>
      <c r="B67" s="168"/>
      <c r="C67" s="143"/>
      <c r="D67" s="143"/>
      <c r="E67" s="526"/>
      <c r="F67" s="526"/>
    </row>
    <row r="68" spans="1:6" ht="12.75">
      <c r="A68" s="346" t="s">
        <v>231</v>
      </c>
      <c r="B68" s="168"/>
      <c r="C68" s="143"/>
      <c r="D68" s="143"/>
      <c r="E68" s="526"/>
      <c r="F68" s="526"/>
    </row>
    <row r="69" spans="1:6" ht="12.75">
      <c r="A69" s="169" t="s">
        <v>458</v>
      </c>
      <c r="B69" s="129"/>
      <c r="C69" s="143" t="s">
        <v>322</v>
      </c>
      <c r="D69" s="143"/>
      <c r="E69" s="525"/>
      <c r="F69" s="525"/>
    </row>
    <row r="70" spans="1:6" ht="12.75">
      <c r="A70" s="170" t="s">
        <v>459</v>
      </c>
      <c r="B70" s="171"/>
      <c r="C70" s="143"/>
      <c r="D70" s="143"/>
      <c r="E70" s="526"/>
      <c r="F70" s="527"/>
    </row>
    <row r="71" spans="1:6" ht="12.75">
      <c r="A71" s="346" t="s">
        <v>321</v>
      </c>
      <c r="B71" s="129"/>
      <c r="C71" s="143" t="s">
        <v>322</v>
      </c>
      <c r="D71" s="143"/>
      <c r="E71" s="525"/>
      <c r="F71" s="526"/>
    </row>
    <row r="72" spans="1:6" ht="15.75">
      <c r="A72" s="547" t="s">
        <v>460</v>
      </c>
      <c r="B72" s="129"/>
      <c r="C72" s="143"/>
      <c r="D72" s="143"/>
      <c r="E72" s="525"/>
      <c r="F72" s="526"/>
    </row>
    <row r="73" spans="1:6" ht="12.75">
      <c r="A73" s="346"/>
      <c r="B73" s="129"/>
      <c r="C73" s="143" t="s">
        <v>322</v>
      </c>
      <c r="D73" s="143"/>
      <c r="E73" s="525"/>
      <c r="F73" s="526"/>
    </row>
    <row r="74" spans="1:6" ht="12.75">
      <c r="A74" s="378" t="s">
        <v>6</v>
      </c>
      <c r="B74" s="172">
        <f>F3-1</f>
        <v>2013</v>
      </c>
      <c r="C74" s="143"/>
      <c r="D74" s="143"/>
      <c r="E74" s="528"/>
      <c r="F74" s="143"/>
    </row>
    <row r="75" spans="1:6" ht="12.75">
      <c r="A75" s="377"/>
      <c r="B75" s="129"/>
      <c r="C75" s="143" t="s">
        <v>322</v>
      </c>
      <c r="D75" s="143"/>
      <c r="E75" s="143"/>
      <c r="F75" s="143"/>
    </row>
    <row r="76" spans="1:6" ht="15">
      <c r="A76" s="380" t="s">
        <v>65</v>
      </c>
      <c r="B76" s="129"/>
      <c r="C76" s="578" t="s">
        <v>64</v>
      </c>
      <c r="D76" s="575"/>
      <c r="E76" s="575"/>
      <c r="F76" s="575"/>
    </row>
    <row r="77" spans="1:6" ht="12.75">
      <c r="A77" s="567"/>
      <c r="B77" s="567"/>
      <c r="C77" s="567"/>
      <c r="D77" s="567"/>
      <c r="E77" s="567"/>
      <c r="F77" s="567"/>
    </row>
    <row r="78" spans="3:6" ht="12.75">
      <c r="C78" s="173"/>
      <c r="E78" s="173"/>
      <c r="F78" s="173"/>
    </row>
  </sheetData>
  <sheetProtection/>
  <mergeCells count="9">
    <mergeCell ref="A77:F77"/>
    <mergeCell ref="A2:F2"/>
    <mergeCell ref="E13:E14"/>
    <mergeCell ref="A6:F6"/>
    <mergeCell ref="A4:F4"/>
    <mergeCell ref="A5:F5"/>
    <mergeCell ref="A63:B63"/>
    <mergeCell ref="C76:F76"/>
    <mergeCell ref="F64:F65"/>
  </mergeCells>
  <hyperlinks>
    <hyperlink ref="A72" r:id="rId1" display="budget1@lvpf-cpa.com"/>
  </hyperlinks>
  <printOptions/>
  <pageMargins left="0.5" right="0.5" top="0" bottom="0.23" header="0" footer="0"/>
  <pageSetup blackAndWhite="1" fitToHeight="1" fitToWidth="1" horizontalDpi="120" verticalDpi="120" orientation="portrait" scale="69" r:id="rId2"/>
  <headerFooter alignWithMargins="0">
    <oddHeader>&amp;RState of Kansas
County
</oddHeader>
    <oddFooter>&amp;CPage No. 1</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38"/>
  <sheetViews>
    <sheetView view="pageBreakPreview" zoomScale="102" zoomScaleNormal="85" zoomScaleSheetLayoutView="102" zoomScalePageLayoutView="0" workbookViewId="0" topLeftCell="A5">
      <selection activeCell="J2" sqref="J2"/>
    </sheetView>
  </sheetViews>
  <sheetFormatPr defaultColWidth="8.796875" defaultRowHeight="15.75" customHeight="1"/>
  <cols>
    <col min="1" max="2" width="3.296875" style="48" customWidth="1"/>
    <col min="3" max="3" width="31.296875" style="48" customWidth="1"/>
    <col min="4" max="4" width="2.296875" style="48" customWidth="1"/>
    <col min="5" max="5" width="15.796875" style="48" customWidth="1"/>
    <col min="6" max="6" width="2" style="48" customWidth="1"/>
    <col min="7" max="7" width="15.796875" style="48" customWidth="1"/>
    <col min="8" max="8" width="1.8984375" style="48" customWidth="1"/>
    <col min="9" max="9" width="1.796875" style="48" customWidth="1"/>
    <col min="10" max="10" width="15.796875" style="48" customWidth="1"/>
    <col min="11" max="16384" width="8.8984375" style="48" customWidth="1"/>
  </cols>
  <sheetData>
    <row r="1" spans="1:10" ht="15.75" customHeight="1">
      <c r="A1" s="51"/>
      <c r="B1" s="51"/>
      <c r="C1" s="182" t="str">
        <f>inputPrYr!C2</f>
        <v>MITCHELL COUNTY</v>
      </c>
      <c r="D1" s="51"/>
      <c r="E1" s="51"/>
      <c r="F1" s="51"/>
      <c r="G1" s="51"/>
      <c r="H1" s="51"/>
      <c r="I1" s="51"/>
      <c r="J1" s="51">
        <f>inputPrYr!C4</f>
        <v>2014</v>
      </c>
    </row>
    <row r="2" spans="1:10" ht="15.75" customHeight="1">
      <c r="A2" s="51"/>
      <c r="B2" s="51"/>
      <c r="C2" s="51"/>
      <c r="D2" s="51"/>
      <c r="E2" s="51"/>
      <c r="F2" s="51"/>
      <c r="G2" s="51"/>
      <c r="H2" s="51"/>
      <c r="I2" s="51"/>
      <c r="J2" s="51"/>
    </row>
    <row r="3" spans="1:10" ht="15.75">
      <c r="A3" s="554" t="str">
        <f>CONCATENATE("Computation to Determine Limit for ",J1,"")</f>
        <v>Computation to Determine Limit for 2014</v>
      </c>
      <c r="B3" s="582"/>
      <c r="C3" s="582"/>
      <c r="D3" s="582"/>
      <c r="E3" s="582"/>
      <c r="F3" s="582"/>
      <c r="G3" s="582"/>
      <c r="H3" s="582"/>
      <c r="I3" s="582"/>
      <c r="J3" s="582"/>
    </row>
    <row r="4" spans="1:10" ht="15.75">
      <c r="A4" s="51"/>
      <c r="B4" s="51"/>
      <c r="C4" s="51"/>
      <c r="D4" s="51"/>
      <c r="E4" s="582"/>
      <c r="F4" s="582"/>
      <c r="G4" s="582"/>
      <c r="H4" s="183"/>
      <c r="I4" s="51"/>
      <c r="J4" s="184" t="s">
        <v>161</v>
      </c>
    </row>
    <row r="5" spans="1:10" ht="15.75">
      <c r="A5" s="185" t="s">
        <v>162</v>
      </c>
      <c r="B5" s="51" t="str">
        <f>CONCATENATE("Total Tax Levy Amount in ",J1-1," Budget")</f>
        <v>Total Tax Levy Amount in 2013 Budget</v>
      </c>
      <c r="C5" s="51"/>
      <c r="D5" s="51"/>
      <c r="E5" s="111"/>
      <c r="F5" s="111"/>
      <c r="G5" s="111"/>
      <c r="H5" s="186" t="s">
        <v>163</v>
      </c>
      <c r="I5" s="111" t="s">
        <v>164</v>
      </c>
      <c r="J5" s="187">
        <f>inputPrYr!E35</f>
        <v>5648634</v>
      </c>
    </row>
    <row r="6" spans="1:10" ht="15.75">
      <c r="A6" s="185" t="s">
        <v>165</v>
      </c>
      <c r="B6" s="51" t="str">
        <f>CONCATENATE("Debt Service Levy in ",J1-1," Budget")</f>
        <v>Debt Service Levy in 2013 Budget</v>
      </c>
      <c r="C6" s="51"/>
      <c r="D6" s="51"/>
      <c r="E6" s="111"/>
      <c r="F6" s="111"/>
      <c r="G6" s="111"/>
      <c r="H6" s="186" t="s">
        <v>166</v>
      </c>
      <c r="I6" s="111" t="s">
        <v>164</v>
      </c>
      <c r="J6" s="117">
        <f>inputPrYr!E17</f>
        <v>0</v>
      </c>
    </row>
    <row r="7" spans="1:10" ht="15.75">
      <c r="A7" s="185" t="s">
        <v>167</v>
      </c>
      <c r="B7" s="118" t="s">
        <v>186</v>
      </c>
      <c r="C7" s="51"/>
      <c r="D7" s="51"/>
      <c r="E7" s="111"/>
      <c r="F7" s="111"/>
      <c r="G7" s="111"/>
      <c r="H7" s="111"/>
      <c r="I7" s="111" t="s">
        <v>164</v>
      </c>
      <c r="J7" s="117">
        <f>J5-J6</f>
        <v>5648634</v>
      </c>
    </row>
    <row r="8" spans="1:10" ht="15.75">
      <c r="A8" s="51"/>
      <c r="B8" s="51"/>
      <c r="C8" s="51"/>
      <c r="D8" s="51"/>
      <c r="E8" s="111"/>
      <c r="F8" s="111"/>
      <c r="G8" s="111"/>
      <c r="H8" s="111"/>
      <c r="I8" s="111"/>
      <c r="J8" s="111"/>
    </row>
    <row r="9" spans="1:10" ht="15.75">
      <c r="A9" s="51"/>
      <c r="B9" s="118" t="str">
        <f>CONCATENATE("",J1-1," Valuation Information for Valuation Adjustments:")</f>
        <v>2013 Valuation Information for Valuation Adjustments:</v>
      </c>
      <c r="C9" s="51"/>
      <c r="D9" s="51"/>
      <c r="E9" s="111"/>
      <c r="F9" s="111"/>
      <c r="G9" s="111"/>
      <c r="H9" s="111"/>
      <c r="I9" s="111"/>
      <c r="J9" s="111"/>
    </row>
    <row r="10" spans="1:10" ht="15.75">
      <c r="A10" s="51"/>
      <c r="B10" s="51"/>
      <c r="C10" s="118"/>
      <c r="D10" s="51"/>
      <c r="E10" s="111"/>
      <c r="F10" s="111"/>
      <c r="G10" s="111"/>
      <c r="H10" s="111"/>
      <c r="I10" s="111"/>
      <c r="J10" s="111"/>
    </row>
    <row r="11" spans="1:10" ht="15.75">
      <c r="A11" s="185" t="s">
        <v>168</v>
      </c>
      <c r="B11" s="118" t="str">
        <f>CONCATENATE("New Improvements for ",J1-1,":")</f>
        <v>New Improvements for 2013:</v>
      </c>
      <c r="C11" s="51"/>
      <c r="D11" s="51"/>
      <c r="E11" s="186"/>
      <c r="F11" s="186" t="s">
        <v>163</v>
      </c>
      <c r="G11" s="187">
        <f>inputOth!E7</f>
        <v>2137220</v>
      </c>
      <c r="H11" s="89"/>
      <c r="I11" s="111"/>
      <c r="J11" s="111"/>
    </row>
    <row r="12" spans="1:10" ht="15.75">
      <c r="A12" s="185"/>
      <c r="B12" s="185"/>
      <c r="C12" s="51"/>
      <c r="D12" s="51"/>
      <c r="E12" s="186"/>
      <c r="F12" s="186"/>
      <c r="G12" s="89"/>
      <c r="H12" s="89"/>
      <c r="I12" s="111"/>
      <c r="J12" s="111"/>
    </row>
    <row r="13" spans="1:10" ht="15.75">
      <c r="A13" s="185" t="s">
        <v>169</v>
      </c>
      <c r="B13" s="118" t="str">
        <f>CONCATENATE("Increase in Personal Property for ",J1-1,":")</f>
        <v>Increase in Personal Property for 2013:</v>
      </c>
      <c r="C13" s="51"/>
      <c r="D13" s="51"/>
      <c r="E13" s="186"/>
      <c r="F13" s="186"/>
      <c r="G13" s="89"/>
      <c r="H13" s="89"/>
      <c r="I13" s="111"/>
      <c r="J13" s="111"/>
    </row>
    <row r="14" spans="1:10" ht="15.75">
      <c r="A14" s="51"/>
      <c r="B14" s="51" t="s">
        <v>170</v>
      </c>
      <c r="C14" s="51" t="str">
        <f>CONCATENATE("Personal Property ",J1-1,"")</f>
        <v>Personal Property 2013</v>
      </c>
      <c r="D14" s="185" t="s">
        <v>163</v>
      </c>
      <c r="E14" s="187">
        <f>inputOth!E8</f>
        <v>3036426</v>
      </c>
      <c r="F14" s="186"/>
      <c r="G14" s="111"/>
      <c r="H14" s="111"/>
      <c r="I14" s="89"/>
      <c r="J14" s="111"/>
    </row>
    <row r="15" spans="1:10" ht="15.75">
      <c r="A15" s="185"/>
      <c r="B15" s="51" t="s">
        <v>171</v>
      </c>
      <c r="C15" s="51" t="str">
        <f>CONCATENATE("Personal Property ",J1-2,"")</f>
        <v>Personal Property 2012</v>
      </c>
      <c r="D15" s="185" t="s">
        <v>166</v>
      </c>
      <c r="E15" s="117">
        <f>inputOth!E10</f>
        <v>3136486</v>
      </c>
      <c r="F15" s="186"/>
      <c r="G15" s="89"/>
      <c r="H15" s="89"/>
      <c r="I15" s="111"/>
      <c r="J15" s="111"/>
    </row>
    <row r="16" spans="1:10" ht="15.75">
      <c r="A16" s="185"/>
      <c r="B16" s="51" t="s">
        <v>172</v>
      </c>
      <c r="C16" s="51" t="s">
        <v>188</v>
      </c>
      <c r="D16" s="51"/>
      <c r="E16" s="111"/>
      <c r="F16" s="111" t="s">
        <v>163</v>
      </c>
      <c r="G16" s="187">
        <f>IF(E14&gt;E15,E14-E15,0)</f>
        <v>0</v>
      </c>
      <c r="H16" s="89"/>
      <c r="I16" s="111"/>
      <c r="J16" s="111"/>
    </row>
    <row r="17" spans="1:10" ht="15.75">
      <c r="A17" s="185"/>
      <c r="B17" s="185"/>
      <c r="C17" s="51"/>
      <c r="D17" s="51"/>
      <c r="E17" s="111"/>
      <c r="F17" s="111"/>
      <c r="G17" s="89" t="s">
        <v>178</v>
      </c>
      <c r="H17" s="89"/>
      <c r="I17" s="111"/>
      <c r="J17" s="111"/>
    </row>
    <row r="18" spans="1:10" ht="15.75">
      <c r="A18" s="185"/>
      <c r="B18" s="185"/>
      <c r="C18" s="51"/>
      <c r="D18" s="185"/>
      <c r="E18" s="89"/>
      <c r="F18" s="111"/>
      <c r="G18" s="89"/>
      <c r="H18" s="89"/>
      <c r="I18" s="111"/>
      <c r="J18" s="111"/>
    </row>
    <row r="19" spans="1:10" ht="15.75">
      <c r="A19" s="185" t="s">
        <v>173</v>
      </c>
      <c r="B19" s="118" t="str">
        <f>CONCATENATE("Valuation of Property that has Changed in Use during ",J1-1,":")</f>
        <v>Valuation of Property that has Changed in Use during 2013:</v>
      </c>
      <c r="C19" s="51"/>
      <c r="D19" s="51"/>
      <c r="E19" s="111"/>
      <c r="F19" s="111"/>
      <c r="G19" s="111">
        <f>inputOth!E9</f>
        <v>199446</v>
      </c>
      <c r="H19" s="111"/>
      <c r="I19" s="111"/>
      <c r="J19" s="111"/>
    </row>
    <row r="20" spans="1:10" ht="15.75">
      <c r="A20" s="185"/>
      <c r="B20" s="51"/>
      <c r="C20" s="51"/>
      <c r="D20" s="185"/>
      <c r="E20" s="89"/>
      <c r="F20" s="111"/>
      <c r="G20" s="188"/>
      <c r="H20" s="89"/>
      <c r="I20" s="111"/>
      <c r="J20" s="111"/>
    </row>
    <row r="21" spans="1:10" ht="15.75">
      <c r="A21" s="185" t="s">
        <v>182</v>
      </c>
      <c r="B21" s="118" t="s">
        <v>187</v>
      </c>
      <c r="C21" s="51"/>
      <c r="D21" s="51"/>
      <c r="E21" s="111"/>
      <c r="F21" s="111"/>
      <c r="G21" s="187">
        <f>G11+G16+G19</f>
        <v>2336666</v>
      </c>
      <c r="H21" s="89"/>
      <c r="I21" s="111"/>
      <c r="J21" s="111"/>
    </row>
    <row r="22" spans="1:10" ht="15.75">
      <c r="A22" s="185"/>
      <c r="B22" s="185"/>
      <c r="C22" s="118"/>
      <c r="D22" s="51"/>
      <c r="E22" s="111"/>
      <c r="F22" s="111"/>
      <c r="G22" s="89"/>
      <c r="H22" s="89"/>
      <c r="I22" s="111"/>
      <c r="J22" s="111"/>
    </row>
    <row r="23" spans="1:10" ht="15.75">
      <c r="A23" s="185" t="s">
        <v>183</v>
      </c>
      <c r="B23" s="51" t="str">
        <f>CONCATENATE("Total Estimated Valuation July 1,",J1-1,"")</f>
        <v>Total Estimated Valuation July 1,2013</v>
      </c>
      <c r="C23" s="51"/>
      <c r="D23" s="51"/>
      <c r="E23" s="187">
        <f>inputOth!E6</f>
        <v>67815680</v>
      </c>
      <c r="F23" s="111"/>
      <c r="G23" s="111"/>
      <c r="H23" s="111"/>
      <c r="I23" s="186"/>
      <c r="J23" s="111"/>
    </row>
    <row r="24" spans="1:10" ht="15.75">
      <c r="A24" s="185"/>
      <c r="B24" s="185"/>
      <c r="C24" s="51"/>
      <c r="D24" s="51"/>
      <c r="E24" s="89"/>
      <c r="F24" s="111"/>
      <c r="G24" s="111"/>
      <c r="H24" s="111"/>
      <c r="I24" s="186"/>
      <c r="J24" s="111"/>
    </row>
    <row r="25" spans="1:10" ht="15.75">
      <c r="A25" s="185" t="s">
        <v>174</v>
      </c>
      <c r="B25" s="118" t="s">
        <v>191</v>
      </c>
      <c r="C25" s="51"/>
      <c r="D25" s="51"/>
      <c r="E25" s="111"/>
      <c r="F25" s="111"/>
      <c r="G25" s="187">
        <f>E23-G21</f>
        <v>65479014</v>
      </c>
      <c r="H25" s="89"/>
      <c r="I25" s="186"/>
      <c r="J25" s="111"/>
    </row>
    <row r="26" spans="1:10" ht="15.75">
      <c r="A26" s="185"/>
      <c r="B26" s="185"/>
      <c r="C26" s="118"/>
      <c r="D26" s="51"/>
      <c r="E26" s="51"/>
      <c r="F26" s="51"/>
      <c r="G26" s="189"/>
      <c r="H26" s="54"/>
      <c r="I26" s="185"/>
      <c r="J26" s="51"/>
    </row>
    <row r="27" spans="1:10" ht="15.75">
      <c r="A27" s="185" t="s">
        <v>175</v>
      </c>
      <c r="B27" s="51" t="s">
        <v>190</v>
      </c>
      <c r="C27" s="51"/>
      <c r="D27" s="51"/>
      <c r="E27" s="51"/>
      <c r="F27" s="51"/>
      <c r="G27" s="190">
        <f>IF(G21&gt;0,G21/G25,0)</f>
        <v>0.03568572367323674</v>
      </c>
      <c r="H27" s="54"/>
      <c r="I27" s="51"/>
      <c r="J27" s="51"/>
    </row>
    <row r="28" spans="1:10" ht="15.75">
      <c r="A28" s="185"/>
      <c r="B28" s="185"/>
      <c r="C28" s="51"/>
      <c r="D28" s="51"/>
      <c r="E28" s="51"/>
      <c r="F28" s="51"/>
      <c r="G28" s="54"/>
      <c r="H28" s="54"/>
      <c r="I28" s="51"/>
      <c r="J28" s="51"/>
    </row>
    <row r="29" spans="1:10" ht="15.75">
      <c r="A29" s="185" t="s">
        <v>176</v>
      </c>
      <c r="B29" s="51" t="s">
        <v>189</v>
      </c>
      <c r="C29" s="51"/>
      <c r="D29" s="51"/>
      <c r="E29" s="51"/>
      <c r="F29" s="51"/>
      <c r="G29" s="54"/>
      <c r="H29" s="191" t="s">
        <v>163</v>
      </c>
      <c r="I29" s="51" t="s">
        <v>164</v>
      </c>
      <c r="J29" s="187">
        <f>ROUND(G27*J7,0)</f>
        <v>201576</v>
      </c>
    </row>
    <row r="30" spans="1:10" ht="15.75">
      <c r="A30" s="185"/>
      <c r="B30" s="185"/>
      <c r="C30" s="51"/>
      <c r="D30" s="51"/>
      <c r="E30" s="51"/>
      <c r="F30" s="51"/>
      <c r="G30" s="54"/>
      <c r="H30" s="191"/>
      <c r="I30" s="51"/>
      <c r="J30" s="89"/>
    </row>
    <row r="31" spans="1:10" ht="16.5" thickBot="1">
      <c r="A31" s="185" t="s">
        <v>177</v>
      </c>
      <c r="B31" s="118" t="s">
        <v>195</v>
      </c>
      <c r="C31" s="51"/>
      <c r="D31" s="51"/>
      <c r="E31" s="51"/>
      <c r="F31" s="51"/>
      <c r="G31" s="51"/>
      <c r="H31" s="51"/>
      <c r="I31" s="51" t="s">
        <v>164</v>
      </c>
      <c r="J31" s="192">
        <f>J7+J29</f>
        <v>5850210</v>
      </c>
    </row>
    <row r="32" spans="1:10" ht="16.5" thickTop="1">
      <c r="A32" s="51"/>
      <c r="B32" s="51"/>
      <c r="C32" s="51"/>
      <c r="D32" s="51"/>
      <c r="E32" s="51"/>
      <c r="F32" s="51"/>
      <c r="G32" s="51"/>
      <c r="H32" s="51"/>
      <c r="I32" s="51"/>
      <c r="J32" s="51"/>
    </row>
    <row r="33" spans="1:10" ht="15.75">
      <c r="A33" s="185" t="s">
        <v>193</v>
      </c>
      <c r="B33" s="118" t="str">
        <f>CONCATENATE("Debt Service Levy in this ",J1," Budget")</f>
        <v>Debt Service Levy in this 2014 Budget</v>
      </c>
      <c r="C33" s="51"/>
      <c r="D33" s="51"/>
      <c r="E33" s="51"/>
      <c r="F33" s="51"/>
      <c r="G33" s="51"/>
      <c r="H33" s="51"/>
      <c r="I33" s="51"/>
      <c r="J33" s="187">
        <f>DebtService!E57</f>
        <v>0</v>
      </c>
    </row>
    <row r="34" spans="1:10" ht="15.75">
      <c r="A34" s="185"/>
      <c r="B34" s="118"/>
      <c r="C34" s="51"/>
      <c r="D34" s="51"/>
      <c r="E34" s="51"/>
      <c r="F34" s="51"/>
      <c r="G34" s="51"/>
      <c r="H34" s="51"/>
      <c r="I34" s="51"/>
      <c r="J34" s="54"/>
    </row>
    <row r="35" spans="1:10" ht="16.5" thickBot="1">
      <c r="A35" s="185" t="s">
        <v>194</v>
      </c>
      <c r="B35" s="118" t="s">
        <v>196</v>
      </c>
      <c r="C35" s="51"/>
      <c r="D35" s="51"/>
      <c r="E35" s="51"/>
      <c r="F35" s="51"/>
      <c r="G35" s="51"/>
      <c r="H35" s="51"/>
      <c r="I35" s="51"/>
      <c r="J35" s="192">
        <f>J31+J33</f>
        <v>5850210</v>
      </c>
    </row>
    <row r="36" spans="1:10" ht="16.5" thickTop="1">
      <c r="A36" s="51"/>
      <c r="B36" s="51"/>
      <c r="C36" s="51"/>
      <c r="D36" s="51"/>
      <c r="E36" s="51"/>
      <c r="F36" s="51"/>
      <c r="G36" s="51"/>
      <c r="H36" s="51"/>
      <c r="I36" s="51"/>
      <c r="J36" s="51"/>
    </row>
    <row r="37" spans="1:10" s="193" customFormat="1" ht="18.75">
      <c r="A37" s="581" t="str">
        <f>CONCATENATE("If the ",J1," budget includes tax levies exceeding the total on line 14, you must")</f>
        <v>If the 2014 budget includes tax levies exceeding the total on line 14, you must</v>
      </c>
      <c r="B37" s="581"/>
      <c r="C37" s="581"/>
      <c r="D37" s="581"/>
      <c r="E37" s="581"/>
      <c r="F37" s="581"/>
      <c r="G37" s="581"/>
      <c r="H37" s="581"/>
      <c r="I37" s="581"/>
      <c r="J37" s="581"/>
    </row>
    <row r="38" spans="1:10" s="193" customFormat="1" ht="18.75">
      <c r="A38" s="581" t="s">
        <v>192</v>
      </c>
      <c r="B38" s="581"/>
      <c r="C38" s="581"/>
      <c r="D38" s="581"/>
      <c r="E38" s="581"/>
      <c r="F38" s="581"/>
      <c r="G38" s="581"/>
      <c r="H38" s="581"/>
      <c r="I38" s="581"/>
      <c r="J38" s="581"/>
    </row>
  </sheetData>
  <sheetProtection sheet="1"/>
  <mergeCells count="4">
    <mergeCell ref="A37:J37"/>
    <mergeCell ref="A38:J38"/>
    <mergeCell ref="A3:J3"/>
    <mergeCell ref="E4:G4"/>
  </mergeCells>
  <printOptions/>
  <pageMargins left="0.5" right="0.5" top="0.72" bottom="0.23" header="0.5" footer="0"/>
  <pageSetup blackAndWhite="1" fitToHeight="1" fitToWidth="1" horizontalDpi="600" verticalDpi="600" orientation="portrait" scale="80" r:id="rId1"/>
  <headerFooter alignWithMargins="0">
    <oddHeader>&amp;RState of Kansas
County
</oddHeader>
    <oddFooter>&amp;CPage No. 2</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47"/>
  <sheetViews>
    <sheetView view="pageBreakPreview" zoomScale="98" zoomScaleSheetLayoutView="98" zoomScalePageLayoutView="0" workbookViewId="0" topLeftCell="A12">
      <selection activeCell="B25" sqref="B25:G30"/>
    </sheetView>
  </sheetViews>
  <sheetFormatPr defaultColWidth="8.796875" defaultRowHeight="15"/>
  <cols>
    <col min="1" max="1" width="6.8984375" style="2" customWidth="1"/>
    <col min="2" max="2" width="18.796875" style="2" customWidth="1"/>
    <col min="3" max="3" width="12.796875" style="2" customWidth="1"/>
    <col min="4" max="4" width="0.203125" style="2" customWidth="1"/>
    <col min="5" max="9" width="11.796875" style="2" customWidth="1"/>
    <col min="10" max="16384" width="8.8984375" style="2" customWidth="1"/>
  </cols>
  <sheetData>
    <row r="1" spans="1:9" ht="15.75">
      <c r="A1" s="46"/>
      <c r="B1" s="12" t="str">
        <f>inputPrYr!C2</f>
        <v>MITCHELL COUNTY</v>
      </c>
      <c r="C1" s="7"/>
      <c r="D1" s="7"/>
      <c r="E1" s="7"/>
      <c r="F1" s="7"/>
      <c r="G1" s="6"/>
      <c r="H1" s="6"/>
      <c r="I1" s="43">
        <f>inputPrYr!C4</f>
        <v>2014</v>
      </c>
    </row>
    <row r="2" spans="1:9" ht="15.75">
      <c r="A2" s="46"/>
      <c r="B2" s="7"/>
      <c r="C2" s="7"/>
      <c r="D2" s="7"/>
      <c r="E2" s="7"/>
      <c r="F2" s="7"/>
      <c r="G2" s="6"/>
      <c r="H2" s="6"/>
      <c r="I2" s="13"/>
    </row>
    <row r="3" spans="1:9" ht="15.75">
      <c r="A3" s="46"/>
      <c r="B3" s="589" t="s">
        <v>313</v>
      </c>
      <c r="C3" s="589"/>
      <c r="D3" s="589"/>
      <c r="E3" s="589"/>
      <c r="F3" s="589"/>
      <c r="G3" s="589"/>
      <c r="H3" s="44"/>
      <c r="I3" s="45"/>
    </row>
    <row r="4" spans="1:9" ht="15.75">
      <c r="A4" s="46"/>
      <c r="B4" s="9"/>
      <c r="C4" s="10"/>
      <c r="D4" s="10"/>
      <c r="E4" s="10"/>
      <c r="F4" s="10"/>
      <c r="G4" s="7"/>
      <c r="H4" s="7"/>
      <c r="I4" s="13"/>
    </row>
    <row r="5" spans="1:9" ht="21.75" customHeight="1">
      <c r="A5" s="46"/>
      <c r="B5" s="454" t="s">
        <v>314</v>
      </c>
      <c r="C5" s="583" t="str">
        <f>CONCATENATE("Budget Tax Levy Amount for ",I1-2,"")</f>
        <v>Budget Tax Levy Amount for 2012</v>
      </c>
      <c r="D5" s="584" t="str">
        <f>CONCATENATE("Budget Tax Levy Rate for ",I1-1,"")</f>
        <v>Budget Tax Levy Rate for 2013</v>
      </c>
      <c r="E5" s="586" t="str">
        <f>CONCATENATE("Allocation for Year ",I1,"")</f>
        <v>Allocation for Year 2014</v>
      </c>
      <c r="F5" s="587"/>
      <c r="G5" s="588"/>
      <c r="H5" s="45"/>
      <c r="I5" s="45"/>
    </row>
    <row r="6" spans="1:9" ht="15.75">
      <c r="A6" s="46"/>
      <c r="B6" s="5" t="str">
        <f>CONCATENATE("for ",I1-1,"")</f>
        <v>for 2013</v>
      </c>
      <c r="C6" s="561"/>
      <c r="D6" s="585"/>
      <c r="E6" s="179" t="s">
        <v>72</v>
      </c>
      <c r="F6" s="179" t="s">
        <v>158</v>
      </c>
      <c r="G6" s="156" t="s">
        <v>185</v>
      </c>
      <c r="H6" s="40"/>
      <c r="I6" s="45"/>
    </row>
    <row r="7" spans="1:9" ht="15.75">
      <c r="A7" s="46"/>
      <c r="B7" s="11" t="str">
        <f>(inputPrYr!B16)</f>
        <v>General</v>
      </c>
      <c r="C7" s="156">
        <f>(inputPrYr!E16)</f>
        <v>2369147</v>
      </c>
      <c r="D7" s="457">
        <f>IF(inputPrYr!F16&gt;0,(inputPrYr!F16),"  ")</f>
        <v>37.585</v>
      </c>
      <c r="E7" s="156">
        <f>IF(inputPrYr!E16&gt;0,E34-SUM(E8:E31),0)</f>
        <v>298746</v>
      </c>
      <c r="F7" s="156">
        <f>IF(inputPrYr!E16=0,0,F36-SUM(F8:F31))</f>
        <v>4140</v>
      </c>
      <c r="G7" s="156">
        <f>IF(inputPrYr!E16=0,0,G38-SUM(G8:G31))</f>
        <v>33953</v>
      </c>
      <c r="H7" s="40"/>
      <c r="I7" s="45"/>
    </row>
    <row r="8" spans="1:9" ht="15.75">
      <c r="A8" s="46"/>
      <c r="B8" s="11" t="str">
        <f>(inputPrYr!B17)</f>
        <v>Debt Service</v>
      </c>
      <c r="C8" s="156" t="str">
        <f>IF(inputPrYr!E17&gt;0,inputPrYr!E17," ")</f>
        <v> </v>
      </c>
      <c r="D8" s="457" t="str">
        <f>IF(inputPrYr!F17&gt;0,(inputPrYr!F17),"  ")</f>
        <v>  </v>
      </c>
      <c r="E8" s="156" t="str">
        <f>IF(inputPrYr!$E$17&gt;0,ROUND(+C8*E$41,0)," ")</f>
        <v> </v>
      </c>
      <c r="F8" s="156" t="str">
        <f>IF(inputPrYr!$E$17&gt;0,ROUND(+C8*F$43,0)," ")</f>
        <v> </v>
      </c>
      <c r="G8" s="156" t="str">
        <f>IF(inputPrYr!$E$17&gt;0,ROUND(+C8*G$45,0)," ")</f>
        <v> </v>
      </c>
      <c r="H8" s="40"/>
      <c r="I8" s="45"/>
    </row>
    <row r="9" spans="1:9" ht="15.75">
      <c r="A9" s="46"/>
      <c r="B9" s="11" t="str">
        <f>(inputPrYr!B18)</f>
        <v>Road &amp; Bridge</v>
      </c>
      <c r="C9" s="156">
        <f>IF(inputPrYr!E18&gt;0,inputPrYr!E18," ")</f>
        <v>1470996</v>
      </c>
      <c r="D9" s="457">
        <f>IF(inputPrYr!F18&gt;0,(inputPrYr!F18),"  ")</f>
        <v>23.336</v>
      </c>
      <c r="E9" s="156">
        <f>IF(inputPrYr!$E$18&gt;0,ROUND(+C9*E$41,0)," ")</f>
        <v>185491</v>
      </c>
      <c r="F9" s="156">
        <f>IF(inputPrYr!$E$18&gt;0,ROUND(+C9*F$43,0)," ")</f>
        <v>2571</v>
      </c>
      <c r="G9" s="156">
        <f>IF(inputPrYr!$E$18&gt;0,ROUND(+C9*G$45,0)," ")</f>
        <v>21082</v>
      </c>
      <c r="H9" s="40"/>
      <c r="I9" s="45"/>
    </row>
    <row r="10" spans="1:9" ht="15.75">
      <c r="A10" s="46"/>
      <c r="B10" s="11" t="str">
        <f>IF((inputPrYr!$B19&gt;" "),(inputPrYr!$B19),"  ")</f>
        <v>Special bridge</v>
      </c>
      <c r="C10" s="156">
        <f>IF(inputPrYr!E19&gt;0,inputPrYr!E19,"  ")</f>
        <v>65286</v>
      </c>
      <c r="D10" s="457">
        <f>IF(inputPrYr!F19&gt;0,(inputPrYr!F19),"  ")</f>
        <v>1.036</v>
      </c>
      <c r="E10" s="156">
        <f>IF(inputPrYr!$E$19&gt;0,ROUND(+C10*E$41,0)," ")</f>
        <v>8233</v>
      </c>
      <c r="F10" s="156">
        <f>IF(inputPrYr!$E$19&gt;0,ROUND(+C10*F$43,0)," ")</f>
        <v>114</v>
      </c>
      <c r="G10" s="156">
        <f>IF(inputPrYr!$E$19&gt;0,ROUND(+C10*G$45,0)," ")</f>
        <v>936</v>
      </c>
      <c r="H10" s="40"/>
      <c r="I10" s="45"/>
    </row>
    <row r="11" spans="1:9" ht="15.75">
      <c r="A11" s="46"/>
      <c r="B11" s="11" t="str">
        <f>IF((inputPrYr!$B20&gt;" "),(inputPrYr!$B20),"  ")</f>
        <v>Fair Building</v>
      </c>
      <c r="C11" s="156">
        <f>IF(inputPrYr!E20&gt;0,inputPrYr!E20,"  ")</f>
        <v>21087</v>
      </c>
      <c r="D11" s="457">
        <f>IF(inputPrYr!F20&gt;0,(inputPrYr!F20),"  ")</f>
        <v>0.335</v>
      </c>
      <c r="E11" s="156">
        <f>IF(inputPrYr!E20&gt;0,ROUND(+C11*E$41,0),"  ")</f>
        <v>2659</v>
      </c>
      <c r="F11" s="156">
        <f>IF(inputPrYr!E20&gt;0,ROUND(+C11*F$43,0),"  ")</f>
        <v>37</v>
      </c>
      <c r="G11" s="156">
        <f>IF(inputPrYr!E20&gt;0,ROUND(+C11*G$45,0),"  ")</f>
        <v>302</v>
      </c>
      <c r="H11" s="40"/>
      <c r="I11" s="45"/>
    </row>
    <row r="12" spans="1:9" ht="15.75">
      <c r="A12" s="46"/>
      <c r="B12" s="11" t="str">
        <f>IF((inputPrYr!$B21&gt;" "),(inputPrYr!$B21),"  ")</f>
        <v>Conservation</v>
      </c>
      <c r="C12" s="156">
        <f>IF(inputPrYr!E21&gt;0,inputPrYr!E21,"  ")</f>
        <v>18485</v>
      </c>
      <c r="D12" s="457">
        <f>IF(inputPrYr!F21&gt;0,(inputPrYr!F21),"  ")</f>
        <v>0.294</v>
      </c>
      <c r="E12" s="156">
        <f>IF(inputPrYr!E21&gt;0,ROUND(+C12*E$41,0),"  ")</f>
        <v>2331</v>
      </c>
      <c r="F12" s="156">
        <f>IF(inputPrYr!E21&gt;0,ROUND(+C12*F$43,0),"  ")</f>
        <v>32</v>
      </c>
      <c r="G12" s="156">
        <f>IF(inputPrYr!E21&gt;0,ROUND(+C12*G$45,0),"  ")</f>
        <v>265</v>
      </c>
      <c r="H12" s="40"/>
      <c r="I12" s="45"/>
    </row>
    <row r="13" spans="1:9" ht="15.75">
      <c r="A13" s="46"/>
      <c r="B13" s="11" t="str">
        <f>IF((inputPrYr!$B22&gt;" "),(inputPrYr!$B22),"  ")</f>
        <v>Noxious Weed</v>
      </c>
      <c r="C13" s="156">
        <f>IF(inputPrYr!E22&gt;0,inputPrYr!E22,"  ")</f>
        <v>80774</v>
      </c>
      <c r="D13" s="457">
        <f>IF(inputPrYr!F22&gt;0,(inputPrYr!F22),"  ")</f>
        <v>1.282</v>
      </c>
      <c r="E13" s="156">
        <f>IF(inputPrYr!E22&gt;0,ROUND(+C13*E$41,0),"  ")</f>
        <v>10186</v>
      </c>
      <c r="F13" s="156">
        <f>IF(inputPrYr!E22&gt;0,ROUND(+C13*F$43,0),"  ")</f>
        <v>141</v>
      </c>
      <c r="G13" s="156">
        <f>IF(inputPrYr!E22&gt;0,ROUND(+C13*G$45,0),"  ")</f>
        <v>1158</v>
      </c>
      <c r="H13" s="40"/>
      <c r="I13" s="45"/>
    </row>
    <row r="14" spans="1:9" ht="15.75">
      <c r="A14" s="46"/>
      <c r="B14" s="11" t="str">
        <f>IF((inputPrYr!$B23&gt;" "),(inputPrYr!$B23),"  ")</f>
        <v>Ambulance</v>
      </c>
      <c r="C14" s="156">
        <f>IF(inputPrYr!E23&gt;0,inputPrYr!E23,"  ")</f>
        <v>641199</v>
      </c>
      <c r="D14" s="457">
        <f>IF(inputPrYr!F23&gt;0,(inputPrYr!F23),"  ")</f>
        <v>10.172</v>
      </c>
      <c r="E14" s="156">
        <f>IF(inputPrYr!E23&gt;0,ROUND(+C14*E$41,0),"  ")</f>
        <v>80855</v>
      </c>
      <c r="F14" s="156">
        <f>IF(inputPrYr!E23&gt;0,ROUND(+C14*F$43,0),"  ")</f>
        <v>1120</v>
      </c>
      <c r="G14" s="156">
        <f>IF(inputPrYr!E23&gt;0,ROUND(+C14*G$45,0),"  ")</f>
        <v>9190</v>
      </c>
      <c r="H14" s="40"/>
      <c r="I14" s="45"/>
    </row>
    <row r="15" spans="1:9" ht="15.75">
      <c r="A15" s="46"/>
      <c r="B15" s="11" t="str">
        <f>IF((inputPrYr!$B24&gt;" "),(inputPrYr!$B24),"  ")</f>
        <v>Services for the Elderly</v>
      </c>
      <c r="C15" s="156">
        <f>IF(inputPrYr!E24&gt;0,inputPrYr!E24,"  ")</f>
        <v>92653</v>
      </c>
      <c r="D15" s="457">
        <f>IF(inputPrYr!F24&gt;0,(inputPrYr!F24),"  ")</f>
        <v>1.47</v>
      </c>
      <c r="E15" s="156">
        <f>IF(inputPrYr!E24&gt;0,ROUND(+C15*E$41,0),"  ")</f>
        <v>11683</v>
      </c>
      <c r="F15" s="156">
        <f>IF(inputPrYr!E24&gt;0,ROUND(+C15*F$43,0),"  ")</f>
        <v>162</v>
      </c>
      <c r="G15" s="156">
        <f>IF(inputPrYr!E24&gt;0,ROUND(+C15*G$45,0),"  ")</f>
        <v>1328</v>
      </c>
      <c r="H15" s="40"/>
      <c r="I15" s="45"/>
    </row>
    <row r="16" spans="1:9" ht="15.75">
      <c r="A16" s="46"/>
      <c r="B16" s="11" t="str">
        <f>IF((inputPrYr!$B25&gt;" "),(inputPrYr!$B25),"  ")</f>
        <v>Hospital Maintenance</v>
      </c>
      <c r="C16" s="156">
        <f>IF(inputPrYr!E25&gt;0,inputPrYr!E25,"  ")</f>
        <v>123537</v>
      </c>
      <c r="D16" s="457">
        <f>IF(inputPrYr!F25&gt;0,(inputPrYr!F25),"  ")</f>
        <v>1.96</v>
      </c>
      <c r="E16" s="156">
        <f>IF(inputPrYr!E25&gt;0,ROUND(+C16*E$41,0),"  ")</f>
        <v>15578</v>
      </c>
      <c r="F16" s="156">
        <f>IF(inputPrYr!E25&gt;0,ROUND(+C16*F$43,0),"  ")</f>
        <v>216</v>
      </c>
      <c r="G16" s="156">
        <f>IF(inputPrYr!E25&gt;0,ROUND(+C16*G$45,0),"  ")</f>
        <v>1771</v>
      </c>
      <c r="H16" s="40"/>
      <c r="I16" s="45"/>
    </row>
    <row r="17" spans="1:9" ht="15.75">
      <c r="A17" s="46"/>
      <c r="B17" s="11" t="str">
        <f>IF((inputPrYr!$B26&gt;" "),(inputPrYr!$B26),"  ")</f>
        <v>County Health</v>
      </c>
      <c r="C17" s="156">
        <f>IF(inputPrYr!E26&gt;0,inputPrYr!E26,"  ")</f>
        <v>355130</v>
      </c>
      <c r="D17" s="457">
        <f>IF(inputPrYr!F26&gt;0,(inputPrYr!F26),"  ")</f>
        <v>5.634</v>
      </c>
      <c r="E17" s="156">
        <f>IF(inputPrYr!E26&gt;0,ROUND(+C17*E$41,0),"  ")</f>
        <v>44782</v>
      </c>
      <c r="F17" s="156">
        <f>IF(inputPrYr!E26&gt;0,ROUND(+C17*F$43,0),"  ")</f>
        <v>621</v>
      </c>
      <c r="G17" s="156">
        <f>IF(inputPrYr!E26&gt;0,ROUND(+C17*G$45,0),"  ")</f>
        <v>5090</v>
      </c>
      <c r="H17" s="40"/>
      <c r="I17" s="45"/>
    </row>
    <row r="18" spans="1:9" ht="15.75">
      <c r="A18" s="46"/>
      <c r="B18" s="11" t="str">
        <f>IF((inputPrYr!$B27&gt;" "),(inputPrYr!$B27),"  ")</f>
        <v>Mental Health</v>
      </c>
      <c r="C18" s="156">
        <f>IF(inputPrYr!E27&gt;0,inputPrYr!E27,"  ")</f>
        <v>41898</v>
      </c>
      <c r="D18" s="457">
        <f>IF(inputPrYr!F27&gt;0,(inputPrYr!F27),"  ")</f>
        <v>0.665</v>
      </c>
      <c r="E18" s="156">
        <f>IF(inputPrYr!E27&gt;0,ROUND(+C18*E$41,0),"  ")</f>
        <v>5283</v>
      </c>
      <c r="F18" s="156">
        <f>IF(inputPrYr!E27&gt;0,ROUND(+C18*F$43,0),"  ")</f>
        <v>73</v>
      </c>
      <c r="G18" s="156">
        <f>IF(inputPrYr!E27&gt;0,ROUND(+C18*G$45,0),"  ")</f>
        <v>600</v>
      </c>
      <c r="H18" s="40"/>
      <c r="I18" s="45"/>
    </row>
    <row r="19" spans="1:9" ht="15.75">
      <c r="A19" s="46"/>
      <c r="B19" s="11" t="str">
        <f>IF((inputPrYr!$B28&gt;" "),(inputPrYr!$B28),"  ")</f>
        <v>Mental Retardation</v>
      </c>
      <c r="C19" s="156">
        <f>IF(inputPrYr!E28&gt;0,inputPrYr!E28,"  ")</f>
        <v>46309</v>
      </c>
      <c r="D19" s="457">
        <f>IF(inputPrYr!F28&gt;0,(inputPrYr!F28),"  ")</f>
        <v>0.735</v>
      </c>
      <c r="E19" s="156">
        <f>IF(inputPrYr!E28&gt;0,ROUND(+C19*E$41,0),"  ")</f>
        <v>5840</v>
      </c>
      <c r="F19" s="156">
        <f>IF(inputPrYr!E28&gt;0,ROUND(+C19*F$43,0),"  ")</f>
        <v>81</v>
      </c>
      <c r="G19" s="156">
        <f>IF(inputPrYr!E28&gt;0,ROUND(+C19*G$45,0),"  ")</f>
        <v>664</v>
      </c>
      <c r="H19" s="40"/>
      <c r="I19" s="45"/>
    </row>
    <row r="20" spans="1:9" ht="15.75">
      <c r="A20" s="46"/>
      <c r="B20" s="11" t="str">
        <f>IF((inputPrYr!$B29&gt;" "),(inputPrYr!$B29),"  ")</f>
        <v>Election Expense</v>
      </c>
      <c r="C20" s="156">
        <f>IF(inputPrYr!E29&gt;0,inputPrYr!E29,"  ")</f>
        <v>5787</v>
      </c>
      <c r="D20" s="457">
        <f>IF(inputPrYr!F29&gt;0,(inputPrYr!F29),"  ")</f>
        <v>0.092</v>
      </c>
      <c r="E20" s="156">
        <f>IF(inputPrYr!E29&gt;0,ROUND(+C20*E$41,0),"  ")</f>
        <v>730</v>
      </c>
      <c r="F20" s="156">
        <f>IF(inputPrYr!E29&gt;0,ROUND(+C20*F$43,0),"  ")</f>
        <v>10</v>
      </c>
      <c r="G20" s="156">
        <f>IF(inputPrYr!E29&gt;0,ROUND(+C20*G$45,0),"  ")</f>
        <v>83</v>
      </c>
      <c r="H20" s="40"/>
      <c r="I20" s="45"/>
    </row>
    <row r="21" spans="1:9" ht="15.75">
      <c r="A21" s="46"/>
      <c r="B21" s="11" t="str">
        <f>IF((inputPrYr!$B30&gt;" "),(inputPrYr!$B30),"  ")</f>
        <v>Historical Museum</v>
      </c>
      <c r="C21" s="156">
        <f>IF(inputPrYr!E30&gt;0,inputPrYr!E30,"  ")</f>
        <v>43579</v>
      </c>
      <c r="D21" s="457">
        <f>IF(inputPrYr!F30&gt;0,(inputPrYr!F30),"  ")</f>
        <v>0.692</v>
      </c>
      <c r="E21" s="156">
        <f>IF(inputPrYr!E30&gt;0,ROUND(+C21*E$41,0),"  ")</f>
        <v>5495</v>
      </c>
      <c r="F21" s="156">
        <f>IF(inputPrYr!E30&gt;0,ROUND(+C21*F$43,0),"  ")</f>
        <v>76</v>
      </c>
      <c r="G21" s="156">
        <f>IF(inputPrYr!E30&gt;0,ROUND(+C21*G$45,0),"  ")</f>
        <v>625</v>
      </c>
      <c r="H21" s="40"/>
      <c r="I21" s="45"/>
    </row>
    <row r="22" spans="1:9" ht="15.75">
      <c r="A22" s="46"/>
      <c r="B22" s="11" t="str">
        <f>IF((inputPrYr!$B31&gt;" "),(inputPrYr!$B31),"  ")</f>
        <v>Employee Benefits</v>
      </c>
      <c r="C22" s="156" t="str">
        <f>IF(inputPrYr!E31&gt;0,inputPrYr!E31,"  ")</f>
        <v>  </v>
      </c>
      <c r="D22" s="457" t="str">
        <f>IF(inputPrYr!F31&gt;0,(inputPrYr!F31),"  ")</f>
        <v>  </v>
      </c>
      <c r="E22" s="156" t="str">
        <f>IF(inputPrYr!E31&gt;0,ROUND(+C22*E$41,0),"  ")</f>
        <v>  </v>
      </c>
      <c r="F22" s="156" t="str">
        <f>IF(inputPrYr!E31&gt;0,ROUND(+C22*F$43,0),"  ")</f>
        <v>  </v>
      </c>
      <c r="G22" s="156" t="str">
        <f>IF(inputPrYr!E31&gt;0,ROUND(+C22*G$45,0),"  ")</f>
        <v>  </v>
      </c>
      <c r="H22" s="40"/>
      <c r="I22" s="45"/>
    </row>
    <row r="23" spans="1:9" ht="15.75">
      <c r="A23" s="46"/>
      <c r="B23" s="11" t="str">
        <f>IF((inputPrYr!$B32&gt;" "),(inputPrYr!$B32),"  ")</f>
        <v>Special Reappraisal</v>
      </c>
      <c r="C23" s="156">
        <f>IF(inputPrYr!E32&gt;0,inputPrYr!E32,"  ")</f>
        <v>272767</v>
      </c>
      <c r="D23" s="457">
        <f>IF(inputPrYr!F32&gt;0,(inputPrYr!F32),"  ")</f>
        <v>4.328</v>
      </c>
      <c r="E23" s="156">
        <f>IF(inputPrYr!E32&gt;0,ROUND(+C23*E$41,0),"  ")</f>
        <v>34396</v>
      </c>
      <c r="F23" s="156">
        <f>IF(inputPrYr!E32&gt;0,ROUND(+C23*F$43,0),"  ")</f>
        <v>477</v>
      </c>
      <c r="G23" s="156">
        <f>IF(inputPrYr!E32&gt;0,ROUND(+C23*G$45,0),"  ")</f>
        <v>3909</v>
      </c>
      <c r="H23" s="40"/>
      <c r="I23" s="45"/>
    </row>
    <row r="24" spans="1:9" ht="15.75">
      <c r="A24" s="46"/>
      <c r="B24" s="11" t="str">
        <f>IF((inputPrYr!$B33&gt;" "),(inputPrYr!$B33),"  ")</f>
        <v>  </v>
      </c>
      <c r="C24" s="156" t="str">
        <f>IF(inputPrYr!E33&gt;0,inputPrYr!E33,"  ")</f>
        <v>  </v>
      </c>
      <c r="D24" s="457" t="str">
        <f>IF(inputPrYr!F33&gt;0,(inputPrYr!F33),"  ")</f>
        <v>  </v>
      </c>
      <c r="E24" s="156" t="str">
        <f>IF(inputPrYr!E33&gt;0,ROUND(+C24*E$41,0),"  ")</f>
        <v>  </v>
      </c>
      <c r="F24" s="156" t="str">
        <f>IF(inputPrYr!E33&gt;0,ROUND(+C24*F$43,0),"  ")</f>
        <v>  </v>
      </c>
      <c r="G24" s="156" t="str">
        <f>IF(inputPrYr!E33&gt;0,ROUND(+C24*G$45,0),"  ")</f>
        <v>  </v>
      </c>
      <c r="H24" s="40"/>
      <c r="I24" s="45"/>
    </row>
    <row r="25" spans="1:9" ht="15.75">
      <c r="A25" s="46"/>
      <c r="B25" s="11"/>
      <c r="C25" s="156"/>
      <c r="D25" s="457"/>
      <c r="E25" s="156"/>
      <c r="F25" s="156"/>
      <c r="G25" s="156"/>
      <c r="H25" s="40"/>
      <c r="I25" s="45"/>
    </row>
    <row r="26" spans="1:9" ht="15.75">
      <c r="A26" s="46"/>
      <c r="B26" s="11"/>
      <c r="C26" s="156"/>
      <c r="D26" s="457"/>
      <c r="E26" s="156"/>
      <c r="F26" s="156"/>
      <c r="G26" s="156"/>
      <c r="H26" s="40"/>
      <c r="I26" s="45"/>
    </row>
    <row r="27" spans="1:9" ht="15.75">
      <c r="A27" s="46"/>
      <c r="B27" s="11"/>
      <c r="C27" s="156"/>
      <c r="D27" s="457"/>
      <c r="E27" s="156"/>
      <c r="F27" s="156"/>
      <c r="G27" s="156"/>
      <c r="H27" s="40"/>
      <c r="I27" s="45"/>
    </row>
    <row r="28" spans="1:9" ht="15.75">
      <c r="A28" s="46"/>
      <c r="B28" s="11"/>
      <c r="C28" s="156"/>
      <c r="D28" s="457"/>
      <c r="E28" s="156"/>
      <c r="F28" s="156"/>
      <c r="G28" s="156"/>
      <c r="H28" s="40"/>
      <c r="I28" s="45"/>
    </row>
    <row r="29" spans="1:9" ht="15.75">
      <c r="A29" s="46"/>
      <c r="B29" s="11"/>
      <c r="C29" s="156"/>
      <c r="D29" s="457"/>
      <c r="E29" s="156"/>
      <c r="F29" s="156"/>
      <c r="G29" s="156"/>
      <c r="H29" s="40"/>
      <c r="I29" s="45"/>
    </row>
    <row r="30" spans="1:9" ht="15.75">
      <c r="A30" s="46"/>
      <c r="B30" s="11"/>
      <c r="C30" s="156"/>
      <c r="D30" s="457"/>
      <c r="E30" s="156"/>
      <c r="F30" s="156"/>
      <c r="G30" s="156"/>
      <c r="H30" s="40"/>
      <c r="I30" s="45"/>
    </row>
    <row r="31" spans="1:9" ht="15.75">
      <c r="A31" s="46"/>
      <c r="B31" s="11" t="str">
        <f>IF((inputPrYr!$B34&gt;" "),(inputPrYr!$B34),"  ")</f>
        <v>  </v>
      </c>
      <c r="C31" s="156" t="str">
        <f>IF(inputPrYr!E34&gt;0,inputPrYr!E34,"  ")</f>
        <v>  </v>
      </c>
      <c r="D31" s="457" t="str">
        <f>IF(inputPrYr!F34&gt;0,(inputPrYr!F34),"  ")</f>
        <v>  </v>
      </c>
      <c r="E31" s="156" t="str">
        <f>IF(inputPrYr!E34&gt;0,ROUND(+C31*E$41,0),"  ")</f>
        <v>  </v>
      </c>
      <c r="F31" s="156" t="str">
        <f>IF(inputPrYr!E34&gt;0,ROUND(+C31*F$43,0),"  ")</f>
        <v>  </v>
      </c>
      <c r="G31" s="156" t="str">
        <f>IF(inputPrYr!E34&gt;0,ROUND(+C31*G$45,0),"  ")</f>
        <v>  </v>
      </c>
      <c r="H31" s="40"/>
      <c r="I31" s="45"/>
    </row>
    <row r="32" spans="1:9" ht="16.5" thickBot="1">
      <c r="A32" s="46"/>
      <c r="B32" s="69" t="s">
        <v>68</v>
      </c>
      <c r="C32" s="455">
        <f>SUM(C7:C31)</f>
        <v>5648634</v>
      </c>
      <c r="D32" s="456">
        <f>SUM(D7:D31)</f>
        <v>89.61599999999999</v>
      </c>
      <c r="E32" s="455">
        <f>SUM(E7:E31)</f>
        <v>712288</v>
      </c>
      <c r="F32" s="455">
        <f>SUM(F7:F31)</f>
        <v>9871</v>
      </c>
      <c r="G32" s="455">
        <f>SUM(G7:G31)</f>
        <v>80956</v>
      </c>
      <c r="H32" s="45"/>
      <c r="I32" s="45"/>
    </row>
    <row r="33" spans="1:9" ht="16.5" thickTop="1">
      <c r="A33" s="46"/>
      <c r="B33" s="30"/>
      <c r="C33" s="40"/>
      <c r="D33" s="47"/>
      <c r="E33" s="40"/>
      <c r="F33" s="40"/>
      <c r="G33" s="40"/>
      <c r="H33" s="40"/>
      <c r="I33" s="45"/>
    </row>
    <row r="34" spans="1:9" ht="15.75">
      <c r="A34" s="46"/>
      <c r="B34" s="8" t="s">
        <v>69</v>
      </c>
      <c r="C34" s="38"/>
      <c r="D34" s="38"/>
      <c r="E34" s="39">
        <f>(inputOth!E15)</f>
        <v>712288</v>
      </c>
      <c r="F34" s="38"/>
      <c r="G34" s="14"/>
      <c r="H34" s="14"/>
      <c r="I34" s="31"/>
    </row>
    <row r="35" spans="1:9" ht="15.75">
      <c r="A35" s="46"/>
      <c r="B35" s="8"/>
      <c r="C35" s="38"/>
      <c r="D35" s="38"/>
      <c r="E35" s="40"/>
      <c r="F35" s="38"/>
      <c r="G35" s="14"/>
      <c r="H35" s="14"/>
      <c r="I35" s="31"/>
    </row>
    <row r="36" spans="1:9" ht="15.75">
      <c r="A36" s="46"/>
      <c r="B36" s="8" t="s">
        <v>70</v>
      </c>
      <c r="C36" s="14"/>
      <c r="D36" s="14"/>
      <c r="E36" s="14"/>
      <c r="F36" s="39">
        <f>(inputOth!E16)</f>
        <v>9871</v>
      </c>
      <c r="G36" s="14"/>
      <c r="H36" s="14"/>
      <c r="I36" s="31"/>
    </row>
    <row r="37" spans="1:9" ht="15.75">
      <c r="A37" s="46"/>
      <c r="B37" s="8"/>
      <c r="C37" s="14"/>
      <c r="D37" s="14"/>
      <c r="E37" s="14"/>
      <c r="F37" s="40"/>
      <c r="G37" s="14"/>
      <c r="H37" s="14"/>
      <c r="I37" s="31"/>
    </row>
    <row r="38" spans="1:9" ht="15.75">
      <c r="A38" s="46"/>
      <c r="B38" s="8" t="s">
        <v>159</v>
      </c>
      <c r="C38" s="14"/>
      <c r="D38" s="14"/>
      <c r="E38" s="14"/>
      <c r="F38" s="14"/>
      <c r="G38" s="39">
        <f>inputOth!E17</f>
        <v>80956</v>
      </c>
      <c r="H38" s="40"/>
      <c r="I38" s="31"/>
    </row>
    <row r="39" spans="1:9" ht="15.75">
      <c r="A39" s="46"/>
      <c r="B39" s="7"/>
      <c r="C39" s="14"/>
      <c r="D39" s="14"/>
      <c r="E39" s="14"/>
      <c r="F39" s="14"/>
      <c r="G39" s="14"/>
      <c r="H39" s="14"/>
      <c r="I39" s="31"/>
    </row>
    <row r="40" spans="1:9" ht="15.75">
      <c r="A40" s="46"/>
      <c r="B40" s="7"/>
      <c r="C40" s="14"/>
      <c r="D40" s="14"/>
      <c r="E40" s="14"/>
      <c r="F40" s="14"/>
      <c r="G40" s="14"/>
      <c r="H40" s="14"/>
      <c r="I40" s="31"/>
    </row>
    <row r="41" spans="1:9" ht="15.75">
      <c r="A41" s="46"/>
      <c r="B41" s="8" t="s">
        <v>71</v>
      </c>
      <c r="C41" s="14"/>
      <c r="D41" s="14"/>
      <c r="E41" s="41">
        <f>IF(C32=0,0,E34/C32)</f>
        <v>0.12609915954901663</v>
      </c>
      <c r="F41" s="14"/>
      <c r="G41" s="14"/>
      <c r="H41" s="14"/>
      <c r="I41" s="31"/>
    </row>
    <row r="42" spans="1:9" ht="15.75">
      <c r="A42" s="46"/>
      <c r="B42" s="8"/>
      <c r="C42" s="14"/>
      <c r="D42" s="14"/>
      <c r="E42" s="42"/>
      <c r="F42" s="14"/>
      <c r="G42" s="14"/>
      <c r="H42" s="14"/>
      <c r="I42" s="31"/>
    </row>
    <row r="43" spans="1:9" ht="15.75">
      <c r="A43" s="46"/>
      <c r="B43" s="8" t="s">
        <v>222</v>
      </c>
      <c r="C43" s="14"/>
      <c r="D43" s="14"/>
      <c r="E43" s="14"/>
      <c r="F43" s="41">
        <f>IF(C32=0,0,F36/C32)</f>
        <v>0.001747502139455309</v>
      </c>
      <c r="G43" s="14"/>
      <c r="H43" s="14"/>
      <c r="I43" s="31"/>
    </row>
    <row r="44" spans="1:9" ht="15.75">
      <c r="A44" s="46"/>
      <c r="B44" s="8"/>
      <c r="C44" s="14"/>
      <c r="D44" s="14"/>
      <c r="E44" s="14"/>
      <c r="F44" s="42"/>
      <c r="G44" s="14"/>
      <c r="H44" s="14"/>
      <c r="I44" s="31"/>
    </row>
    <row r="45" spans="1:9" ht="15.75">
      <c r="A45" s="46"/>
      <c r="B45" s="8" t="s">
        <v>221</v>
      </c>
      <c r="C45" s="14"/>
      <c r="D45" s="14"/>
      <c r="E45" s="14"/>
      <c r="F45" s="14"/>
      <c r="G45" s="41">
        <f>IF(C32=0,0,G38/C32)</f>
        <v>0.014331960612070104</v>
      </c>
      <c r="H45" s="42"/>
      <c r="I45" s="31"/>
    </row>
    <row r="46" spans="1:9" ht="15.75">
      <c r="A46" s="46"/>
      <c r="B46" s="13"/>
      <c r="C46" s="31"/>
      <c r="D46" s="31"/>
      <c r="E46" s="31"/>
      <c r="F46" s="31"/>
      <c r="G46" s="31"/>
      <c r="H46" s="31"/>
      <c r="I46" s="31"/>
    </row>
    <row r="47" spans="1:9" ht="15.75">
      <c r="A47" s="46"/>
      <c r="B47" s="13"/>
      <c r="C47" s="31"/>
      <c r="D47" s="31"/>
      <c r="E47" s="31"/>
      <c r="F47" s="31"/>
      <c r="G47" s="31"/>
      <c r="H47" s="31"/>
      <c r="I47" s="31"/>
    </row>
  </sheetData>
  <sheetProtection/>
  <mergeCells count="4">
    <mergeCell ref="C5:C6"/>
    <mergeCell ref="D5:D6"/>
    <mergeCell ref="E5:G5"/>
    <mergeCell ref="B3:G3"/>
  </mergeCells>
  <printOptions/>
  <pageMargins left="1.5" right="0.75" top="0.25" bottom="0.18" header="0" footer="0"/>
  <pageSetup blackAndWhite="1" firstPageNumber="3" useFirstPageNumber="1" fitToHeight="1" fitToWidth="1" horizontalDpi="600" verticalDpi="600" orientation="landscape" scale="74" r:id="rId1"/>
  <headerFooter alignWithMargins="0">
    <oddHeader>&amp;RState of Kansas
County</oddHeader>
    <oddFooter>&amp;CPage No. 3</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32"/>
  <sheetViews>
    <sheetView tabSelected="1" view="pageBreakPreview" zoomScale="108" zoomScaleSheetLayoutView="108" zoomScalePageLayoutView="0" workbookViewId="0" topLeftCell="A10">
      <selection activeCell="E34" sqref="E34"/>
    </sheetView>
  </sheetViews>
  <sheetFormatPr defaultColWidth="8.796875" defaultRowHeight="15"/>
  <cols>
    <col min="1" max="1" width="19" style="109" customWidth="1"/>
    <col min="2" max="2" width="18.59765625" style="109" customWidth="1"/>
    <col min="3" max="6" width="12.796875" style="109" customWidth="1"/>
    <col min="7" max="16384" width="8.8984375" style="109" customWidth="1"/>
  </cols>
  <sheetData>
    <row r="1" spans="1:6" ht="15.75">
      <c r="A1" s="182"/>
      <c r="B1" s="51"/>
      <c r="C1" s="51"/>
      <c r="D1" s="51"/>
      <c r="E1" s="194"/>
      <c r="F1" s="51"/>
    </row>
    <row r="2" spans="1:6" ht="15.75">
      <c r="A2" s="110" t="str">
        <f>inputPrYr!C2</f>
        <v>MITCHELL COUNTY</v>
      </c>
      <c r="B2" s="110"/>
      <c r="C2" s="51"/>
      <c r="D2" s="51"/>
      <c r="E2" s="194"/>
      <c r="F2" s="51">
        <f>inputPrYr!C4</f>
        <v>2014</v>
      </c>
    </row>
    <row r="3" spans="1:6" ht="15.75">
      <c r="A3" s="182"/>
      <c r="B3" s="110"/>
      <c r="C3" s="51"/>
      <c r="D3" s="51"/>
      <c r="E3" s="194"/>
      <c r="F3" s="51"/>
    </row>
    <row r="4" spans="1:6" ht="15.75">
      <c r="A4" s="182"/>
      <c r="B4" s="51"/>
      <c r="C4" s="51"/>
      <c r="D4" s="51"/>
      <c r="E4" s="194"/>
      <c r="F4" s="51"/>
    </row>
    <row r="5" spans="1:6" ht="15" customHeight="1">
      <c r="A5" s="582" t="s">
        <v>201</v>
      </c>
      <c r="B5" s="582"/>
      <c r="C5" s="582"/>
      <c r="D5" s="582"/>
      <c r="E5" s="582"/>
      <c r="F5" s="582"/>
    </row>
    <row r="6" spans="1:6" ht="14.25" customHeight="1">
      <c r="A6" s="183"/>
      <c r="B6" s="195"/>
      <c r="C6" s="195"/>
      <c r="D6" s="195"/>
      <c r="E6" s="195"/>
      <c r="F6" s="195"/>
    </row>
    <row r="7" spans="1:6" ht="15" customHeight="1">
      <c r="A7" s="196" t="s">
        <v>271</v>
      </c>
      <c r="B7" s="196" t="s">
        <v>272</v>
      </c>
      <c r="C7" s="197" t="s">
        <v>111</v>
      </c>
      <c r="D7" s="197" t="s">
        <v>223</v>
      </c>
      <c r="E7" s="197" t="s">
        <v>224</v>
      </c>
      <c r="F7" s="197" t="s">
        <v>250</v>
      </c>
    </row>
    <row r="8" spans="1:6" ht="15" customHeight="1">
      <c r="A8" s="198" t="s">
        <v>273</v>
      </c>
      <c r="B8" s="198" t="s">
        <v>274</v>
      </c>
      <c r="C8" s="199" t="s">
        <v>249</v>
      </c>
      <c r="D8" s="199" t="s">
        <v>249</v>
      </c>
      <c r="E8" s="199" t="s">
        <v>249</v>
      </c>
      <c r="F8" s="199" t="s">
        <v>251</v>
      </c>
    </row>
    <row r="9" spans="1:6" s="181" customFormat="1" ht="15" customHeight="1" thickBot="1">
      <c r="A9" s="200" t="s">
        <v>247</v>
      </c>
      <c r="B9" s="201" t="s">
        <v>248</v>
      </c>
      <c r="C9" s="202">
        <f>F2-2</f>
        <v>2012</v>
      </c>
      <c r="D9" s="202">
        <f>F2-1</f>
        <v>2013</v>
      </c>
      <c r="E9" s="202">
        <f>F2</f>
        <v>2014</v>
      </c>
      <c r="F9" s="201" t="s">
        <v>45</v>
      </c>
    </row>
    <row r="10" spans="1:6" ht="15" customHeight="1" thickTop="1">
      <c r="A10" s="203" t="s">
        <v>463</v>
      </c>
      <c r="B10" s="203" t="s">
        <v>464</v>
      </c>
      <c r="C10" s="204">
        <v>74151</v>
      </c>
      <c r="D10" s="204">
        <v>70000</v>
      </c>
      <c r="E10" s="204">
        <v>70000</v>
      </c>
      <c r="F10" s="203" t="s">
        <v>473</v>
      </c>
    </row>
    <row r="11" spans="1:6" ht="15" customHeight="1">
      <c r="A11" s="77" t="s">
        <v>465</v>
      </c>
      <c r="B11" s="203" t="s">
        <v>464</v>
      </c>
      <c r="C11" s="205">
        <v>50780</v>
      </c>
      <c r="D11" s="205">
        <v>0</v>
      </c>
      <c r="E11" s="205">
        <v>0</v>
      </c>
      <c r="F11" s="77" t="s">
        <v>28</v>
      </c>
    </row>
    <row r="12" spans="1:6" ht="15" customHeight="1">
      <c r="A12" s="203" t="s">
        <v>464</v>
      </c>
      <c r="B12" s="77" t="s">
        <v>345</v>
      </c>
      <c r="C12" s="205">
        <v>50000</v>
      </c>
      <c r="D12" s="205">
        <v>0</v>
      </c>
      <c r="E12" s="205">
        <v>0</v>
      </c>
      <c r="F12" s="77" t="s">
        <v>28</v>
      </c>
    </row>
    <row r="13" spans="1:6" ht="15" customHeight="1">
      <c r="A13" s="203" t="s">
        <v>464</v>
      </c>
      <c r="B13" s="77" t="s">
        <v>466</v>
      </c>
      <c r="C13" s="205">
        <v>120000</v>
      </c>
      <c r="D13" s="205">
        <v>120000</v>
      </c>
      <c r="E13" s="205">
        <v>120000</v>
      </c>
      <c r="F13" s="77" t="s">
        <v>28</v>
      </c>
    </row>
    <row r="14" spans="1:6" ht="15" customHeight="1">
      <c r="A14" s="203" t="s">
        <v>464</v>
      </c>
      <c r="B14" s="77" t="s">
        <v>343</v>
      </c>
      <c r="C14" s="205">
        <v>4000</v>
      </c>
      <c r="D14" s="205"/>
      <c r="E14" s="205"/>
      <c r="F14" s="77" t="s">
        <v>28</v>
      </c>
    </row>
    <row r="15" spans="1:6" ht="15" customHeight="1">
      <c r="A15" s="203" t="s">
        <v>464</v>
      </c>
      <c r="B15" s="77" t="s">
        <v>467</v>
      </c>
      <c r="C15" s="205">
        <v>110140</v>
      </c>
      <c r="D15" s="205">
        <v>110140</v>
      </c>
      <c r="E15" s="205">
        <v>110140</v>
      </c>
      <c r="F15" s="77" t="s">
        <v>28</v>
      </c>
    </row>
    <row r="16" spans="1:6" ht="15" customHeight="1">
      <c r="A16" s="77" t="s">
        <v>468</v>
      </c>
      <c r="B16" s="77" t="s">
        <v>347</v>
      </c>
      <c r="C16" s="205">
        <v>56400</v>
      </c>
      <c r="D16" s="205">
        <v>0</v>
      </c>
      <c r="E16" s="205">
        <v>0</v>
      </c>
      <c r="F16" s="77" t="s">
        <v>474</v>
      </c>
    </row>
    <row r="17" spans="1:6" ht="15" customHeight="1">
      <c r="A17" s="77" t="s">
        <v>468</v>
      </c>
      <c r="B17" s="77" t="s">
        <v>469</v>
      </c>
      <c r="C17" s="205">
        <v>130000</v>
      </c>
      <c r="D17" s="205">
        <v>25000</v>
      </c>
      <c r="E17" s="205">
        <v>25000</v>
      </c>
      <c r="F17" s="77" t="s">
        <v>475</v>
      </c>
    </row>
    <row r="18" spans="1:6" ht="15" customHeight="1">
      <c r="A18" s="77" t="s">
        <v>328</v>
      </c>
      <c r="B18" s="77" t="s">
        <v>335</v>
      </c>
      <c r="C18" s="205">
        <v>10000</v>
      </c>
      <c r="D18" s="205">
        <v>0</v>
      </c>
      <c r="E18" s="205">
        <v>0</v>
      </c>
      <c r="F18" s="77" t="s">
        <v>476</v>
      </c>
    </row>
    <row r="19" spans="1:6" ht="15" customHeight="1">
      <c r="A19" s="77" t="s">
        <v>467</v>
      </c>
      <c r="B19" s="77" t="s">
        <v>336</v>
      </c>
      <c r="C19" s="205">
        <v>59000</v>
      </c>
      <c r="D19" s="205">
        <v>60000</v>
      </c>
      <c r="E19" s="205">
        <v>60000</v>
      </c>
      <c r="F19" s="77" t="s">
        <v>477</v>
      </c>
    </row>
    <row r="20" spans="1:6" ht="15" customHeight="1">
      <c r="A20" s="77" t="s">
        <v>470</v>
      </c>
      <c r="B20" s="77" t="s">
        <v>350</v>
      </c>
      <c r="C20" s="205">
        <v>12000</v>
      </c>
      <c r="D20" s="205">
        <v>14000</v>
      </c>
      <c r="E20" s="205">
        <v>14000</v>
      </c>
      <c r="F20" s="77" t="s">
        <v>478</v>
      </c>
    </row>
    <row r="21" spans="1:6" ht="15" customHeight="1">
      <c r="A21" s="77" t="s">
        <v>331</v>
      </c>
      <c r="B21" s="77" t="s">
        <v>337</v>
      </c>
      <c r="C21" s="205">
        <v>10000</v>
      </c>
      <c r="D21" s="205">
        <v>0</v>
      </c>
      <c r="E21" s="205">
        <v>0</v>
      </c>
      <c r="F21" s="77" t="s">
        <v>479</v>
      </c>
    </row>
    <row r="22" spans="1:6" ht="15" customHeight="1">
      <c r="A22" s="77" t="s">
        <v>471</v>
      </c>
      <c r="B22" s="77" t="s">
        <v>472</v>
      </c>
      <c r="C22" s="205">
        <v>2500</v>
      </c>
      <c r="D22" s="205">
        <v>0</v>
      </c>
      <c r="E22" s="205">
        <v>0</v>
      </c>
      <c r="F22" s="77" t="s">
        <v>478</v>
      </c>
    </row>
    <row r="23" spans="1:6" ht="15" customHeight="1">
      <c r="A23" s="77"/>
      <c r="B23" s="77"/>
      <c r="C23" s="205"/>
      <c r="D23" s="205"/>
      <c r="E23" s="205"/>
      <c r="F23" s="77"/>
    </row>
    <row r="24" spans="1:6" ht="15" customHeight="1">
      <c r="A24" s="77"/>
      <c r="B24" s="77"/>
      <c r="C24" s="205"/>
      <c r="D24" s="205"/>
      <c r="E24" s="205"/>
      <c r="F24" s="77"/>
    </row>
    <row r="25" spans="1:6" ht="15" customHeight="1">
      <c r="A25" s="77"/>
      <c r="B25" s="77"/>
      <c r="C25" s="205"/>
      <c r="D25" s="205"/>
      <c r="E25" s="205"/>
      <c r="F25" s="77"/>
    </row>
    <row r="26" spans="1:6" ht="15" customHeight="1">
      <c r="A26" s="77"/>
      <c r="B26" s="77"/>
      <c r="C26" s="205"/>
      <c r="D26" s="205"/>
      <c r="E26" s="205"/>
      <c r="F26" s="77"/>
    </row>
    <row r="27" spans="1:6" ht="15.75">
      <c r="A27" s="103"/>
      <c r="B27" s="206" t="s">
        <v>47</v>
      </c>
      <c r="C27" s="86">
        <f>SUM(C10:C26)</f>
        <v>688971</v>
      </c>
      <c r="D27" s="86">
        <f>SUM(D10:D26)</f>
        <v>399140</v>
      </c>
      <c r="E27" s="86">
        <f>SUM(E10:E26)</f>
        <v>399140</v>
      </c>
      <c r="F27" s="103"/>
    </row>
    <row r="28" spans="1:6" ht="15.75">
      <c r="A28" s="103"/>
      <c r="B28" s="207" t="s">
        <v>269</v>
      </c>
      <c r="C28" s="70"/>
      <c r="D28" s="71"/>
      <c r="E28" s="71"/>
      <c r="F28" s="103"/>
    </row>
    <row r="29" spans="1:6" ht="15.75">
      <c r="A29" s="103"/>
      <c r="B29" s="206" t="s">
        <v>252</v>
      </c>
      <c r="C29" s="86">
        <f>C27</f>
        <v>688971</v>
      </c>
      <c r="D29" s="86">
        <f>SUM(D27-D28)</f>
        <v>399140</v>
      </c>
      <c r="E29" s="86">
        <f>SUM(E27-E28)</f>
        <v>399140</v>
      </c>
      <c r="F29" s="103"/>
    </row>
    <row r="30" spans="1:6" ht="15.75">
      <c r="A30" s="103"/>
      <c r="B30" s="103"/>
      <c r="C30" s="103"/>
      <c r="D30" s="103"/>
      <c r="E30" s="103"/>
      <c r="F30" s="103"/>
    </row>
    <row r="31" spans="1:6" ht="15.75">
      <c r="A31" s="103"/>
      <c r="B31" s="103"/>
      <c r="C31" s="103"/>
      <c r="D31" s="103"/>
      <c r="E31" s="103"/>
      <c r="F31" s="103"/>
    </row>
    <row r="32" spans="1:6" ht="15.75">
      <c r="A32" s="357" t="s">
        <v>270</v>
      </c>
      <c r="B32" s="358" t="str">
        <f>CONCATENATE("Adjustments are required only if the transfer is being made in ",D9," and/or ",E9," from a non-budgeted fund.")</f>
        <v>Adjustments are required only if the transfer is being made in 2013 and/or 2014 from a non-budgeted fund.</v>
      </c>
      <c r="C32" s="103"/>
      <c r="D32" s="103"/>
      <c r="E32" s="103"/>
      <c r="F32" s="103"/>
    </row>
  </sheetData>
  <sheetProtection/>
  <mergeCells count="1">
    <mergeCell ref="A5:F5"/>
  </mergeCells>
  <printOptions/>
  <pageMargins left="0.5" right="0.5" top="0.72" bottom="0.23" header="0.5" footer="0"/>
  <pageSetup blackAndWhite="1" fitToHeight="1" fitToWidth="1" horizontalDpi="120" verticalDpi="120" orientation="portrait" scale="84" r:id="rId1"/>
  <headerFooter alignWithMargins="0">
    <oddHeader>&amp;RState of Kansas
County
</oddHeader>
    <oddFooter>&amp;CPage No. 4</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AC42"/>
  <sheetViews>
    <sheetView view="pageBreakPreview" zoomScale="108" zoomScaleNormal="75" zoomScaleSheetLayoutView="108" zoomScalePageLayoutView="0" workbookViewId="0" topLeftCell="F11">
      <selection activeCell="G11" sqref="G11"/>
    </sheetView>
  </sheetViews>
  <sheetFormatPr defaultColWidth="8.796875" defaultRowHeight="15"/>
  <cols>
    <col min="1" max="1" width="5.3984375" style="109" customWidth="1"/>
    <col min="2" max="2" width="20.796875" style="109" customWidth="1"/>
    <col min="3" max="3" width="9.3984375" style="109" customWidth="1"/>
    <col min="4" max="4" width="9.796875" style="109" customWidth="1"/>
    <col min="5" max="5" width="8.796875" style="109" customWidth="1"/>
    <col min="6" max="6" width="12.796875" style="109" customWidth="1"/>
    <col min="7" max="7" width="14" style="109" customWidth="1"/>
    <col min="8" max="13" width="9.796875" style="109" customWidth="1"/>
    <col min="14" max="16384" width="8.8984375" style="109" customWidth="1"/>
  </cols>
  <sheetData>
    <row r="1" spans="2:13" ht="15.75">
      <c r="B1" s="182" t="str">
        <f>inputPrYr!$C$2</f>
        <v>MITCHELL COUNTY</v>
      </c>
      <c r="C1" s="51"/>
      <c r="D1" s="51"/>
      <c r="E1" s="51"/>
      <c r="F1" s="51"/>
      <c r="G1" s="51"/>
      <c r="H1" s="51"/>
      <c r="I1" s="51"/>
      <c r="J1" s="51"/>
      <c r="K1" s="51"/>
      <c r="L1" s="51"/>
      <c r="M1" s="208">
        <f>inputPrYr!$C$4</f>
        <v>2014</v>
      </c>
    </row>
    <row r="2" spans="2:13" ht="15.75">
      <c r="B2" s="182"/>
      <c r="C2" s="51"/>
      <c r="D2" s="51"/>
      <c r="E2" s="51"/>
      <c r="F2" s="51"/>
      <c r="G2" s="51"/>
      <c r="H2" s="51"/>
      <c r="I2" s="51"/>
      <c r="J2" s="51"/>
      <c r="K2" s="51"/>
      <c r="L2" s="51"/>
      <c r="M2" s="194"/>
    </row>
    <row r="3" spans="2:13" ht="15.75">
      <c r="B3" s="209" t="s">
        <v>157</v>
      </c>
      <c r="C3" s="59"/>
      <c r="D3" s="59"/>
      <c r="E3" s="59"/>
      <c r="F3" s="59"/>
      <c r="G3" s="59"/>
      <c r="H3" s="59"/>
      <c r="I3" s="59"/>
      <c r="J3" s="59"/>
      <c r="K3" s="59"/>
      <c r="L3" s="59"/>
      <c r="M3" s="59"/>
    </row>
    <row r="4" spans="2:13" ht="15.75">
      <c r="B4" s="51"/>
      <c r="C4" s="210"/>
      <c r="D4" s="210"/>
      <c r="E4" s="210"/>
      <c r="F4" s="210"/>
      <c r="G4" s="210"/>
      <c r="H4" s="210"/>
      <c r="I4" s="210"/>
      <c r="J4" s="210"/>
      <c r="K4" s="210"/>
      <c r="L4" s="210"/>
      <c r="M4" s="210"/>
    </row>
    <row r="5" spans="2:13" ht="15.75">
      <c r="B5" s="211" t="s">
        <v>292</v>
      </c>
      <c r="C5" s="211" t="s">
        <v>126</v>
      </c>
      <c r="D5" s="211" t="s">
        <v>126</v>
      </c>
      <c r="E5" s="211" t="s">
        <v>140</v>
      </c>
      <c r="F5" s="211"/>
      <c r="G5" s="211" t="s">
        <v>253</v>
      </c>
      <c r="H5" s="51"/>
      <c r="I5" s="51"/>
      <c r="J5" s="212" t="s">
        <v>127</v>
      </c>
      <c r="K5" s="213"/>
      <c r="L5" s="212" t="s">
        <v>127</v>
      </c>
      <c r="M5" s="213"/>
    </row>
    <row r="6" spans="2:13" ht="15.75">
      <c r="B6" s="214" t="s">
        <v>128</v>
      </c>
      <c r="C6" s="214" t="s">
        <v>128</v>
      </c>
      <c r="D6" s="214" t="s">
        <v>254</v>
      </c>
      <c r="E6" s="214" t="s">
        <v>129</v>
      </c>
      <c r="F6" s="214" t="s">
        <v>66</v>
      </c>
      <c r="G6" s="214" t="s">
        <v>202</v>
      </c>
      <c r="H6" s="590" t="s">
        <v>130</v>
      </c>
      <c r="I6" s="591"/>
      <c r="J6" s="592">
        <f>M1-1</f>
        <v>2013</v>
      </c>
      <c r="K6" s="593"/>
      <c r="L6" s="592">
        <f>M1</f>
        <v>2014</v>
      </c>
      <c r="M6" s="593"/>
    </row>
    <row r="7" spans="2:13" ht="15.75">
      <c r="B7" s="217" t="s">
        <v>293</v>
      </c>
      <c r="C7" s="217" t="s">
        <v>131</v>
      </c>
      <c r="D7" s="217" t="s">
        <v>255</v>
      </c>
      <c r="E7" s="217" t="s">
        <v>91</v>
      </c>
      <c r="F7" s="217" t="s">
        <v>132</v>
      </c>
      <c r="G7" s="215" t="str">
        <f>CONCATENATE("Jan 1,",M1-1,"")</f>
        <v>Jan 1,2013</v>
      </c>
      <c r="H7" s="206" t="s">
        <v>140</v>
      </c>
      <c r="I7" s="206" t="s">
        <v>141</v>
      </c>
      <c r="J7" s="206" t="s">
        <v>140</v>
      </c>
      <c r="K7" s="206" t="s">
        <v>141</v>
      </c>
      <c r="L7" s="206" t="s">
        <v>140</v>
      </c>
      <c r="M7" s="206" t="s">
        <v>141</v>
      </c>
    </row>
    <row r="8" spans="2:13" ht="15.75">
      <c r="B8" s="216" t="s">
        <v>133</v>
      </c>
      <c r="C8" s="74"/>
      <c r="D8" s="74"/>
      <c r="E8" s="218"/>
      <c r="F8" s="219"/>
      <c r="G8" s="219"/>
      <c r="H8" s="74"/>
      <c r="I8" s="74"/>
      <c r="J8" s="219"/>
      <c r="K8" s="219"/>
      <c r="L8" s="219"/>
      <c r="M8" s="219"/>
    </row>
    <row r="9" spans="2:13" ht="15.75">
      <c r="B9" s="220"/>
      <c r="C9" s="362"/>
      <c r="D9" s="362"/>
      <c r="E9" s="221"/>
      <c r="F9" s="222"/>
      <c r="G9" s="223"/>
      <c r="H9" s="224"/>
      <c r="I9" s="224"/>
      <c r="J9" s="223"/>
      <c r="K9" s="223"/>
      <c r="L9" s="223"/>
      <c r="M9" s="223"/>
    </row>
    <row r="10" spans="2:13" ht="15.75">
      <c r="B10" s="220"/>
      <c r="C10" s="362"/>
      <c r="D10" s="362"/>
      <c r="E10" s="221"/>
      <c r="F10" s="222"/>
      <c r="G10" s="223"/>
      <c r="H10" s="224"/>
      <c r="I10" s="224"/>
      <c r="J10" s="223"/>
      <c r="K10" s="223"/>
      <c r="L10" s="223"/>
      <c r="M10" s="223"/>
    </row>
    <row r="11" spans="2:13" ht="15.75">
      <c r="B11" s="220"/>
      <c r="C11" s="362"/>
      <c r="D11" s="362"/>
      <c r="E11" s="221"/>
      <c r="F11" s="222"/>
      <c r="G11" s="223"/>
      <c r="H11" s="224"/>
      <c r="I11" s="224"/>
      <c r="J11" s="223"/>
      <c r="K11" s="223"/>
      <c r="L11" s="223"/>
      <c r="M11" s="223"/>
    </row>
    <row r="12" spans="2:13" ht="15.75">
      <c r="B12" s="220"/>
      <c r="C12" s="362"/>
      <c r="D12" s="362"/>
      <c r="E12" s="221"/>
      <c r="F12" s="222"/>
      <c r="G12" s="223"/>
      <c r="H12" s="224"/>
      <c r="I12" s="224"/>
      <c r="J12" s="223"/>
      <c r="K12" s="223"/>
      <c r="L12" s="223"/>
      <c r="M12" s="223"/>
    </row>
    <row r="13" spans="2:13" ht="15.75">
      <c r="B13" s="220"/>
      <c r="C13" s="362"/>
      <c r="D13" s="362"/>
      <c r="E13" s="221"/>
      <c r="F13" s="222"/>
      <c r="G13" s="223"/>
      <c r="H13" s="224"/>
      <c r="I13" s="224"/>
      <c r="J13" s="223"/>
      <c r="K13" s="223"/>
      <c r="L13" s="223"/>
      <c r="M13" s="223"/>
    </row>
    <row r="14" spans="2:13" ht="15.75">
      <c r="B14" s="220"/>
      <c r="C14" s="362"/>
      <c r="D14" s="362"/>
      <c r="E14" s="221"/>
      <c r="F14" s="222"/>
      <c r="G14" s="223"/>
      <c r="H14" s="224"/>
      <c r="I14" s="224"/>
      <c r="J14" s="223"/>
      <c r="K14" s="223"/>
      <c r="L14" s="223"/>
      <c r="M14" s="223"/>
    </row>
    <row r="15" spans="2:13" ht="15.75">
      <c r="B15" s="220"/>
      <c r="C15" s="362"/>
      <c r="D15" s="362"/>
      <c r="E15" s="221"/>
      <c r="F15" s="222"/>
      <c r="G15" s="223"/>
      <c r="H15" s="224"/>
      <c r="I15" s="224"/>
      <c r="J15" s="223"/>
      <c r="K15" s="223"/>
      <c r="L15" s="223"/>
      <c r="M15" s="223"/>
    </row>
    <row r="16" spans="2:13" ht="15.75">
      <c r="B16" s="220"/>
      <c r="C16" s="362"/>
      <c r="D16" s="362"/>
      <c r="E16" s="221"/>
      <c r="F16" s="222"/>
      <c r="G16" s="223"/>
      <c r="H16" s="224"/>
      <c r="I16" s="224"/>
      <c r="J16" s="223"/>
      <c r="K16" s="223"/>
      <c r="L16" s="223"/>
      <c r="M16" s="223"/>
    </row>
    <row r="17" spans="2:13" ht="15.75">
      <c r="B17" s="220"/>
      <c r="C17" s="362"/>
      <c r="D17" s="362"/>
      <c r="E17" s="221"/>
      <c r="F17" s="222"/>
      <c r="G17" s="223"/>
      <c r="H17" s="224"/>
      <c r="I17" s="224"/>
      <c r="J17" s="223"/>
      <c r="K17" s="223"/>
      <c r="L17" s="223"/>
      <c r="M17" s="223"/>
    </row>
    <row r="18" spans="2:13" ht="15.75">
      <c r="B18" s="220"/>
      <c r="C18" s="362"/>
      <c r="D18" s="362"/>
      <c r="E18" s="221"/>
      <c r="F18" s="222"/>
      <c r="G18" s="223"/>
      <c r="H18" s="224"/>
      <c r="I18" s="224"/>
      <c r="J18" s="223"/>
      <c r="K18" s="223"/>
      <c r="L18" s="223"/>
      <c r="M18" s="223"/>
    </row>
    <row r="19" spans="2:13" ht="15.75">
      <c r="B19" s="225" t="s">
        <v>134</v>
      </c>
      <c r="C19" s="226"/>
      <c r="D19" s="226"/>
      <c r="E19" s="227"/>
      <c r="F19" s="228"/>
      <c r="G19" s="229">
        <f>SUM(G9:G18)</f>
        <v>0</v>
      </c>
      <c r="H19" s="230"/>
      <c r="I19" s="230"/>
      <c r="J19" s="229">
        <f>SUM(J9:J18)</f>
        <v>0</v>
      </c>
      <c r="K19" s="229">
        <f>SUM(K9:K18)</f>
        <v>0</v>
      </c>
      <c r="L19" s="229">
        <f>SUM(L9:L18)</f>
        <v>0</v>
      </c>
      <c r="M19" s="229">
        <f>SUM(M9:M18)</f>
        <v>0</v>
      </c>
    </row>
    <row r="20" spans="2:13" ht="15.75">
      <c r="B20" s="206" t="s">
        <v>135</v>
      </c>
      <c r="C20" s="231"/>
      <c r="D20" s="231"/>
      <c r="E20" s="232"/>
      <c r="F20" s="233"/>
      <c r="G20" s="233"/>
      <c r="H20" s="234"/>
      <c r="I20" s="234"/>
      <c r="J20" s="233"/>
      <c r="K20" s="233"/>
      <c r="L20" s="233"/>
      <c r="M20" s="233"/>
    </row>
    <row r="21" spans="2:13" ht="15.75">
      <c r="B21" s="220"/>
      <c r="C21" s="362"/>
      <c r="D21" s="362"/>
      <c r="E21" s="221"/>
      <c r="F21" s="222"/>
      <c r="G21" s="223"/>
      <c r="H21" s="224"/>
      <c r="I21" s="224"/>
      <c r="J21" s="223"/>
      <c r="K21" s="223"/>
      <c r="L21" s="223"/>
      <c r="M21" s="223"/>
    </row>
    <row r="22" spans="2:13" ht="15.75">
      <c r="B22" s="220"/>
      <c r="C22" s="362"/>
      <c r="D22" s="362"/>
      <c r="E22" s="221"/>
      <c r="F22" s="222"/>
      <c r="G22" s="223"/>
      <c r="H22" s="224"/>
      <c r="I22" s="224"/>
      <c r="J22" s="223"/>
      <c r="K22" s="223"/>
      <c r="L22" s="223"/>
      <c r="M22" s="223"/>
    </row>
    <row r="23" spans="2:13" ht="15.75">
      <c r="B23" s="220"/>
      <c r="C23" s="362"/>
      <c r="D23" s="362"/>
      <c r="E23" s="221"/>
      <c r="F23" s="222"/>
      <c r="G23" s="223"/>
      <c r="H23" s="224"/>
      <c r="I23" s="224"/>
      <c r="J23" s="223"/>
      <c r="K23" s="223"/>
      <c r="L23" s="223"/>
      <c r="M23" s="223"/>
    </row>
    <row r="24" spans="2:13" ht="15.75">
      <c r="B24" s="220"/>
      <c r="C24" s="362"/>
      <c r="D24" s="362"/>
      <c r="E24" s="221"/>
      <c r="F24" s="222"/>
      <c r="G24" s="223"/>
      <c r="H24" s="224"/>
      <c r="I24" s="224"/>
      <c r="J24" s="223"/>
      <c r="K24" s="223"/>
      <c r="L24" s="223"/>
      <c r="M24" s="223"/>
    </row>
    <row r="25" spans="2:13" ht="15.75">
      <c r="B25" s="220"/>
      <c r="C25" s="362"/>
      <c r="D25" s="362"/>
      <c r="E25" s="221"/>
      <c r="F25" s="222"/>
      <c r="G25" s="223"/>
      <c r="H25" s="224"/>
      <c r="I25" s="224"/>
      <c r="J25" s="223"/>
      <c r="K25" s="223"/>
      <c r="L25" s="223"/>
      <c r="M25" s="223"/>
    </row>
    <row r="26" spans="2:13" ht="15.75">
      <c r="B26" s="220"/>
      <c r="C26" s="362"/>
      <c r="D26" s="362"/>
      <c r="E26" s="221"/>
      <c r="F26" s="222"/>
      <c r="G26" s="223"/>
      <c r="H26" s="224"/>
      <c r="I26" s="224"/>
      <c r="J26" s="223"/>
      <c r="K26" s="223"/>
      <c r="L26" s="223"/>
      <c r="M26" s="223"/>
    </row>
    <row r="27" spans="2:13" ht="15.75">
      <c r="B27" s="225" t="s">
        <v>136</v>
      </c>
      <c r="C27" s="226"/>
      <c r="D27" s="226"/>
      <c r="E27" s="235"/>
      <c r="F27" s="228"/>
      <c r="G27" s="236">
        <f>SUM(G21:G26)</f>
        <v>0</v>
      </c>
      <c r="H27" s="230"/>
      <c r="I27" s="230"/>
      <c r="J27" s="236">
        <f>SUM(J21:J26)</f>
        <v>0</v>
      </c>
      <c r="K27" s="236">
        <f>SUM(K21:K26)</f>
        <v>0</v>
      </c>
      <c r="L27" s="229">
        <f>SUM(L21:L26)</f>
        <v>0</v>
      </c>
      <c r="M27" s="236">
        <f>SUM(M21:M26)</f>
        <v>0</v>
      </c>
    </row>
    <row r="28" spans="2:13" ht="15.75">
      <c r="B28" s="206" t="s">
        <v>137</v>
      </c>
      <c r="C28" s="231"/>
      <c r="D28" s="231"/>
      <c r="E28" s="232"/>
      <c r="F28" s="233"/>
      <c r="G28" s="237"/>
      <c r="H28" s="234"/>
      <c r="I28" s="234"/>
      <c r="J28" s="233"/>
      <c r="K28" s="233"/>
      <c r="L28" s="233"/>
      <c r="M28" s="233"/>
    </row>
    <row r="29" spans="2:13" ht="15.75">
      <c r="B29" s="220"/>
      <c r="C29" s="362"/>
      <c r="D29" s="362"/>
      <c r="E29" s="221"/>
      <c r="F29" s="222"/>
      <c r="G29" s="223"/>
      <c r="H29" s="224"/>
      <c r="I29" s="224"/>
      <c r="J29" s="223"/>
      <c r="K29" s="223"/>
      <c r="L29" s="223"/>
      <c r="M29" s="223"/>
    </row>
    <row r="30" spans="2:13" ht="15.75">
      <c r="B30" s="220"/>
      <c r="C30" s="362"/>
      <c r="D30" s="362"/>
      <c r="E30" s="221"/>
      <c r="F30" s="222"/>
      <c r="G30" s="223"/>
      <c r="H30" s="224"/>
      <c r="I30" s="224"/>
      <c r="J30" s="223"/>
      <c r="K30" s="223"/>
      <c r="L30" s="223"/>
      <c r="M30" s="223"/>
    </row>
    <row r="31" spans="2:13" ht="15.75">
      <c r="B31" s="220"/>
      <c r="C31" s="362"/>
      <c r="D31" s="362"/>
      <c r="E31" s="221"/>
      <c r="F31" s="222"/>
      <c r="G31" s="223"/>
      <c r="H31" s="224"/>
      <c r="I31" s="224"/>
      <c r="J31" s="223"/>
      <c r="K31" s="223"/>
      <c r="L31" s="223"/>
      <c r="M31" s="223"/>
    </row>
    <row r="32" spans="2:13" ht="15.75">
      <c r="B32" s="220"/>
      <c r="C32" s="362"/>
      <c r="D32" s="362"/>
      <c r="E32" s="221"/>
      <c r="F32" s="222"/>
      <c r="G32" s="223"/>
      <c r="H32" s="224"/>
      <c r="I32" s="224"/>
      <c r="J32" s="223"/>
      <c r="K32" s="223"/>
      <c r="L32" s="223"/>
      <c r="M32" s="223"/>
    </row>
    <row r="33" spans="2:13" ht="15.75">
      <c r="B33" s="220"/>
      <c r="C33" s="362"/>
      <c r="D33" s="362"/>
      <c r="E33" s="221"/>
      <c r="F33" s="222"/>
      <c r="G33" s="223"/>
      <c r="H33" s="224"/>
      <c r="I33" s="224"/>
      <c r="J33" s="223"/>
      <c r="K33" s="223"/>
      <c r="L33" s="223"/>
      <c r="M33" s="223"/>
    </row>
    <row r="34" spans="2:13" ht="15.75">
      <c r="B34" s="220"/>
      <c r="C34" s="362"/>
      <c r="D34" s="362"/>
      <c r="E34" s="221"/>
      <c r="F34" s="222"/>
      <c r="G34" s="223"/>
      <c r="H34" s="224"/>
      <c r="I34" s="224"/>
      <c r="J34" s="223"/>
      <c r="K34" s="223"/>
      <c r="L34" s="223"/>
      <c r="M34" s="223"/>
    </row>
    <row r="35" spans="2:29" ht="15.75">
      <c r="B35" s="220"/>
      <c r="C35" s="362"/>
      <c r="D35" s="362"/>
      <c r="E35" s="221"/>
      <c r="F35" s="222"/>
      <c r="G35" s="223"/>
      <c r="H35" s="224"/>
      <c r="I35" s="224"/>
      <c r="J35" s="223"/>
      <c r="K35" s="223"/>
      <c r="L35" s="223"/>
      <c r="M35" s="223"/>
      <c r="N35" s="48"/>
      <c r="O35" s="48"/>
      <c r="P35" s="48"/>
      <c r="Q35" s="48"/>
      <c r="R35" s="48"/>
      <c r="S35" s="48"/>
      <c r="T35" s="48"/>
      <c r="U35" s="48"/>
      <c r="V35" s="48"/>
      <c r="W35" s="48"/>
      <c r="X35" s="48"/>
      <c r="Y35" s="48"/>
      <c r="Z35" s="48"/>
      <c r="AA35" s="48"/>
      <c r="AB35" s="48"/>
      <c r="AC35" s="48"/>
    </row>
    <row r="36" spans="2:13" ht="15.75">
      <c r="B36" s="225" t="s">
        <v>256</v>
      </c>
      <c r="C36" s="225"/>
      <c r="D36" s="225"/>
      <c r="E36" s="235"/>
      <c r="F36" s="228"/>
      <c r="G36" s="236">
        <f>SUM(G29:G35)</f>
        <v>0</v>
      </c>
      <c r="H36" s="228"/>
      <c r="I36" s="228"/>
      <c r="J36" s="236">
        <f>SUM(J29:J35)</f>
        <v>0</v>
      </c>
      <c r="K36" s="236">
        <f>SUM(K29:K35)</f>
        <v>0</v>
      </c>
      <c r="L36" s="236">
        <f>SUM(L29:L35)</f>
        <v>0</v>
      </c>
      <c r="M36" s="236">
        <f>SUM(M29:M35)</f>
        <v>0</v>
      </c>
    </row>
    <row r="37" spans="2:13" ht="15.75">
      <c r="B37" s="225" t="s">
        <v>138</v>
      </c>
      <c r="C37" s="225"/>
      <c r="D37" s="225"/>
      <c r="E37" s="225"/>
      <c r="F37" s="228"/>
      <c r="G37" s="236">
        <f>SUM(G19+G27+G36)</f>
        <v>0</v>
      </c>
      <c r="H37" s="228"/>
      <c r="I37" s="228"/>
      <c r="J37" s="236">
        <f>SUM(J19+J27+J36)</f>
        <v>0</v>
      </c>
      <c r="K37" s="236">
        <f>SUM(K19+K27+K36)</f>
        <v>0</v>
      </c>
      <c r="L37" s="236">
        <f>SUM(L19+L27+L36)</f>
        <v>0</v>
      </c>
      <c r="M37" s="236">
        <f>SUM(M19+M27+M36)</f>
        <v>0</v>
      </c>
    </row>
    <row r="38" spans="2:13" ht="15.75">
      <c r="B38" s="48"/>
      <c r="C38" s="48"/>
      <c r="D38" s="48"/>
      <c r="E38" s="48"/>
      <c r="F38" s="48"/>
      <c r="G38" s="48"/>
      <c r="H38" s="48"/>
      <c r="I38" s="48"/>
      <c r="J38" s="48"/>
      <c r="K38" s="48"/>
      <c r="L38" s="48"/>
      <c r="M38" s="48"/>
    </row>
    <row r="39" spans="6:13" ht="15.75">
      <c r="F39" s="238"/>
      <c r="G39" s="238"/>
      <c r="J39" s="238"/>
      <c r="K39" s="238"/>
      <c r="L39" s="238"/>
      <c r="M39" s="238"/>
    </row>
    <row r="40" spans="6:14" ht="15.75">
      <c r="F40" s="48"/>
      <c r="H40" s="239"/>
      <c r="N40" s="48"/>
    </row>
    <row r="41" spans="2:13" ht="15.75">
      <c r="B41" s="48"/>
      <c r="C41" s="48"/>
      <c r="D41" s="48"/>
      <c r="E41" s="48"/>
      <c r="F41" s="48"/>
      <c r="G41" s="48"/>
      <c r="H41" s="48"/>
      <c r="I41" s="48"/>
      <c r="J41" s="48"/>
      <c r="K41" s="48"/>
      <c r="L41" s="48"/>
      <c r="M41" s="48"/>
    </row>
    <row r="42" spans="2:13" ht="15.75">
      <c r="B42" s="48"/>
      <c r="C42" s="48"/>
      <c r="D42" s="48"/>
      <c r="E42" s="48"/>
      <c r="F42" s="48"/>
      <c r="G42" s="48"/>
      <c r="H42" s="48"/>
      <c r="I42" s="48"/>
      <c r="J42" s="48"/>
      <c r="K42" s="48"/>
      <c r="L42" s="48"/>
      <c r="M42" s="48"/>
    </row>
  </sheetData>
  <sheetProtection sheet="1"/>
  <mergeCells count="3">
    <mergeCell ref="H6:I6"/>
    <mergeCell ref="J6:K6"/>
    <mergeCell ref="L6:M6"/>
  </mergeCells>
  <printOptions/>
  <pageMargins left="0.38" right="0.5" top="0.78" bottom="0.4" header="0.5" footer="0"/>
  <pageSetup blackAndWhite="1" fitToHeight="1" fitToWidth="1" horizontalDpi="120" verticalDpi="120" orientation="landscape" scale="72" r:id="rId1"/>
  <headerFooter alignWithMargins="0">
    <oddHeader>&amp;RState of Kansas
County
</oddHeader>
    <oddFooter>&amp;CPage No. 5</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J48"/>
  <sheetViews>
    <sheetView view="pageBreakPreview" zoomScale="98" zoomScaleNormal="75" zoomScaleSheetLayoutView="98" zoomScalePageLayoutView="0" workbookViewId="0" topLeftCell="A12">
      <selection activeCell="F14" sqref="F14"/>
    </sheetView>
  </sheetViews>
  <sheetFormatPr defaultColWidth="8.796875" defaultRowHeight="15"/>
  <cols>
    <col min="1" max="1" width="4.796875" style="48" customWidth="1"/>
    <col min="2" max="2" width="25.796875" style="48" customWidth="1"/>
    <col min="3" max="5" width="9.796875" style="48" customWidth="1"/>
    <col min="6" max="6" width="17.09765625" style="48" customWidth="1"/>
    <col min="7" max="9" width="15.796875" style="48" customWidth="1"/>
    <col min="10" max="16384" width="8.8984375" style="48" customWidth="1"/>
  </cols>
  <sheetData>
    <row r="1" spans="2:9" ht="15.75">
      <c r="B1" s="182" t="str">
        <f>inputPrYr!$C$2</f>
        <v>MITCHELL COUNTY</v>
      </c>
      <c r="C1" s="51"/>
      <c r="D1" s="51"/>
      <c r="E1" s="51"/>
      <c r="F1" s="51"/>
      <c r="G1" s="51"/>
      <c r="H1" s="51"/>
      <c r="I1" s="240">
        <f>inputPrYr!C4</f>
        <v>2014</v>
      </c>
    </row>
    <row r="2" spans="2:9" ht="15.75">
      <c r="B2" s="51"/>
      <c r="C2" s="51"/>
      <c r="D2" s="51"/>
      <c r="E2" s="51"/>
      <c r="F2" s="51"/>
      <c r="G2" s="51"/>
      <c r="H2" s="51"/>
      <c r="I2" s="194"/>
    </row>
    <row r="3" spans="2:9" ht="15.75">
      <c r="B3" s="51"/>
      <c r="C3" s="59"/>
      <c r="D3" s="59"/>
      <c r="E3" s="59"/>
      <c r="F3" s="59"/>
      <c r="G3" s="59"/>
      <c r="H3" s="59"/>
      <c r="I3" s="241"/>
    </row>
    <row r="4" spans="2:9" ht="15.75">
      <c r="B4" s="209" t="s">
        <v>150</v>
      </c>
      <c r="C4" s="59"/>
      <c r="D4" s="59"/>
      <c r="E4" s="59"/>
      <c r="F4" s="59"/>
      <c r="G4" s="59"/>
      <c r="H4" s="59"/>
      <c r="I4" s="59"/>
    </row>
    <row r="5" spans="2:9" ht="15.75">
      <c r="B5" s="80"/>
      <c r="C5" s="210"/>
      <c r="D5" s="210"/>
      <c r="E5" s="210"/>
      <c r="F5" s="210"/>
      <c r="G5" s="210"/>
      <c r="H5" s="210"/>
      <c r="I5" s="210"/>
    </row>
    <row r="6" spans="2:9" ht="15.75">
      <c r="B6" s="242"/>
      <c r="C6" s="243"/>
      <c r="D6" s="243"/>
      <c r="E6" s="243"/>
      <c r="F6" s="211" t="s">
        <v>47</v>
      </c>
      <c r="G6" s="243"/>
      <c r="H6" s="243"/>
      <c r="I6" s="243"/>
    </row>
    <row r="7" spans="2:9" ht="15.75">
      <c r="B7" s="242"/>
      <c r="C7" s="214"/>
      <c r="D7" s="214" t="s">
        <v>139</v>
      </c>
      <c r="E7" s="214" t="s">
        <v>140</v>
      </c>
      <c r="F7" s="214" t="s">
        <v>66</v>
      </c>
      <c r="G7" s="214" t="s">
        <v>141</v>
      </c>
      <c r="H7" s="214" t="s">
        <v>142</v>
      </c>
      <c r="I7" s="214" t="s">
        <v>142</v>
      </c>
    </row>
    <row r="8" spans="2:9" ht="15.75">
      <c r="B8" s="443" t="s">
        <v>295</v>
      </c>
      <c r="C8" s="214" t="s">
        <v>143</v>
      </c>
      <c r="D8" s="214" t="s">
        <v>144</v>
      </c>
      <c r="E8" s="214" t="s">
        <v>129</v>
      </c>
      <c r="F8" s="214" t="s">
        <v>145</v>
      </c>
      <c r="G8" s="214" t="s">
        <v>184</v>
      </c>
      <c r="H8" s="214" t="s">
        <v>146</v>
      </c>
      <c r="I8" s="214" t="s">
        <v>146</v>
      </c>
    </row>
    <row r="9" spans="2:9" ht="15.75">
      <c r="B9" s="442" t="s">
        <v>294</v>
      </c>
      <c r="C9" s="217" t="s">
        <v>126</v>
      </c>
      <c r="D9" s="245" t="s">
        <v>147</v>
      </c>
      <c r="E9" s="217" t="s">
        <v>91</v>
      </c>
      <c r="F9" s="245" t="s">
        <v>203</v>
      </c>
      <c r="G9" s="246" t="str">
        <f>CONCATENATE("Jan 1,",I1-1,"")</f>
        <v>Jan 1,2013</v>
      </c>
      <c r="H9" s="217">
        <f>I1-1</f>
        <v>2013</v>
      </c>
      <c r="I9" s="217">
        <f>I1</f>
        <v>2014</v>
      </c>
    </row>
    <row r="10" spans="2:9" ht="15.75">
      <c r="B10" s="247" t="s">
        <v>480</v>
      </c>
      <c r="C10" s="361">
        <v>39918</v>
      </c>
      <c r="D10" s="248">
        <v>240</v>
      </c>
      <c r="E10" s="548" t="s">
        <v>481</v>
      </c>
      <c r="F10" s="78">
        <v>6345000</v>
      </c>
      <c r="G10" s="78">
        <v>5620000</v>
      </c>
      <c r="H10" s="78">
        <v>465109</v>
      </c>
      <c r="I10" s="78">
        <v>467609</v>
      </c>
    </row>
    <row r="11" spans="2:9" ht="15.75">
      <c r="B11" s="247" t="s">
        <v>482</v>
      </c>
      <c r="C11" s="247"/>
      <c r="D11" s="248"/>
      <c r="E11" s="249"/>
      <c r="F11" s="78"/>
      <c r="G11" s="78"/>
      <c r="H11" s="78"/>
      <c r="I11" s="78"/>
    </row>
    <row r="12" spans="2:9" ht="15.75">
      <c r="B12" s="247" t="s">
        <v>483</v>
      </c>
      <c r="C12" s="361">
        <v>40101</v>
      </c>
      <c r="D12" s="248">
        <v>385</v>
      </c>
      <c r="E12" s="548" t="s">
        <v>484</v>
      </c>
      <c r="F12" s="78">
        <v>7850000</v>
      </c>
      <c r="G12" s="78">
        <v>6920000</v>
      </c>
      <c r="H12" s="78">
        <v>765991</v>
      </c>
      <c r="I12" s="78">
        <v>756605</v>
      </c>
    </row>
    <row r="13" spans="2:9" ht="15.75">
      <c r="B13" s="247" t="s">
        <v>485</v>
      </c>
      <c r="C13" s="361">
        <v>40605</v>
      </c>
      <c r="D13" s="248">
        <v>36</v>
      </c>
      <c r="E13" s="549">
        <v>4.852</v>
      </c>
      <c r="F13" s="78">
        <v>199800</v>
      </c>
      <c r="G13" s="78">
        <v>118765</v>
      </c>
      <c r="H13" s="78">
        <v>63738</v>
      </c>
      <c r="I13" s="78">
        <v>63738</v>
      </c>
    </row>
    <row r="14" spans="2:9" ht="15.75">
      <c r="B14" s="247" t="s">
        <v>486</v>
      </c>
      <c r="C14" s="361">
        <v>41019</v>
      </c>
      <c r="D14" s="248">
        <v>48</v>
      </c>
      <c r="E14" s="249">
        <v>3.25</v>
      </c>
      <c r="F14" s="78">
        <v>126000</v>
      </c>
      <c r="G14" s="78">
        <v>126000</v>
      </c>
      <c r="H14" s="78">
        <v>34171</v>
      </c>
      <c r="I14" s="78">
        <v>34171</v>
      </c>
    </row>
    <row r="15" spans="2:9" ht="15.75">
      <c r="B15" s="247" t="s">
        <v>487</v>
      </c>
      <c r="C15" s="361">
        <v>41018</v>
      </c>
      <c r="D15" s="248">
        <v>60</v>
      </c>
      <c r="E15" s="249">
        <v>4.9</v>
      </c>
      <c r="F15" s="78">
        <v>16285</v>
      </c>
      <c r="G15" s="78">
        <v>12036</v>
      </c>
      <c r="H15" s="78">
        <v>4368</v>
      </c>
      <c r="I15" s="78">
        <v>4368</v>
      </c>
    </row>
    <row r="16" spans="2:9" ht="15.75">
      <c r="B16" s="247" t="s">
        <v>488</v>
      </c>
      <c r="C16" s="361">
        <v>41304</v>
      </c>
      <c r="D16" s="248">
        <v>60</v>
      </c>
      <c r="E16" s="249">
        <v>5.54</v>
      </c>
      <c r="F16" s="78">
        <v>47993</v>
      </c>
      <c r="G16" s="78">
        <v>0</v>
      </c>
      <c r="H16" s="78">
        <v>9156</v>
      </c>
      <c r="I16" s="78">
        <v>10987</v>
      </c>
    </row>
    <row r="17" spans="2:9" ht="15.75">
      <c r="B17" s="247" t="s">
        <v>97</v>
      </c>
      <c r="C17" s="361">
        <v>41298</v>
      </c>
      <c r="D17" s="248">
        <v>36</v>
      </c>
      <c r="E17" s="249">
        <v>2.8</v>
      </c>
      <c r="F17" s="78">
        <v>96145</v>
      </c>
      <c r="G17" s="78">
        <v>0</v>
      </c>
      <c r="H17" s="78">
        <v>0</v>
      </c>
      <c r="I17" s="78">
        <v>33860</v>
      </c>
    </row>
    <row r="18" spans="2:9" ht="15.75">
      <c r="B18" s="247" t="s">
        <v>489</v>
      </c>
      <c r="C18" s="361">
        <v>41345</v>
      </c>
      <c r="D18" s="248">
        <v>60</v>
      </c>
      <c r="E18" s="249">
        <v>1.98</v>
      </c>
      <c r="F18" s="78">
        <v>48591</v>
      </c>
      <c r="G18" s="78">
        <v>0</v>
      </c>
      <c r="H18" s="78">
        <v>0</v>
      </c>
      <c r="I18" s="78">
        <v>10270</v>
      </c>
    </row>
    <row r="19" spans="2:9" ht="15.75">
      <c r="B19" s="247"/>
      <c r="C19" s="247"/>
      <c r="D19" s="248"/>
      <c r="E19" s="249"/>
      <c r="F19" s="78"/>
      <c r="G19" s="78"/>
      <c r="H19" s="78"/>
      <c r="I19" s="78"/>
    </row>
    <row r="20" spans="2:9" ht="15.75">
      <c r="B20" s="247"/>
      <c r="C20" s="247"/>
      <c r="D20" s="248"/>
      <c r="E20" s="249"/>
      <c r="F20" s="78"/>
      <c r="G20" s="78"/>
      <c r="H20" s="78"/>
      <c r="I20" s="78"/>
    </row>
    <row r="21" spans="2:9" ht="15.75">
      <c r="B21" s="247"/>
      <c r="C21" s="247"/>
      <c r="D21" s="248"/>
      <c r="E21" s="249"/>
      <c r="F21" s="78"/>
      <c r="G21" s="78"/>
      <c r="H21" s="78"/>
      <c r="I21" s="78"/>
    </row>
    <row r="22" spans="2:9" ht="15.75">
      <c r="B22" s="247"/>
      <c r="C22" s="247"/>
      <c r="D22" s="248"/>
      <c r="E22" s="249"/>
      <c r="F22" s="78"/>
      <c r="G22" s="78"/>
      <c r="H22" s="78"/>
      <c r="I22" s="78"/>
    </row>
    <row r="23" spans="2:9" ht="15.75">
      <c r="B23" s="247"/>
      <c r="C23" s="247"/>
      <c r="D23" s="248"/>
      <c r="E23" s="249"/>
      <c r="F23" s="78"/>
      <c r="G23" s="78"/>
      <c r="H23" s="78"/>
      <c r="I23" s="78"/>
    </row>
    <row r="24" spans="2:9" ht="15.75">
      <c r="B24" s="247"/>
      <c r="C24" s="247"/>
      <c r="D24" s="248"/>
      <c r="E24" s="249"/>
      <c r="F24" s="78"/>
      <c r="G24" s="78"/>
      <c r="H24" s="78"/>
      <c r="I24" s="78"/>
    </row>
    <row r="25" spans="2:9" ht="15.75">
      <c r="B25" s="247"/>
      <c r="C25" s="247"/>
      <c r="D25" s="248"/>
      <c r="E25" s="249"/>
      <c r="F25" s="78"/>
      <c r="G25" s="78"/>
      <c r="H25" s="78"/>
      <c r="I25" s="78"/>
    </row>
    <row r="26" spans="2:9" ht="15.75">
      <c r="B26" s="247"/>
      <c r="C26" s="247"/>
      <c r="D26" s="248"/>
      <c r="E26" s="249"/>
      <c r="F26" s="78"/>
      <c r="G26" s="78"/>
      <c r="H26" s="78"/>
      <c r="I26" s="78"/>
    </row>
    <row r="27" spans="2:9" ht="15.75">
      <c r="B27" s="247"/>
      <c r="C27" s="247"/>
      <c r="D27" s="248"/>
      <c r="E27" s="249"/>
      <c r="F27" s="78"/>
      <c r="G27" s="78"/>
      <c r="H27" s="78"/>
      <c r="I27" s="78"/>
    </row>
    <row r="28" spans="2:9" ht="15.75">
      <c r="B28" s="247"/>
      <c r="C28" s="247"/>
      <c r="D28" s="248"/>
      <c r="E28" s="249"/>
      <c r="F28" s="78"/>
      <c r="G28" s="78"/>
      <c r="H28" s="78"/>
      <c r="I28" s="78"/>
    </row>
    <row r="29" spans="2:9" ht="15.75">
      <c r="B29" s="247"/>
      <c r="C29" s="247"/>
      <c r="D29" s="248"/>
      <c r="E29" s="249"/>
      <c r="F29" s="78"/>
      <c r="G29" s="78"/>
      <c r="H29" s="78"/>
      <c r="I29" s="78"/>
    </row>
    <row r="30" spans="2:9" ht="15.75">
      <c r="B30" s="247"/>
      <c r="C30" s="247"/>
      <c r="D30" s="248"/>
      <c r="E30" s="249"/>
      <c r="F30" s="78"/>
      <c r="G30" s="78"/>
      <c r="H30" s="78"/>
      <c r="I30" s="78"/>
    </row>
    <row r="31" spans="2:9" ht="15.75">
      <c r="B31" s="247"/>
      <c r="C31" s="247"/>
      <c r="D31" s="248"/>
      <c r="E31" s="249"/>
      <c r="F31" s="78"/>
      <c r="G31" s="78"/>
      <c r="H31" s="78"/>
      <c r="I31" s="78"/>
    </row>
    <row r="32" spans="2:9" ht="15.75">
      <c r="B32" s="247"/>
      <c r="C32" s="247"/>
      <c r="D32" s="248"/>
      <c r="E32" s="249"/>
      <c r="F32" s="78"/>
      <c r="G32" s="78"/>
      <c r="H32" s="78"/>
      <c r="I32" s="78"/>
    </row>
    <row r="33" spans="2:9" ht="15.75">
      <c r="B33" s="247"/>
      <c r="C33" s="247"/>
      <c r="D33" s="248"/>
      <c r="E33" s="249"/>
      <c r="F33" s="78"/>
      <c r="G33" s="78"/>
      <c r="H33" s="78"/>
      <c r="I33" s="78"/>
    </row>
    <row r="34" spans="2:9" ht="15.75">
      <c r="B34" s="247"/>
      <c r="C34" s="247"/>
      <c r="D34" s="248"/>
      <c r="E34" s="249"/>
      <c r="F34" s="78"/>
      <c r="G34" s="78"/>
      <c r="H34" s="78"/>
      <c r="I34" s="78"/>
    </row>
    <row r="35" spans="2:9" ht="15.75">
      <c r="B35" s="247"/>
      <c r="C35" s="247"/>
      <c r="D35" s="248"/>
      <c r="E35" s="249"/>
      <c r="F35" s="78"/>
      <c r="G35" s="78"/>
      <c r="H35" s="78"/>
      <c r="I35" s="78"/>
    </row>
    <row r="36" spans="2:9" ht="15.75">
      <c r="B36" s="247"/>
      <c r="C36" s="247"/>
      <c r="D36" s="248"/>
      <c r="E36" s="249"/>
      <c r="F36" s="78"/>
      <c r="G36" s="78"/>
      <c r="H36" s="78"/>
      <c r="I36" s="78"/>
    </row>
    <row r="37" spans="2:10" ht="16.5" thickBot="1">
      <c r="B37" s="444"/>
      <c r="C37" s="51"/>
      <c r="D37" s="51"/>
      <c r="E37" s="51"/>
      <c r="F37" s="225" t="s">
        <v>73</v>
      </c>
      <c r="G37" s="250">
        <f>SUM(G10:G36)</f>
        <v>12796801</v>
      </c>
      <c r="H37" s="250">
        <f>SUM(H10:H36)</f>
        <v>1342533</v>
      </c>
      <c r="I37" s="250">
        <f>SUM(I10:I36)</f>
        <v>1381608</v>
      </c>
      <c r="J37" s="251"/>
    </row>
    <row r="38" spans="2:9" ht="16.5" thickTop="1">
      <c r="B38" s="51"/>
      <c r="C38" s="51"/>
      <c r="D38" s="51"/>
      <c r="E38" s="51"/>
      <c r="F38" s="51"/>
      <c r="G38" s="51"/>
      <c r="H38" s="182"/>
      <c r="I38" s="182"/>
    </row>
    <row r="39" spans="2:9" ht="15.75">
      <c r="B39" s="252" t="s">
        <v>42</v>
      </c>
      <c r="C39" s="253"/>
      <c r="D39" s="253"/>
      <c r="E39" s="253"/>
      <c r="F39" s="253"/>
      <c r="G39" s="253"/>
      <c r="H39" s="182"/>
      <c r="I39" s="182"/>
    </row>
    <row r="40" spans="2:9" ht="15.75">
      <c r="B40" s="109"/>
      <c r="C40" s="109"/>
      <c r="D40" s="239"/>
      <c r="E40" s="109"/>
      <c r="F40" s="109"/>
      <c r="G40" s="109"/>
      <c r="H40" s="238"/>
      <c r="I40" s="238"/>
    </row>
    <row r="41" spans="2:9" ht="15.75">
      <c r="B41" s="109"/>
      <c r="C41" s="109"/>
      <c r="D41" s="109"/>
      <c r="E41" s="109"/>
      <c r="F41" s="109"/>
      <c r="G41" s="109"/>
      <c r="H41" s="109"/>
      <c r="I41" s="109"/>
    </row>
    <row r="42" spans="2:9" ht="15.75">
      <c r="B42" s="109"/>
      <c r="C42" s="109"/>
      <c r="D42" s="109"/>
      <c r="E42" s="109"/>
      <c r="F42" s="109"/>
      <c r="G42" s="109"/>
      <c r="H42" s="109"/>
      <c r="I42" s="109"/>
    </row>
    <row r="43" spans="2:9" ht="15.75">
      <c r="B43" s="109"/>
      <c r="C43" s="109"/>
      <c r="D43" s="109"/>
      <c r="E43" s="109"/>
      <c r="F43" s="109"/>
      <c r="G43" s="109"/>
      <c r="H43" s="109"/>
      <c r="I43" s="109"/>
    </row>
    <row r="44" spans="2:9" ht="15.75">
      <c r="B44" s="109"/>
      <c r="C44" s="109"/>
      <c r="D44" s="109"/>
      <c r="E44" s="109"/>
      <c r="F44" s="109"/>
      <c r="G44" s="109"/>
      <c r="H44" s="109"/>
      <c r="I44" s="109"/>
    </row>
    <row r="45" spans="2:9" ht="15.75">
      <c r="B45" s="109"/>
      <c r="C45" s="109"/>
      <c r="D45" s="109"/>
      <c r="E45" s="109"/>
      <c r="F45" s="109"/>
      <c r="G45" s="109"/>
      <c r="H45" s="109"/>
      <c r="I45" s="109"/>
    </row>
    <row r="46" spans="2:9" ht="15.75">
      <c r="B46" s="109"/>
      <c r="C46" s="109"/>
      <c r="D46" s="109"/>
      <c r="E46" s="109"/>
      <c r="F46" s="109"/>
      <c r="G46" s="109"/>
      <c r="H46" s="109"/>
      <c r="I46" s="109"/>
    </row>
    <row r="47" spans="2:9" ht="15.75">
      <c r="B47" s="109"/>
      <c r="C47" s="109"/>
      <c r="D47" s="109"/>
      <c r="E47" s="109"/>
      <c r="F47" s="109"/>
      <c r="G47" s="109"/>
      <c r="H47" s="109"/>
      <c r="I47" s="109"/>
    </row>
    <row r="48" spans="2:9" ht="15.75">
      <c r="B48" s="109"/>
      <c r="C48" s="109"/>
      <c r="D48" s="109"/>
      <c r="E48" s="109"/>
      <c r="F48" s="109"/>
      <c r="G48" s="109"/>
      <c r="H48" s="109"/>
      <c r="I48" s="109"/>
    </row>
  </sheetData>
  <sheetProtection/>
  <printOptions/>
  <pageMargins left="0.17" right="0.5" top="0.78" bottom="0.4" header="0.5" footer="0"/>
  <pageSetup blackAndWhite="1" fitToHeight="1" fitToWidth="1" horizontalDpi="120" verticalDpi="120" orientation="landscape" scale="82" r:id="rId1"/>
  <headerFooter alignWithMargins="0">
    <oddHeader>&amp;RState of Kansas
County
</oddHeader>
    <oddFooter>&amp;CPage No. 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john</cp:lastModifiedBy>
  <cp:lastPrinted>2013-08-07T13:03:50Z</cp:lastPrinted>
  <dcterms:created xsi:type="dcterms:W3CDTF">1998-08-26T13:26:11Z</dcterms:created>
  <dcterms:modified xsi:type="dcterms:W3CDTF">2013-08-07T13:03:54Z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