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9630" windowHeight="2655" tabRatio="873" activeTab="4"/>
  </bookViews>
  <sheets>
    <sheet name="instructions" sheetId="1" r:id="rId1"/>
    <sheet name="inputPrYr" sheetId="2" r:id="rId2"/>
    <sheet name="inputOth" sheetId="3" r:id="rId3"/>
    <sheet name="inputBudSum" sheetId="4" r:id="rId4"/>
    <sheet name="cert" sheetId="5" r:id="rId5"/>
    <sheet name="cert2" sheetId="6" r:id="rId6"/>
    <sheet name="computation" sheetId="7" r:id="rId7"/>
    <sheet name="mvalloc" sheetId="8" r:id="rId8"/>
    <sheet name="transfers" sheetId="9" r:id="rId9"/>
    <sheet name="TransfersStatutes" sheetId="10" r:id="rId10"/>
    <sheet name="debt" sheetId="11" r:id="rId11"/>
    <sheet name="lpform" sheetId="12" r:id="rId12"/>
    <sheet name="general" sheetId="13" r:id="rId13"/>
    <sheet name="gen-detail" sheetId="14" r:id="rId14"/>
    <sheet name="DebtService" sheetId="15" r:id="rId15"/>
    <sheet name="road" sheetId="16" r:id="rId16"/>
    <sheet name="levy page10" sheetId="17" r:id="rId17"/>
    <sheet name="levy page11" sheetId="18" r:id="rId18"/>
    <sheet name="levy page12" sheetId="19" r:id="rId19"/>
    <sheet name="no levy page13" sheetId="20" r:id="rId20"/>
    <sheet name="no levy page14" sheetId="21" r:id="rId21"/>
    <sheet name="no levy page15" sheetId="22" r:id="rId22"/>
    <sheet name="nonbudA" sheetId="23" r:id="rId23"/>
    <sheet name="nonbudB" sheetId="24" r:id="rId24"/>
    <sheet name="nonbudC" sheetId="25" r:id="rId25"/>
    <sheet name="nonbudD" sheetId="26" r:id="rId26"/>
    <sheet name="NonBudFunds" sheetId="27" r:id="rId27"/>
    <sheet name="summ" sheetId="28" r:id="rId28"/>
    <sheet name="summ2" sheetId="29" r:id="rId29"/>
    <sheet name="Nhood" sheetId="30" r:id="rId30"/>
    <sheet name="Resolution" sheetId="31" r:id="rId31"/>
    <sheet name="Tab A" sheetId="32" r:id="rId32"/>
    <sheet name="Tab B" sheetId="33" r:id="rId33"/>
    <sheet name="Tab C" sheetId="34" r:id="rId34"/>
    <sheet name="Tab D" sheetId="35" r:id="rId35"/>
    <sheet name="Tab E" sheetId="36" r:id="rId36"/>
    <sheet name="Mill Rate Computation" sheetId="37" r:id="rId37"/>
    <sheet name="Helpful Links" sheetId="38" r:id="rId38"/>
    <sheet name="legend" sheetId="39" r:id="rId39"/>
  </sheets>
  <definedNames>
    <definedName name="_xlnm.Print_Area" localSheetId="14">'DebtService'!$B$1:$E$55</definedName>
    <definedName name="_xlnm.Print_Area" localSheetId="12">'general'!$A$1:$E$126</definedName>
    <definedName name="_xlnm.Print_Area" localSheetId="1">'inputPrYr'!$A$1:$F$125</definedName>
    <definedName name="_xlnm.Print_Area" localSheetId="0">'instructions'!$A$1:$A$107</definedName>
    <definedName name="_xlnm.Print_Area" localSheetId="16">'levy page10'!$A$1:$E$67</definedName>
    <definedName name="_xlnm.Print_Area" localSheetId="17">'levy page11'!$A$1:$E$64</definedName>
    <definedName name="_xlnm.Print_Area" localSheetId="18">'levy page12'!$A$1:$E$63</definedName>
    <definedName name="_xlnm.Print_Area" localSheetId="22">'nonbudA'!$A$1:$K$39</definedName>
    <definedName name="_xlnm.Print_Area" localSheetId="23">'nonbudB'!$A$1:$K$39</definedName>
    <definedName name="_xlnm.Print_Area" localSheetId="24">'nonbudC'!$A$1:$K$39</definedName>
    <definedName name="_xlnm.Print_Area" localSheetId="25">'nonbudD'!$A$1:$K$39</definedName>
    <definedName name="_xlnm.Print_Area" localSheetId="15">'road'!$B$1:$E$57</definedName>
    <definedName name="_xlnm.Print_Area" localSheetId="27">'summ'!$A$1:$H$72</definedName>
    <definedName name="_xlnm.Print_Area" localSheetId="28">'summ2'!$A$1:$I$72</definedName>
  </definedNames>
  <calcPr fullCalcOnLoad="1"/>
</workbook>
</file>

<file path=xl/sharedStrings.xml><?xml version="1.0" encoding="utf-8"?>
<sst xmlns="http://schemas.openxmlformats.org/spreadsheetml/2006/main" count="1987" uniqueCount="1058">
  <si>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</si>
  <si>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</si>
  <si>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</si>
  <si>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</si>
  <si>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</si>
  <si>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</si>
  <si>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</si>
  <si>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</si>
  <si>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</si>
  <si>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</si>
  <si>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</si>
  <si>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</si>
  <si>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</si>
  <si>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</si>
  <si>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</si>
  <si>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</si>
  <si>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</si>
  <si>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</si>
  <si>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</si>
  <si>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</si>
  <si>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</si>
  <si>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 xml:space="preserve">funds.  If one of those funds is in trouble you might be able to </t>
  </si>
  <si>
    <t>order to 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</si>
  <si>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</si>
  <si>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</si>
  <si>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</si>
  <si>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</si>
  <si>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</si>
  <si>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</si>
  <si>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</si>
  <si>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</si>
  <si>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</si>
  <si>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</si>
  <si>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</si>
  <si>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</si>
  <si>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</si>
  <si>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</si>
  <si>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</si>
  <si>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</si>
  <si>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</si>
  <si>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</si>
  <si>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</si>
  <si>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</si>
  <si>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</si>
  <si>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</si>
  <si>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</si>
  <si>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</si>
  <si>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</si>
  <si>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</si>
  <si>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</si>
  <si>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</si>
  <si>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</si>
  <si>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</si>
  <si>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</si>
  <si>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</si>
  <si>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</si>
  <si>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</si>
  <si>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</si>
  <si>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</si>
  <si>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</si>
  <si>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</si>
  <si>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</si>
  <si>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</si>
  <si>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</si>
  <si>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</si>
  <si>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</si>
  <si>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</si>
  <si>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</si>
  <si>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</si>
  <si>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</si>
  <si>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</si>
  <si>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</si>
  <si>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</si>
  <si>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</si>
  <si>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</si>
  <si>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</si>
  <si>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</si>
  <si>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</si>
  <si>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</si>
  <si>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</si>
  <si>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</si>
  <si>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</si>
  <si>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</si>
  <si>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</si>
  <si>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</si>
  <si>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</si>
  <si>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</si>
  <si>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</si>
  <si>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</si>
  <si>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</si>
  <si>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</si>
  <si>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</si>
  <si>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</si>
  <si>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</si>
  <si>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</si>
  <si>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</si>
  <si>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</si>
  <si>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</si>
  <si>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</si>
  <si>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</si>
  <si>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</si>
  <si>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</si>
  <si>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</si>
  <si>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</si>
  <si>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</si>
  <si>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</si>
  <si>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</si>
  <si>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</si>
  <si>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</si>
  <si>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</si>
  <si>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</si>
  <si>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</si>
  <si>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</si>
  <si>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</si>
  <si>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</si>
  <si>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</si>
  <si>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</si>
  <si>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</si>
  <si>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</si>
  <si>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</si>
  <si>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</si>
  <si>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</si>
  <si>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</si>
  <si>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</si>
  <si>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</si>
  <si>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</si>
  <si>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</si>
  <si>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</si>
  <si>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</si>
  <si>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</si>
  <si>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</si>
  <si>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</si>
  <si>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</si>
  <si>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on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</si>
  <si>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lease period the lease is owned by the county.  Principal Balance Due for the actual year is linked on the Budget Summary page. </t>
    </r>
    <r>
      <rPr>
        <b/>
        <sz val="12"/>
        <rFont val="Times New Roman"/>
        <family val="1"/>
      </rPr>
      <t>If the county does not have any leases, then on the first line enter 'none'.</t>
    </r>
  </si>
  <si>
    <t>10.  The spreadsheet has individual fund sheets for General Fund (general), Debt Service (DebtService), Road &amp; Bridge, 22 levy pages (levy page10 and levy page20), 10 no levy fund pages (nolevypage21 to nolevypage28), and 4 non-budgeted tab which allows for 20 non-budgeted funds.  Only complete the fund pages needed.  When the fund pages are completed, the totals will be linked to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</si>
  <si>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</si>
  <si>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</si>
  <si>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</si>
  <si>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</si>
  <si>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</si>
  <si>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t>Type</t>
  </si>
  <si>
    <t xml:space="preserve"> Debt</t>
  </si>
  <si>
    <t xml:space="preserve"> Purchased</t>
  </si>
  <si>
    <t>Items</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</si>
  <si>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</si>
  <si>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</si>
  <si>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</si>
  <si>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</si>
  <si>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</si>
  <si>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</si>
  <si>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</si>
  <si>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</si>
  <si>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</si>
  <si>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</si>
  <si>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</si>
  <si>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</si>
  <si>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</si>
  <si>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</si>
  <si>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</si>
  <si>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</si>
  <si>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</si>
  <si>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</si>
  <si>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</si>
  <si>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</si>
  <si>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</si>
  <si>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</si>
  <si>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</si>
  <si>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 16/20M Vehicle Taxes </t>
  </si>
  <si>
    <t>Budgeted Funds</t>
  </si>
  <si>
    <t>Expenditures Must Be Changed by:</t>
  </si>
  <si>
    <t>Mill Rate Comparison</t>
  </si>
  <si>
    <t xml:space="preserve">Prior Year </t>
  </si>
  <si>
    <t xml:space="preserve">Current Year </t>
  </si>
  <si>
    <t xml:space="preserve">Proposed Budget </t>
  </si>
  <si>
    <t>Allocation of Vehicle Taxes</t>
  </si>
  <si>
    <t>3b. Once a date has been entered in the Date block, the following statement will appear: 'Latest date for notice to be published in your newspaper'.  Please ensure to take into consideration as to when your newspaper is published when arriving at the hearing date.</t>
  </si>
  <si>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</si>
  <si>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</si>
  <si>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</si>
  <si>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</si>
  <si>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</si>
  <si>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</si>
  <si>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</si>
  <si>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Special City &amp; County Highway</t>
  </si>
  <si>
    <t>County Equalization</t>
  </si>
  <si>
    <t>Other County</t>
  </si>
  <si>
    <t>Special District Funds</t>
  </si>
  <si>
    <t xml:space="preserve">Other County </t>
  </si>
  <si>
    <t>CERTIFICATE (2)</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</si>
  <si>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</si>
  <si>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</si>
  <si>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</si>
  <si>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</si>
  <si>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</si>
  <si>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</si>
  <si>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</si>
  <si>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</si>
  <si>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</si>
  <si>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</si>
  <si>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</si>
  <si>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</si>
  <si>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</si>
  <si>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 (D)</t>
  </si>
  <si>
    <t>Non-Budgeted Funds-D</t>
  </si>
  <si>
    <t>Other non-tax levy fund names:</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</si>
  <si>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</si>
  <si>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</si>
  <si>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</si>
  <si>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</si>
  <si>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</si>
  <si>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</si>
  <si>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All dollar amounts should be rounded to whole dollars (do not record cents).</t>
  </si>
  <si>
    <t>The blue areas indicated where the information comes from to complete the section input.</t>
  </si>
  <si>
    <t xml:space="preserve">3. Hard coded the Bond &amp; Interest, and Road &amp; Bridge on Certificate and Summary pages. </t>
  </si>
  <si>
    <t xml:space="preserve">7. Now have the indebtedness prior year added to the input page and link with the budget summary page. </t>
  </si>
  <si>
    <t>10. Changed the Budget Summary Heading to include Actual/Estimate/Proposed with the budget year.</t>
  </si>
  <si>
    <t>11. Changed the delinquency rate formula for all levy funds.</t>
  </si>
  <si>
    <t>16. Add total section for Schedule of Transfers and linked the total to the Budget Summary page.</t>
  </si>
  <si>
    <t>17. Added column to show when debt retired on the Indebtedness page.</t>
  </si>
  <si>
    <t>18. Certificate (2) added (2) after Certificate at top of page, removed the certification at the top, and added column for Nov 1 valuation.</t>
  </si>
  <si>
    <t>21. On the Budget Summary page (2) added column for July1 valuation and computation to compute mil rates.</t>
  </si>
  <si>
    <t>20. Added 4 non-budgeted pages for 20 non-budgeted funds.</t>
  </si>
  <si>
    <t>Budget Summary</t>
  </si>
  <si>
    <t>xxxxx</t>
  </si>
  <si>
    <t>Resolution</t>
  </si>
  <si>
    <t>Is a Resolution required?</t>
  </si>
  <si>
    <t>22. Added Resolution statement on Certificate page.</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</si>
  <si>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</si>
  <si>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</si>
  <si>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13. Added page number on the Resolution page.</t>
  </si>
  <si>
    <t>8. Added Resolution statement on Certificate page.</t>
  </si>
  <si>
    <t>Note:  All amounts are to be entered in as whole numbers only.</t>
  </si>
  <si>
    <t>23. Added computation to Certificate page 2 to comp mil rates.</t>
  </si>
  <si>
    <t>24. Added note on General and Road detail pages to ensure the General and Road subtotals are in agreement.</t>
  </si>
  <si>
    <t>**</t>
  </si>
  <si>
    <t>**Note: These two block figures should agree.</t>
  </si>
  <si>
    <t>25. Added to instructions about non-appropriated balance limited to 5%.</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</si>
  <si>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</si>
  <si>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29. Added Slider to the Vehicle Allocation table and linked to fund pages.</t>
  </si>
  <si>
    <t>xxxxxxxxxxxxxxxxxxxx</t>
  </si>
  <si>
    <t>30. Added to all budgeted fund pages the budget authority for the actual year, budget violation, and cash violation.</t>
  </si>
  <si>
    <t>31. Added instruction on the addition for item 30.</t>
  </si>
  <si>
    <t>Funds</t>
  </si>
  <si>
    <t xml:space="preserve">expenditure amounts should reflect the amended </t>
  </si>
  <si>
    <t>expenditure amounts.</t>
  </si>
  <si>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</si>
  <si>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</si>
  <si>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</si>
  <si>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10h. The 4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</si>
  <si>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</si>
  <si>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turns red.  In order to remove this warning message, you must reduce the non-appropriate figure.</t>
    </r>
  </si>
  <si>
    <t xml:space="preserve">10k. Each fund after the "unencumbered cash bal dec31", will show the budget authority expenditure amount for the actual and current year. </t>
  </si>
  <si>
    <r>
      <t>10l.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</si>
  <si>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</si>
  <si>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</si>
  <si>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</si>
  <si>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</si>
  <si>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</si>
  <si>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</si>
  <si>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</si>
  <si>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</si>
  <si>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</si>
  <si>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9c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</si>
  <si>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</si>
  <si>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</si>
  <si>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</si>
  <si>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</si>
  <si>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Added instruction lines 9h to 9j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</si>
  <si>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</si>
  <si>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</si>
  <si>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</si>
  <si>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9/04/08</t>
  </si>
  <si>
    <t>Budget Summary Page</t>
  </si>
  <si>
    <t>27. Added Neighborhood Revitalization table and linked to the tax levy fund pages.</t>
  </si>
  <si>
    <t>32. Added 'miscellaneous' category to the receipt/expenditure for all fund pages and set error message.</t>
  </si>
  <si>
    <t>33. Added to the instruction about correct the error message for the miscellaneous.</t>
  </si>
  <si>
    <t>9. Added Neighborhood Revitalization, LAVTR, City and County Revenue Sharing, and Slider to the input page and to the General Fund page. Added NR to each tax levy fund page.</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</si>
  <si>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</si>
  <si>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</si>
  <si>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</si>
  <si>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</si>
  <si>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</si>
  <si>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</si>
  <si>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</si>
  <si>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</si>
  <si>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</si>
  <si>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</si>
  <si>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</si>
  <si>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</si>
  <si>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</si>
  <si>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</si>
  <si>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</si>
  <si>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</si>
  <si>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</si>
  <si>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</si>
  <si>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</si>
  <si>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</si>
  <si>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</si>
  <si>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</si>
  <si>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</si>
  <si>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</si>
  <si>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</si>
  <si>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</si>
  <si>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Mental Health</t>
  </si>
  <si>
    <t>TOTAL</t>
  </si>
  <si>
    <t>County Treas Motor Vehicle Estimate</t>
  </si>
  <si>
    <t>County Treasurers Recreational Vehicle Estimate</t>
  </si>
  <si>
    <t>Motor Vehicle Factor</t>
  </si>
  <si>
    <t>MVT</t>
  </si>
  <si>
    <t>Totals</t>
  </si>
  <si>
    <t>Juvenile Detention</t>
  </si>
  <si>
    <t>Adopted Budget</t>
  </si>
  <si>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</si>
  <si>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</si>
  <si>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</si>
  <si>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12f. Once the 'Notice of Budget Hearing' has been printed in the local newspaper, please review the notice to ensure the information was correctly printed.  If the information is not correct, the Notice may need to be republished, and may delay the submission of the budget.</t>
  </si>
  <si>
    <t>12g. If the Special District budgets are computed by the County Clerk, the Clerk could complete the County Spec District.xls spreadsheet and this spreadsheet would be included with the county's budget.  Both Budget Summary pages would be taken to the newspaper for publication.</t>
  </si>
  <si>
    <t>Is a resolution required?</t>
  </si>
  <si>
    <t>The following were changed to this spreadsheet on 10/9/12</t>
  </si>
  <si>
    <t>1.  Added "resolution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</si>
  <si>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</si>
  <si>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</si>
  <si>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The following were changed to this spreadsheet on 3/27/13</t>
  </si>
  <si>
    <t>Gove County</t>
  </si>
  <si>
    <t>Bond &amp; Interest</t>
  </si>
  <si>
    <t>Noxious Weed</t>
  </si>
  <si>
    <t>Hospital Maintenance</t>
  </si>
  <si>
    <t>Ag Extension</t>
  </si>
  <si>
    <t>Developmental Service</t>
  </si>
  <si>
    <t>2-1318</t>
  </si>
  <si>
    <t>19-4606</t>
  </si>
  <si>
    <t>12-16, 102</t>
  </si>
  <si>
    <t>2-610</t>
  </si>
  <si>
    <t>19-4011</t>
  </si>
  <si>
    <t>Noxious Weed Capital Outlay</t>
  </si>
  <si>
    <t>Special Alcohol &amp; Drug</t>
  </si>
  <si>
    <t>911 Emergency Service</t>
  </si>
  <si>
    <t>911 Wireless</t>
  </si>
  <si>
    <t>Special Highway Improv.</t>
  </si>
  <si>
    <t>Special Machinery</t>
  </si>
  <si>
    <t>Register of Deeds Tech</t>
  </si>
  <si>
    <t>Bio Terrorism Local</t>
  </si>
  <si>
    <t>Bio Terr. Regionalization</t>
  </si>
  <si>
    <t>Sheriff Relief</t>
  </si>
  <si>
    <t>DEA Sheriff</t>
  </si>
  <si>
    <t>Diversion Fees</t>
  </si>
  <si>
    <t>Treasurer Motor Vehicle</t>
  </si>
  <si>
    <t>Pros. Attorney Training</t>
  </si>
  <si>
    <t>Attorney's Trust</t>
  </si>
  <si>
    <t xml:space="preserve">                                                                          16/20M Vehicle Factor</t>
  </si>
  <si>
    <t xml:space="preserve">                                         Recreational Vehicle Factor</t>
  </si>
  <si>
    <t>Current</t>
  </si>
  <si>
    <t>Proposed</t>
  </si>
  <si>
    <t>Total - Page 7b</t>
  </si>
  <si>
    <t>Total - Page7c</t>
  </si>
  <si>
    <t>Total - Page7d</t>
  </si>
  <si>
    <t>Total - Page7b</t>
  </si>
  <si>
    <t>Total - Page 7c</t>
  </si>
  <si>
    <t>When the page numbers are changed on the fund pages, the Certificate page will also be changed.</t>
  </si>
  <si>
    <t>County Clerk's Use Only</t>
  </si>
  <si>
    <t>November 1st Valuation</t>
  </si>
  <si>
    <t>Address:</t>
  </si>
  <si>
    <t>County1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</si>
  <si>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</si>
  <si>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</si>
  <si>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</si>
  <si>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</si>
  <si>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</si>
  <si>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</si>
  <si>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</si>
  <si>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</si>
  <si>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10-113</t>
  </si>
  <si>
    <t>In Lieu of Tax (IRB)</t>
  </si>
  <si>
    <t xml:space="preserve"> Commissioners will be published in the _________ (newspaper).   Interested persons can also address questions concerning the budget to __________ (office) _______ by calling ___________ between the hours of ________ a.m. to ________ p.m., Monday through Fridays, excluding holidays.  </t>
  </si>
  <si>
    <t>Neighborhood Revitalization</t>
  </si>
  <si>
    <t>LAVTR</t>
  </si>
  <si>
    <t>City and County Revenue Sharing</t>
  </si>
  <si>
    <t>Computation of Delinquency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</si>
  <si>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</si>
  <si>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</si>
  <si>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</si>
  <si>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</si>
  <si>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</si>
  <si>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</si>
  <si>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</si>
  <si>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</si>
  <si>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</si>
  <si>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</si>
  <si>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</si>
  <si>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t>The following were changed to this spreadsheet on 2/23/09</t>
  </si>
  <si>
    <t>1. Instruction under Submitting Budgets added 79-2926 requires electronic filing of the budget.</t>
  </si>
  <si>
    <t>2. Input other tab line 27 changed from Budget Summary to Budget Certificate.</t>
  </si>
  <si>
    <t xml:space="preserve">K.S.A. 79-2926 requires budgets be submitted by electronic means.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</si>
  <si>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</si>
  <si>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</si>
  <si>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Counties</t>
  </si>
  <si>
    <t>The following were changed to this spreadsheet on 9/23/09</t>
  </si>
  <si>
    <t>1. InputPrYr tab added C13 'If amended….'</t>
  </si>
  <si>
    <t>2.No levypage21 tab add conditional statement to cells c29, c30, and d29</t>
  </si>
  <si>
    <t>3. Added tab 'TransfersStatutes'</t>
  </si>
  <si>
    <t>4. Changed foot note to reflect the changes made on 7/1/08 to the above tabs.</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</si>
  <si>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</si>
  <si>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</si>
  <si>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12. Changed the Certificate page so the county name flows instead of having unneeded spaces.</t>
  </si>
  <si>
    <t>14. Delinquency rate for actual for 3 decimal and note that rate can be up to 5% over the actual rate.</t>
  </si>
  <si>
    <t>15. Computation to Determine Limit changed the note on bottom to include publish ordinance and attach the published ordinance to the budget.</t>
  </si>
  <si>
    <t>19. Budget Summary changed the sentence "will meet…" so the year automatically changes.</t>
  </si>
  <si>
    <t>26. Added warning "Exceeds 5%" on all fund pages for the non-appropriated balance.</t>
  </si>
  <si>
    <t>28. Added Neighborhood Revitalization expenditure block to each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</si>
  <si>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</si>
  <si>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</si>
  <si>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</si>
  <si>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</si>
  <si>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</si>
  <si>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</si>
  <si>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</si>
  <si>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</si>
  <si>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</si>
  <si>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</si>
  <si>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10m.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</si>
  <si>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10n.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</si>
  <si>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</si>
  <si>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</si>
  <si>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</si>
  <si>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</si>
  <si>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The following were changed to this spreadsheet on 12/23/11</t>
  </si>
  <si>
    <t>5. Instructions tab, changed #11b to reflect all tax levy pages with 'Projected Carryover' table</t>
  </si>
  <si>
    <t>6. Instructions tab, changed #11c to reflect all tax levy pages with 'Desired Carryover' and warning about delinquency rate</t>
  </si>
  <si>
    <t>7. Instructions tab, added #11d for last year mill rate, proposed total mill rate, and last year total mill rate</t>
  </si>
  <si>
    <t>8. Instructions tab, changed #12b added name of official</t>
  </si>
  <si>
    <t>9. Instructions tab, added #12c for computation of one mill</t>
  </si>
  <si>
    <t>10. Instructions tab, changed #12d added the name of the tables and warning about delinquency rate if used</t>
  </si>
  <si>
    <t>11. Instructions tab, changed #12e added the name of the table and warning about delinquency rate if used</t>
  </si>
  <si>
    <t>12. Instructions tab, changed #12f added that not signing the Budget Summary page will not require to be reprinted</t>
  </si>
  <si>
    <t xml:space="preserve">13. InputPrYr tab, added column for adjusting ad valorem taxes to reflect a better picture of actual taxes received, allow a rate to be used to compute the new amount, and links the new amounts to the appropriate fund page, if used, otherwise used the original amounts </t>
  </si>
  <si>
    <t>14. InputOth tab, section for Computation of Delinquency, change to % from rate and provided example, link to all tax levy fund page will show as %  vs rate</t>
  </si>
  <si>
    <t>15. InputBudSum tab, added official name and latest date for publication of Notice of Budget Hearing</t>
  </si>
  <si>
    <t xml:space="preserve">16. Cert tab, under Table of Content, added Computation to Determine State Library Grant </t>
  </si>
  <si>
    <t>17. Cert tab, right justifyed figures versus having figures centered</t>
  </si>
  <si>
    <t>18. Cert tab, put spaces between governing body signatures block</t>
  </si>
  <si>
    <t>19. Mvalloc tab, removed slider column and computation for slider</t>
  </si>
  <si>
    <t>20. All tax levy fund pages removed the link from Mvalloc tab for slider and converted cells to blank</t>
  </si>
  <si>
    <t xml:space="preserve">21. Debt and Lpform tab added a blank new column at left side and formated 'type of debt' and 'item purchased'  </t>
  </si>
  <si>
    <t>22. All fund pages changed the year column heading, example 'Prior Year Actual' to 'Prior Year' second line 'Actual YYYY'</t>
  </si>
  <si>
    <t xml:space="preserve">23. Change out the 'Mill Rate Computation' tab so to agree with the website </t>
  </si>
  <si>
    <t>24. Added KSA 65-204 to transfer tab</t>
  </si>
  <si>
    <t>25. All tax levy fund pages added 'Mill Rate Comparison' table</t>
  </si>
  <si>
    <t>26. Certificate tab added a place for the email address of the assisted by</t>
  </si>
  <si>
    <t>Email:</t>
  </si>
  <si>
    <t>____________________________________  __________________________________</t>
  </si>
  <si>
    <t>12a. At the bottom of the page is a green shaded area, enter the page number.</t>
  </si>
  <si>
    <r>
      <t>12b. The table '</t>
    </r>
    <r>
      <rPr>
        <i/>
        <sz val="12"/>
        <rFont val="Times New Roman"/>
        <family val="1"/>
      </rPr>
      <t>Estimated Value Of One Mill</t>
    </r>
    <r>
      <rPr>
        <sz val="12"/>
        <rFont val="Times New Roman"/>
        <family val="1"/>
      </rPr>
      <t xml:space="preserve">' to show what 1 mill rate would generate in dollars for the municipality.  </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</si>
  <si>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</si>
  <si>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</si>
  <si>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</si>
  <si>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</si>
  <si>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</si>
  <si>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</si>
  <si>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</si>
  <si>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</si>
  <si>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</si>
  <si>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</si>
  <si>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NonBud tab changed Net valuation to July 1</t>
  </si>
  <si>
    <t>Valuation Factor:</t>
  </si>
  <si>
    <t>Neighborhood Revitalization Subj to Rebate:</t>
  </si>
  <si>
    <t>Neighborhood Revitalization factor:</t>
  </si>
  <si>
    <t>10.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</si>
  <si>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</si>
  <si>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</si>
  <si>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</si>
  <si>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</si>
  <si>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</si>
  <si>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</si>
  <si>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</si>
  <si>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</si>
  <si>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</si>
  <si>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</si>
  <si>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</si>
  <si>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</si>
  <si>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</si>
  <si>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</si>
  <si>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</si>
  <si>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Sheriff's Spec. Law Enf.</t>
  </si>
  <si>
    <t>Concealed Carry</t>
  </si>
  <si>
    <t>K-9</t>
  </si>
  <si>
    <t>the Commissioner's Room, Gove, Kansas</t>
  </si>
  <si>
    <t>the Gove County Clerk's Office, Gove, Kansas</t>
  </si>
  <si>
    <t>David E. Leopold, CPA</t>
  </si>
  <si>
    <t>PO Box 235</t>
  </si>
  <si>
    <t>Hoxie, KS 67740</t>
  </si>
  <si>
    <t>delcpa@ruraltel.net</t>
  </si>
  <si>
    <t>Rural Fire District #1</t>
  </si>
  <si>
    <t>80-1545</t>
  </si>
  <si>
    <t>Special Nox. Weed</t>
  </si>
  <si>
    <t>Special Highway</t>
  </si>
  <si>
    <t>Noxious Weed Cap. Out.</t>
  </si>
  <si>
    <t xml:space="preserve">Noxious Weed </t>
  </si>
  <si>
    <t>8-145</t>
  </si>
  <si>
    <t>68-141g</t>
  </si>
  <si>
    <t>68-590</t>
  </si>
  <si>
    <t>2-1320</t>
  </si>
  <si>
    <t>Close fund</t>
  </si>
  <si>
    <t>N/A</t>
  </si>
  <si>
    <t>1996 Caterpillar 613C</t>
  </si>
  <si>
    <t>Local Sales &amp; Use Tax</t>
  </si>
  <si>
    <t>Interest on Charges on Delinquent Taxes</t>
  </si>
  <si>
    <t>Licenses, Permits, &amp; Fees</t>
  </si>
  <si>
    <t xml:space="preserve">  Mortgage Registration fees</t>
  </si>
  <si>
    <t xml:space="preserve">  Officer's Fees</t>
  </si>
  <si>
    <t xml:space="preserve">  County Health - State of Kansas</t>
  </si>
  <si>
    <t xml:space="preserve">  County Health - Fees &amp; Grants</t>
  </si>
  <si>
    <t xml:space="preserve">  County Health - Healthy Start</t>
  </si>
  <si>
    <t xml:space="preserve">  County Health - Mitigation Plan Grant</t>
  </si>
  <si>
    <t>Use of Money &amp; Property</t>
  </si>
  <si>
    <t xml:space="preserve">  Interest on Idle Funds</t>
  </si>
  <si>
    <t xml:space="preserve">  Rent</t>
  </si>
  <si>
    <t xml:space="preserve">  State of Kansas - District Coroner</t>
  </si>
  <si>
    <t xml:space="preserve">  Sale of Suplus Property</t>
  </si>
  <si>
    <t>Transfers from</t>
  </si>
  <si>
    <t xml:space="preserve">  Treasurer Motor Vehicle</t>
  </si>
  <si>
    <t xml:space="preserve">  Close Bond &amp; Interest</t>
  </si>
  <si>
    <t xml:space="preserve">  Close Extension Council</t>
  </si>
  <si>
    <t xml:space="preserve">County Attorney  </t>
  </si>
  <si>
    <t>Sheriff</t>
  </si>
  <si>
    <t xml:space="preserve">  Towing</t>
  </si>
  <si>
    <t>Unified Court</t>
  </si>
  <si>
    <t xml:space="preserve">  Witness Fees &amp; Mileage</t>
  </si>
  <si>
    <t>Courthouse-General Expense</t>
  </si>
  <si>
    <t xml:space="preserve">  Economic Development</t>
  </si>
  <si>
    <t>Landfill</t>
  </si>
  <si>
    <t>County Health</t>
  </si>
  <si>
    <t xml:space="preserve">  Healthy Start</t>
  </si>
  <si>
    <t xml:space="preserve">  Health Dept Grants</t>
  </si>
  <si>
    <t xml:space="preserve">  Car Seats</t>
  </si>
  <si>
    <t>4-H Building</t>
  </si>
  <si>
    <t>NWKS Planning &amp; Dev.</t>
  </si>
  <si>
    <t xml:space="preserve">  Clearing</t>
  </si>
  <si>
    <t>Appraiser</t>
  </si>
  <si>
    <t>Prisoner Care</t>
  </si>
  <si>
    <t>Emergency Preparedness</t>
  </si>
  <si>
    <t xml:space="preserve">  Mitigation Plan Grant</t>
  </si>
  <si>
    <t>Area Agency Aging</t>
  </si>
  <si>
    <t>Senior Companion</t>
  </si>
  <si>
    <t>Domestic/Sexual Violence</t>
  </si>
  <si>
    <t>Healthy Start</t>
  </si>
  <si>
    <t>Foster Grandparents</t>
  </si>
  <si>
    <t>NWKS Environmental Protection</t>
  </si>
  <si>
    <t>Options Hays</t>
  </si>
  <si>
    <t>Western KS Child Advocacy</t>
  </si>
  <si>
    <t>Commission</t>
  </si>
  <si>
    <t>Cash Basis Reserver</t>
  </si>
  <si>
    <t>Close to General Fund</t>
  </si>
  <si>
    <t>Sheriff's Sale</t>
  </si>
  <si>
    <t>Sale of Surplus Property</t>
  </si>
  <si>
    <t>In Lieu of Taxes</t>
  </si>
  <si>
    <t>Salaries</t>
  </si>
  <si>
    <t>Contractual</t>
  </si>
  <si>
    <t>Commodities</t>
  </si>
  <si>
    <t>Capital Outlay</t>
  </si>
  <si>
    <t>Transfers to:</t>
  </si>
  <si>
    <t xml:space="preserve">  Special Highway Improvement</t>
  </si>
  <si>
    <t xml:space="preserve">  Special Machinery</t>
  </si>
  <si>
    <t>In Lieu of Tax</t>
  </si>
  <si>
    <t>Reimb. Exp. - Sale of Chemical</t>
  </si>
  <si>
    <t>Transfer from Special Noxious Weed</t>
  </si>
  <si>
    <t>Transfer to Noxious Weed Capital Outlay</t>
  </si>
  <si>
    <t>Payments from Plan 502</t>
  </si>
  <si>
    <t>Employer Contributions</t>
  </si>
  <si>
    <t>Health Insurance</t>
  </si>
  <si>
    <t>Payments to Plan 502</t>
  </si>
  <si>
    <t>Transfer from Noxious Weed</t>
  </si>
  <si>
    <t>Charges for Solid Waste Pickup</t>
  </si>
  <si>
    <t>Landfill Charges</t>
  </si>
  <si>
    <t>Special Assessments</t>
  </si>
  <si>
    <t>Delinquent Specials</t>
  </si>
  <si>
    <t>Solid Waste Pickup Contract</t>
  </si>
  <si>
    <t>Refunds</t>
  </si>
  <si>
    <t>Liquor Tax - State of Kansas</t>
  </si>
  <si>
    <t>911 Receipts</t>
  </si>
  <si>
    <t>E-911 Receipts</t>
  </si>
  <si>
    <t>Trsf Road &amp; Bridge</t>
  </si>
  <si>
    <t xml:space="preserve">Receipts  </t>
  </si>
  <si>
    <t>Federal Aid</t>
  </si>
  <si>
    <t>KALHD</t>
  </si>
  <si>
    <t>Local Support</t>
  </si>
  <si>
    <t>Federal Seized Money</t>
  </si>
  <si>
    <t>State of Kansas</t>
  </si>
  <si>
    <t>Collection Fees</t>
  </si>
  <si>
    <t>Transfer to General</t>
  </si>
  <si>
    <t>Case Fees</t>
  </si>
  <si>
    <t>KPT&amp;AI</t>
  </si>
  <si>
    <t xml:space="preserve">Receipts </t>
  </si>
  <si>
    <t>Sher. Sale/For. Money</t>
  </si>
  <si>
    <t>State of KS-Drug C.</t>
  </si>
  <si>
    <t>Conc. Carry Licenses</t>
  </si>
  <si>
    <t>Transfer to:</t>
  </si>
  <si>
    <t>Chronic Disease Risk</t>
  </si>
  <si>
    <t xml:space="preserve">Extension </t>
  </si>
  <si>
    <t>Close to General</t>
  </si>
  <si>
    <t>Porta Count Machine</t>
  </si>
  <si>
    <t>Contractual Services</t>
  </si>
  <si>
    <t>Page No. 8</t>
  </si>
  <si>
    <t>Page No. 9</t>
  </si>
  <si>
    <t>Page No. 10</t>
  </si>
  <si>
    <t>Page No. 11</t>
  </si>
  <si>
    <t>Page No. 12</t>
  </si>
  <si>
    <t>Page No. 13</t>
  </si>
  <si>
    <t>Page No. 14</t>
  </si>
  <si>
    <t>Page No. 15</t>
  </si>
  <si>
    <t>Siezed (Sheriff)</t>
  </si>
  <si>
    <t>Siezed Money</t>
  </si>
  <si>
    <t xml:space="preserve">   </t>
  </si>
  <si>
    <t>Oil &amp; Gas Valuation Depletion</t>
  </si>
  <si>
    <t>Page No. 20</t>
  </si>
  <si>
    <t>Closed Fund</t>
  </si>
  <si>
    <t>Reimb. Fuel Tax</t>
  </si>
  <si>
    <t>Exempt</t>
  </si>
  <si>
    <t>Page No. 20a</t>
  </si>
  <si>
    <t>August 12, 2013</t>
  </si>
  <si>
    <t>8:15 AM</t>
  </si>
  <si>
    <t>Douglas Press</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</si>
  <si>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</si>
  <si>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</si>
  <si>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</si>
  <si>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</si>
  <si>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</si>
  <si>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</si>
  <si>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</si>
  <si>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</si>
  <si>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</si>
  <si>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</si>
  <si>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</si>
  <si>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</si>
  <si>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</si>
  <si>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</si>
  <si>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</si>
  <si>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</si>
  <si>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</si>
  <si>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</si>
  <si>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</si>
  <si>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</si>
  <si>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</si>
  <si>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</si>
  <si>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</si>
  <si>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</si>
  <si>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</si>
  <si>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</si>
  <si>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</si>
  <si>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</si>
  <si>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</si>
  <si>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</si>
  <si>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</si>
  <si>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</si>
  <si>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</si>
  <si>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</si>
  <si>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</si>
  <si>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</si>
  <si>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</si>
  <si>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</si>
  <si>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</si>
  <si>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</si>
  <si>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</si>
  <si>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</si>
  <si>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</si>
  <si>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</si>
  <si>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</si>
  <si>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</si>
  <si>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</si>
  <si>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</si>
  <si>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</si>
  <si>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</si>
  <si>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</si>
  <si>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</si>
  <si>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</si>
  <si>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</si>
  <si>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</si>
  <si>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</si>
  <si>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</si>
  <si>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</si>
  <si>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</si>
  <si>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</si>
  <si>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</si>
  <si>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</si>
  <si>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</si>
  <si>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</si>
  <si>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</si>
  <si>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</si>
  <si>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5. Added tab 'NonBudFunds'</t>
  </si>
  <si>
    <t>4. Added tabs A to E for possible violation</t>
  </si>
  <si>
    <t>6. Instructions tab changed cells 9g - j for changes for possible violations on fund pages</t>
  </si>
  <si>
    <t xml:space="preserve">8.  Instructions tab added line 6b to inform about TransferStatutes tab
</t>
  </si>
  <si>
    <t>7. Deleted on all fund pages the 'Yes' and 'No' and replace with see tab for possible violations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</si>
  <si>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</si>
  <si>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</si>
  <si>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</si>
  <si>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</si>
  <si>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</si>
  <si>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</si>
  <si>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</si>
  <si>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</si>
  <si>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</si>
  <si>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</si>
  <si>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</si>
  <si>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</si>
  <si>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</si>
  <si>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</si>
  <si>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</si>
  <si>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</si>
  <si>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</si>
  <si>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</si>
  <si>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</si>
  <si>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</si>
  <si>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Submitting the Budget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</si>
  <si>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</si>
  <si>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</si>
  <si>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</si>
  <si>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</si>
  <si>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</si>
  <si>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</si>
  <si>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</si>
  <si>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</si>
  <si>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r>
      <t xml:space="preserve">5b. Print the Resolution page (resolution) if the max levy is exceeded.  Complete the printed resolution and ensure to attached it the budget. </t>
    </r>
    <r>
      <rPr>
        <b/>
        <sz val="12"/>
        <rFont val="Times New Roman"/>
        <family val="1"/>
      </rPr>
      <t>Ensure to number the page</t>
    </r>
    <r>
      <rPr>
        <sz val="12"/>
        <rFont val="Times New Roman"/>
        <family val="1"/>
      </rPr>
      <t>.</t>
    </r>
  </si>
  <si>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</si>
  <si>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</si>
  <si>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</si>
  <si>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</si>
  <si>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</si>
  <si>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</si>
  <si>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</si>
  <si>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</si>
  <si>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</si>
  <si>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</si>
  <si>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</si>
  <si>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</si>
  <si>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</si>
  <si>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</si>
  <si>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</si>
  <si>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</si>
  <si>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</si>
  <si>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</si>
  <si>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</si>
  <si>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 &amp; bridge</t>
  </si>
  <si>
    <t xml:space="preserve">and noxious weed funds may split contractual services between the two </t>
  </si>
  <si>
    <t xml:space="preserve">funds.  If one of those funds is in trouble, you might be able to </t>
  </si>
  <si>
    <t xml:space="preserve">allocate a little more in contractual services to the healthy fund in </t>
  </si>
  <si>
    <t>order to 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</si>
  <si>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</si>
  <si>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</si>
  <si>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</si>
  <si>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</si>
  <si>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</si>
  <si>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</si>
  <si>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</si>
  <si>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</si>
  <si>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</si>
  <si>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</si>
  <si>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</si>
  <si>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</si>
  <si>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</si>
  <si>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</si>
  <si>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</si>
  <si>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</si>
  <si>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</si>
  <si>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</si>
  <si>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</si>
  <si>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</si>
  <si>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</si>
  <si>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</si>
  <si>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</si>
  <si>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</si>
  <si>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</si>
  <si>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</si>
  <si>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</si>
  <si>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</si>
  <si>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</si>
  <si>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</si>
  <si>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</si>
  <si>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</si>
  <si>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</si>
  <si>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answering objections of taxpayers relating to the proposed use of all funds and the amount of ad valorem tax.</t>
  </si>
  <si>
    <t>the Neighborhood Revitalization Rebate table.</t>
  </si>
  <si>
    <t>The following were changed to this spreadsheet on 12/28/09</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</si>
  <si>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</si>
  <si>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</si>
  <si>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</si>
  <si>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</si>
  <si>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</si>
  <si>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</si>
  <si>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</si>
  <si>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</si>
  <si>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</si>
  <si>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</si>
  <si>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</si>
  <si>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</si>
  <si>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</si>
  <si>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</si>
  <si>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in the appropriate locations.  If any of the numbers are wrong, change them on this input sheet.</t>
  </si>
  <si>
    <t xml:space="preserve">Enter the following information from the sources shown.  This information will be  entered on the budget forms </t>
  </si>
  <si>
    <t>The following were changed to this spreadsheet on 6/29/10</t>
  </si>
  <si>
    <t>1. Road tab, changed the delinquency % cell reference from E23 to E24</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</si>
  <si>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</si>
  <si>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</si>
  <si>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</si>
  <si>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</si>
  <si>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</si>
  <si>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</si>
  <si>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Does miscellaneous exceed 10% of Total Exp</t>
  </si>
  <si>
    <t>Does miscellaneous exceed 10% of Total Rec</t>
  </si>
  <si>
    <t>General Fund - Detail Expenditures</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</si>
  <si>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</si>
  <si>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</si>
  <si>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</si>
  <si>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</si>
  <si>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</si>
  <si>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</si>
  <si>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</si>
  <si>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</si>
  <si>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The following were changed to this spreadsheet on 9/23/10</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</si>
  <si>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</si>
  <si>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</si>
  <si>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</si>
  <si>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</si>
  <si>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</si>
  <si>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</si>
  <si>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</si>
  <si>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</si>
  <si>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</si>
  <si>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</si>
  <si>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</si>
  <si>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</si>
  <si>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</si>
  <si>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</si>
  <si>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</si>
  <si>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</si>
  <si>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</si>
  <si>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</si>
  <si>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</si>
  <si>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</si>
  <si>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</si>
  <si>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22. Added page no. to all tabs at the bottom of each page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</si>
  <si>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</si>
  <si>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</si>
  <si>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</si>
  <si>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</si>
  <si>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</si>
  <si>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</si>
  <si>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</si>
  <si>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</si>
  <si>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</si>
  <si>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</si>
  <si>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</si>
  <si>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</si>
  <si>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</si>
  <si>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</si>
  <si>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</si>
  <si>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</si>
  <si>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</si>
  <si>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</si>
  <si>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</si>
  <si>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</si>
  <si>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</si>
  <si>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</si>
  <si>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</si>
  <si>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</si>
  <si>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</si>
  <si>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 xml:space="preserve">Tax Levy Rate </t>
  </si>
  <si>
    <t>Miscellaneous</t>
  </si>
  <si>
    <t>Does miscellaneous exceed 10% of Total Receipts</t>
  </si>
  <si>
    <t>Neighborhood Revitalization Rebate</t>
  </si>
  <si>
    <t>Does miscellaneous exceed 10% of Total Expenditure</t>
  </si>
  <si>
    <t xml:space="preserve">The worksheets are named (see the tab) in each budget workbook.  We will identify the worksheet by referencing the tab in parentheses (i.e. General Fund reference would be 'general'). </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</si>
  <si>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</si>
  <si>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</si>
  <si>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Red areas are for notes or indicate a problem area that will need possible corrective action taken.</t>
  </si>
  <si>
    <t>All of the county's budgets should be submitted to Municipal Services by December 1.</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</si>
  <si>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</si>
  <si>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</si>
  <si>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Cash Balance Jan 1</t>
  </si>
  <si>
    <t>Budget Summary2</t>
  </si>
  <si>
    <t>35. Added 'excluding oil, gas, and mobile homes' to lines 7 and 9 on Clerks budget info on tab inputoth.</t>
  </si>
  <si>
    <t>***If you are merely leasing/renting with no intent to purchase, do not list--such transactions are not lease-purchases.</t>
  </si>
  <si>
    <t>34. Expanded on the preparation of budget note 11 for instructions for the Notice of Budget Hearing.</t>
  </si>
  <si>
    <t>The following were changed to this spreadsheet on 5/08/2008</t>
  </si>
  <si>
    <r>
      <t>1. Change all the Non-Budgeted Funds forms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</si>
  <si>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</si>
  <si>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3. The revision date was changed.</t>
  </si>
  <si>
    <t>The following were changed to this spreadsheet on 7/01/08</t>
  </si>
  <si>
    <t>2. Changed the formula for unencumbered cash balances for NonBudA to NonBudD to show a negative balance.</t>
  </si>
  <si>
    <t>3. Added box under unencumbered cash balance for NonBudA to NonBudD to reflect a negative ending cash balance.</t>
  </si>
  <si>
    <t>1. Added instructions to 9d for the NonBudA to NonBudD tabs explaining about negative cash balance.</t>
  </si>
  <si>
    <t xml:space="preserve">Ad Valorem Tax </t>
  </si>
  <si>
    <t xml:space="preserve">County.xls spreadsheet has General Fund, Debt Service, Road &amp; Bridge, 22 levy fund pages, 16 no levy fund pages, and 20 non-budgeted funds. </t>
  </si>
  <si>
    <t>1. Input tab (inputPrYr) added column for the current year expenditures.</t>
  </si>
  <si>
    <t>2. Statement of Indebtedness (debt) added lines to all categories.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</si>
  <si>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 </t>
    </r>
  </si>
  <si>
    <t xml:space="preserve">2. The information entered into the Input Other (inputOth) worksheet is obtained from the County Clerk, County Treasurer, and the budget from two years ago(the year for actual year column for the current budget).  After the information has been entered, please verify the data is correct. </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</si>
  <si>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</si>
  <si>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</si>
  <si>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</si>
  <si>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</si>
  <si>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</si>
  <si>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</si>
  <si>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</si>
  <si>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</si>
  <si>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</si>
  <si>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</si>
  <si>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</si>
  <si>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</si>
  <si>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The following were changed to this spreadsheet on 4/19/11</t>
  </si>
  <si>
    <t>1. Summ tabs changed proposed year expenditure column to 'Budget Authority for Expenditures'</t>
  </si>
  <si>
    <t>Ad Valorem Tax</t>
  </si>
  <si>
    <t>Delinquent Tax</t>
  </si>
  <si>
    <t>Motor Vehicle Tax</t>
  </si>
  <si>
    <t>Recreational Vehicle Tax</t>
  </si>
  <si>
    <t>In Lieu of Taxes (IRB)</t>
  </si>
  <si>
    <t>Mineral Production Tax</t>
  </si>
  <si>
    <t>Interest on Idle Funds</t>
  </si>
  <si>
    <t>Total Receipts</t>
  </si>
  <si>
    <t>Resources Available:</t>
  </si>
  <si>
    <t xml:space="preserve">General </t>
  </si>
  <si>
    <t>Expenditures:</t>
  </si>
  <si>
    <t>Total Expenditures</t>
  </si>
  <si>
    <t>Tax Required</t>
  </si>
  <si>
    <t>%</t>
  </si>
  <si>
    <t>General Fund - Detail Expend</t>
  </si>
  <si>
    <t xml:space="preserve">  Salaries</t>
  </si>
  <si>
    <t xml:space="preserve">  Contractual</t>
  </si>
  <si>
    <t xml:space="preserve">  Commodities</t>
  </si>
  <si>
    <t xml:space="preserve">  Capital Outlay</t>
  </si>
  <si>
    <t>Ambulance</t>
  </si>
  <si>
    <t>County Commission</t>
  </si>
  <si>
    <t>County Treasurer</t>
  </si>
  <si>
    <t>Election</t>
  </si>
  <si>
    <t>Employee Benefits</t>
  </si>
  <si>
    <t>Register of Deeds</t>
  </si>
  <si>
    <t>Road &amp; Bridge</t>
  </si>
  <si>
    <t>Soil Conservation</t>
  </si>
  <si>
    <t>Solid Waste</t>
  </si>
  <si>
    <t>Other</t>
  </si>
  <si>
    <t>Page No.</t>
  </si>
  <si>
    <t xml:space="preserve"> </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</si>
  <si>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</si>
  <si>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</si>
  <si>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</si>
  <si>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</si>
  <si>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</si>
  <si>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</si>
  <si>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</si>
  <si>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</si>
  <si>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</si>
  <si>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</si>
  <si>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</si>
  <si>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</si>
  <si>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</si>
  <si>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</si>
  <si>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</si>
  <si>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</si>
  <si>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</si>
  <si>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</si>
  <si>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</si>
  <si>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</si>
  <si>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</si>
  <si>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</si>
  <si>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</si>
  <si>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</si>
  <si>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</si>
  <si>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</si>
  <si>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</si>
  <si>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</si>
  <si>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</si>
  <si>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</si>
  <si>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</si>
  <si>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</si>
  <si>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</si>
  <si>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</si>
  <si>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</si>
  <si>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</si>
  <si>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</si>
  <si>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</si>
  <si>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</si>
  <si>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</si>
  <si>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</si>
  <si>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</si>
  <si>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</si>
  <si>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</si>
  <si>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</si>
  <si>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</si>
  <si>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</si>
  <si>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</si>
  <si>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</si>
  <si>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</si>
  <si>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</si>
  <si>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</si>
  <si>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</si>
  <si>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</si>
  <si>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</si>
  <si>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</si>
  <si>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</si>
  <si>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</si>
  <si>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</si>
  <si>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</si>
  <si>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</si>
  <si>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</si>
  <si>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</si>
  <si>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</si>
  <si>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</si>
  <si>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</si>
  <si>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</si>
  <si>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</si>
  <si>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</si>
  <si>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</si>
  <si>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</si>
  <si>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</si>
  <si>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</si>
  <si>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</si>
  <si>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</si>
  <si>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</si>
  <si>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</si>
  <si>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</si>
  <si>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</si>
  <si>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</si>
  <si>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</si>
  <si>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</si>
  <si>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</si>
  <si>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</si>
  <si>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</si>
  <si>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</si>
  <si>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</si>
  <si>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</si>
  <si>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</si>
  <si>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</si>
  <si>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</si>
  <si>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</si>
  <si>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</si>
  <si>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</si>
  <si>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</si>
  <si>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</si>
  <si>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</si>
  <si>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</si>
  <si>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</si>
  <si>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</si>
  <si>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Page 7d</t>
  </si>
  <si>
    <t>COUNTY RESOLUTION</t>
  </si>
  <si>
    <t>RESOLUTION NO.__________________</t>
  </si>
  <si>
    <t>Whereas, budgeting, taxing and service level decisions for all county services are the responsibility of the board of county commissioners; and</t>
  </si>
  <si>
    <t>Whereas, the cost of provision of these services continues to increase; and</t>
  </si>
  <si>
    <t>BOARD OF COUNTY COMMISSIONERS</t>
  </si>
  <si>
    <t>___________________________________.</t>
  </si>
  <si>
    <t>ATTEST:</t>
  </si>
  <si>
    <t>________________________________.</t>
  </si>
  <si>
    <t>, County Clerk</t>
  </si>
  <si>
    <t>(Attach a signed copy to the budget)</t>
  </si>
  <si>
    <t>6.  Motor Vehicle Allocation(mvalloc)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</si>
  <si>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r>
      <t>10a.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</si>
  <si>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10b.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</si>
  <si>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10c.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</si>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</sst>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 numFmtId="193" formatCode="0.0%"/>
    <numFmt numFmtId="194" formatCode="#,##0.000_);[Red]\(#,##0.000\)"/>
  </numFmts>
  <fonts count="8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0"/>
      <name val="Times New Roman"/>
      <family val="1"/>
    </font>
    <font>
      <b/>
      <sz val="10"/>
      <name val="Times New Roman"/>
      <family val="1"/>
    </font>
    <font>
      <sz val="10"/>
      <name val="Courier"/>
      <family val="3"/>
    </font>
    <font>
      <sz val="12"/>
      <color indexed="9"/>
      <name val="Times New Roman"/>
      <family val="1"/>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sz val="8"/>
      <name val="Times New Roman"/>
      <family val="1"/>
    </font>
    <font>
      <b/>
      <u val="single"/>
      <sz val="10"/>
      <name val="Times New Roman"/>
      <family val="1"/>
    </font>
    <font>
      <b/>
      <sz val="12"/>
      <color indexed="10"/>
      <name val="Times New Roman"/>
      <family val="1"/>
    </font>
    <font>
      <sz val="12"/>
      <color indexed="10"/>
      <name val="Courier"/>
      <family val="3"/>
    </font>
    <font>
      <i/>
      <sz val="12"/>
      <name val="Times New Roman"/>
      <family val="1"/>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u val="single"/>
      <sz val="8"/>
      <color indexed="10"/>
      <name val="Times New Roman"/>
      <family val="1"/>
    </font>
    <font>
      <sz val="14"/>
      <name val="Courier"/>
      <family val="3"/>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b/>
      <u val="single"/>
      <sz val="10"/>
      <name val="Courier"/>
      <family val="3"/>
    </font>
    <font>
      <sz val="10"/>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s>
  <cellStyleXfs count="4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10"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860">
    <xf numFmtId="0" fontId="0" fillId="0" borderId="0" xfId="0" applyAlignment="1">
      <alignment/>
    </xf>
    <xf numFmtId="0" fontId="4" fillId="0" borderId="0" xfId="0" applyFont="1" applyAlignment="1" applyProtection="1">
      <alignment/>
      <protection locked="0"/>
    </xf>
    <xf numFmtId="0" fontId="4" fillId="0" borderId="0" xfId="0" applyFont="1" applyAlignment="1">
      <alignment/>
    </xf>
    <xf numFmtId="0" fontId="4" fillId="0" borderId="0" xfId="0" applyFont="1" applyAlignment="1">
      <alignment horizontal="centerContinuous"/>
    </xf>
    <xf numFmtId="37" fontId="4" fillId="0" borderId="0" xfId="0" applyNumberFormat="1" applyFont="1" applyAlignment="1" applyProtection="1">
      <alignment horizontal="left"/>
      <protection locked="0"/>
    </xf>
    <xf numFmtId="37" fontId="4" fillId="0" borderId="0" xfId="0" applyNumberFormat="1" applyFont="1" applyAlignment="1" applyProtection="1">
      <alignment horizontal="center"/>
      <protection locked="0"/>
    </xf>
    <xf numFmtId="0" fontId="4" fillId="0" borderId="0" xfId="0" applyFont="1" applyAlignment="1">
      <alignment/>
    </xf>
    <xf numFmtId="37" fontId="4" fillId="33" borderId="10" xfId="0" applyNumberFormat="1" applyFont="1" applyFill="1" applyBorder="1" applyAlignment="1" applyProtection="1">
      <alignment/>
      <protection locked="0"/>
    </xf>
    <xf numFmtId="0" fontId="4" fillId="33" borderId="0" xfId="0" applyFont="1" applyFill="1" applyAlignment="1" applyProtection="1">
      <alignment/>
      <protection locked="0"/>
    </xf>
    <xf numFmtId="164" fontId="4" fillId="33" borderId="10" xfId="0" applyNumberFormat="1" applyFont="1" applyFill="1" applyBorder="1" applyAlignment="1" applyProtection="1">
      <alignment/>
      <protection locked="0"/>
    </xf>
    <xf numFmtId="37" fontId="4" fillId="34" borderId="11" xfId="0" applyNumberFormat="1"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0" fontId="4" fillId="34" borderId="0" xfId="0" applyFont="1" applyFill="1" applyAlignment="1" applyProtection="1">
      <alignment/>
      <protection/>
    </xf>
    <xf numFmtId="37" fontId="4" fillId="34" borderId="0" xfId="0" applyNumberFormat="1" applyFont="1" applyFill="1" applyAlignment="1" applyProtection="1">
      <alignment horizontal="lef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37" fontId="4" fillId="34" borderId="0" xfId="0" applyNumberFormat="1" applyFont="1" applyFill="1" applyAlignment="1" applyProtection="1">
      <alignment horizontal="fill"/>
      <protection/>
    </xf>
    <xf numFmtId="37" fontId="4" fillId="34" borderId="12" xfId="0" applyNumberFormat="1" applyFont="1" applyFill="1" applyBorder="1" applyAlignment="1" applyProtection="1">
      <alignment horizontal="centerContinuous"/>
      <protection/>
    </xf>
    <xf numFmtId="0" fontId="4" fillId="34" borderId="13" xfId="0" applyFont="1" applyFill="1" applyBorder="1" applyAlignment="1" applyProtection="1">
      <alignment horizontal="centerContinuous"/>
      <protection/>
    </xf>
    <xf numFmtId="0" fontId="4" fillId="34" borderId="14" xfId="0" applyFont="1" applyFill="1" applyBorder="1" applyAlignment="1" applyProtection="1">
      <alignment horizontal="centerContinuous"/>
      <protection/>
    </xf>
    <xf numFmtId="37" fontId="4" fillId="34" borderId="15" xfId="0" applyNumberFormat="1" applyFont="1" applyFill="1" applyBorder="1" applyAlignment="1" applyProtection="1">
      <alignment horizontal="center"/>
      <protection/>
    </xf>
    <xf numFmtId="37" fontId="4" fillId="34" borderId="16" xfId="0" applyNumberFormat="1" applyFont="1" applyFill="1" applyBorder="1" applyAlignment="1" applyProtection="1">
      <alignment horizontal="left"/>
      <protection/>
    </xf>
    <xf numFmtId="37" fontId="4" fillId="34" borderId="10" xfId="0" applyNumberFormat="1" applyFont="1" applyFill="1" applyBorder="1" applyAlignment="1" applyProtection="1">
      <alignment horizontal="left"/>
      <protection/>
    </xf>
    <xf numFmtId="37" fontId="4" fillId="34" borderId="10" xfId="0" applyNumberFormat="1" applyFont="1" applyFill="1" applyBorder="1" applyAlignment="1" applyProtection="1">
      <alignment/>
      <protection/>
    </xf>
    <xf numFmtId="37" fontId="4" fillId="34" borderId="16" xfId="0" applyNumberFormat="1" applyFont="1" applyFill="1" applyBorder="1" applyAlignment="1" applyProtection="1">
      <alignment horizontal="fill"/>
      <protection/>
    </xf>
    <xf numFmtId="37" fontId="4" fillId="34" borderId="0" xfId="0" applyNumberFormat="1" applyFont="1" applyFill="1" applyAlignment="1" applyProtection="1">
      <alignment/>
      <protection/>
    </xf>
    <xf numFmtId="0" fontId="4" fillId="34" borderId="0" xfId="0" applyFont="1" applyFill="1" applyAlignment="1">
      <alignment/>
    </xf>
    <xf numFmtId="0" fontId="4" fillId="34" borderId="17" xfId="0" applyFont="1" applyFill="1" applyBorder="1" applyAlignment="1" applyProtection="1">
      <alignment horizontal="center"/>
      <protection/>
    </xf>
    <xf numFmtId="0" fontId="4" fillId="34" borderId="0" xfId="0" applyFont="1" applyFill="1" applyAlignment="1" applyProtection="1">
      <alignment horizontal="center"/>
      <protection/>
    </xf>
    <xf numFmtId="37" fontId="4" fillId="34" borderId="0" xfId="0" applyNumberFormat="1" applyFont="1" applyFill="1" applyAlignment="1" applyProtection="1" quotePrefix="1">
      <alignment horizontal="right"/>
      <protection/>
    </xf>
    <xf numFmtId="37" fontId="5" fillId="34" borderId="0" xfId="0" applyNumberFormat="1" applyFont="1" applyFill="1" applyAlignment="1" applyProtection="1">
      <alignment horizontal="centerContinuous"/>
      <protection/>
    </xf>
    <xf numFmtId="0" fontId="4" fillId="34" borderId="15" xfId="0" applyFont="1" applyFill="1" applyBorder="1" applyAlignment="1" applyProtection="1">
      <alignment horizontal="centerContinuous"/>
      <protection/>
    </xf>
    <xf numFmtId="1" fontId="4" fillId="34" borderId="12" xfId="0" applyNumberFormat="1" applyFont="1" applyFill="1" applyBorder="1" applyAlignment="1" applyProtection="1">
      <alignment horizontal="centerContinuous"/>
      <protection/>
    </xf>
    <xf numFmtId="164" fontId="4" fillId="34" borderId="10" xfId="0" applyNumberFormat="1" applyFont="1" applyFill="1" applyBorder="1" applyAlignment="1" applyProtection="1">
      <alignment/>
      <protection/>
    </xf>
    <xf numFmtId="0" fontId="14" fillId="0" borderId="0" xfId="0" applyFont="1" applyAlignment="1">
      <alignment horizontal="center" vertical="top"/>
    </xf>
    <xf numFmtId="0" fontId="0" fillId="0" borderId="0" xfId="0" applyAlignment="1">
      <alignment vertical="top"/>
    </xf>
    <xf numFmtId="0" fontId="14" fillId="0" borderId="0" xfId="0" applyFont="1" applyAlignment="1">
      <alignment vertical="top"/>
    </xf>
    <xf numFmtId="0" fontId="12" fillId="0" borderId="0" xfId="478" applyAlignment="1">
      <alignment vertical="top"/>
      <protection/>
    </xf>
    <xf numFmtId="0" fontId="12" fillId="0" borderId="0" xfId="478">
      <alignment/>
      <protection/>
    </xf>
    <xf numFmtId="0" fontId="15" fillId="0" borderId="0" xfId="0" applyFont="1" applyAlignment="1">
      <alignment vertical="top"/>
    </xf>
    <xf numFmtId="0" fontId="8" fillId="0" borderId="0" xfId="0" applyFont="1" applyAlignment="1">
      <alignment horizontal="center" vertical="top"/>
    </xf>
    <xf numFmtId="0" fontId="14"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vertical="top"/>
    </xf>
    <xf numFmtId="0" fontId="16" fillId="0" borderId="0" xfId="0" applyFont="1" applyAlignment="1">
      <alignment/>
    </xf>
    <xf numFmtId="0" fontId="16" fillId="0" borderId="0" xfId="0" applyNumberFormat="1" applyFont="1" applyAlignment="1">
      <alignment/>
    </xf>
    <xf numFmtId="0" fontId="8" fillId="0" borderId="0" xfId="0" applyFont="1" applyAlignment="1">
      <alignment/>
    </xf>
    <xf numFmtId="0" fontId="8" fillId="0" borderId="0" xfId="0" applyFont="1" applyAlignment="1">
      <alignment/>
    </xf>
    <xf numFmtId="0" fontId="17" fillId="0" borderId="0" xfId="0" applyFont="1" applyAlignment="1">
      <alignment/>
    </xf>
    <xf numFmtId="0" fontId="4" fillId="34" borderId="0" xfId="0" applyNumberFormat="1" applyFont="1" applyFill="1" applyAlignment="1" applyProtection="1">
      <alignment horizontal="right"/>
      <protection/>
    </xf>
    <xf numFmtId="37" fontId="4" fillId="34" borderId="0" xfId="0" applyNumberFormat="1" applyFont="1" applyFill="1" applyBorder="1" applyAlignment="1" applyProtection="1">
      <alignment horizontal="left"/>
      <protection/>
    </xf>
    <xf numFmtId="0" fontId="4" fillId="34" borderId="0" xfId="0" applyFont="1" applyFill="1" applyAlignment="1">
      <alignment horizontal="center"/>
    </xf>
    <xf numFmtId="0" fontId="4" fillId="0" borderId="0" xfId="0" applyFont="1" applyAlignment="1">
      <alignment vertical="top"/>
    </xf>
    <xf numFmtId="0" fontId="4" fillId="0" borderId="0" xfId="478" applyFont="1" applyAlignment="1">
      <alignment vertical="top"/>
      <protection/>
    </xf>
    <xf numFmtId="0" fontId="21" fillId="0" borderId="0" xfId="0" applyNumberFormat="1" applyFont="1" applyAlignment="1">
      <alignment vertical="top"/>
    </xf>
    <xf numFmtId="0" fontId="21" fillId="0" borderId="0" xfId="0" applyFont="1" applyAlignment="1">
      <alignment/>
    </xf>
    <xf numFmtId="0" fontId="4" fillId="0" borderId="0" xfId="478" applyFont="1">
      <alignment/>
      <protection/>
    </xf>
    <xf numFmtId="164" fontId="4" fillId="34" borderId="10" xfId="0" applyNumberFormat="1" applyFont="1" applyFill="1" applyBorder="1" applyAlignment="1" applyProtection="1">
      <alignment/>
      <protection locked="0"/>
    </xf>
    <xf numFmtId="0" fontId="4" fillId="0" borderId="0" xfId="0" applyFont="1" applyAlignment="1">
      <alignment horizontal="right"/>
    </xf>
    <xf numFmtId="166" fontId="4" fillId="34" borderId="0" xfId="0" applyNumberFormat="1" applyFont="1" applyFill="1" applyAlignment="1" applyProtection="1">
      <alignment horizontal="center"/>
      <protection/>
    </xf>
    <xf numFmtId="37" fontId="4" fillId="34" borderId="16" xfId="0" applyNumberFormat="1" applyFont="1" applyFill="1" applyBorder="1" applyAlignment="1" applyProtection="1">
      <alignment horizontal="center"/>
      <protection/>
    </xf>
    <xf numFmtId="37" fontId="4" fillId="34" borderId="0" xfId="0" applyNumberFormat="1" applyFont="1" applyFill="1" applyBorder="1" applyAlignment="1" applyProtection="1">
      <alignment horizontal="center"/>
      <protection/>
    </xf>
    <xf numFmtId="165" fontId="4" fillId="35" borderId="16" xfId="0" applyNumberFormat="1" applyFont="1" applyFill="1" applyBorder="1" applyAlignment="1" applyProtection="1">
      <alignment horizontal="center"/>
      <protection/>
    </xf>
    <xf numFmtId="165" fontId="4" fillId="34" borderId="0" xfId="0" applyNumberFormat="1" applyFont="1" applyFill="1" applyBorder="1" applyAlignment="1" applyProtection="1">
      <alignment horizontal="center"/>
      <protection/>
    </xf>
    <xf numFmtId="0" fontId="4" fillId="34" borderId="0" xfId="0" applyFont="1" applyFill="1" applyAlignment="1">
      <alignment horizontal="left"/>
    </xf>
    <xf numFmtId="37" fontId="5" fillId="34" borderId="0" xfId="0" applyNumberFormat="1" applyFont="1" applyFill="1" applyAlignment="1" applyProtection="1">
      <alignment horizontal="center"/>
      <protection/>
    </xf>
    <xf numFmtId="0" fontId="0" fillId="34" borderId="0" xfId="0" applyFill="1" applyAlignment="1">
      <alignment/>
    </xf>
    <xf numFmtId="0" fontId="0" fillId="34" borderId="0" xfId="0" applyFill="1" applyAlignment="1">
      <alignment/>
    </xf>
    <xf numFmtId="177" fontId="4" fillId="34" borderId="0" xfId="0" applyNumberFormat="1" applyFont="1" applyFill="1" applyBorder="1" applyAlignment="1" applyProtection="1">
      <alignment horizontal="center"/>
      <protection/>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9"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6" borderId="0" xfId="0" applyFont="1" applyFill="1" applyAlignment="1">
      <alignment vertical="center" wrapText="1"/>
    </xf>
    <xf numFmtId="0" fontId="4" fillId="37"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3" borderId="16" xfId="0" applyFont="1" applyFill="1" applyBorder="1" applyAlignment="1" applyProtection="1">
      <alignment vertical="center"/>
      <protection/>
    </xf>
    <xf numFmtId="37" fontId="4" fillId="33" borderId="16" xfId="0" applyNumberFormat="1"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4" borderId="0" xfId="0" applyFont="1" applyFill="1" applyAlignment="1" applyProtection="1">
      <alignment horizontal="center" vertical="center"/>
      <protection/>
    </xf>
    <xf numFmtId="0" fontId="4" fillId="36" borderId="15" xfId="0" applyFont="1" applyFill="1" applyBorder="1" applyAlignment="1" applyProtection="1">
      <alignment horizontal="center" vertical="center"/>
      <protection/>
    </xf>
    <xf numFmtId="37" fontId="4" fillId="36" borderId="15" xfId="0" applyNumberFormat="1" applyFont="1" applyFill="1" applyBorder="1" applyAlignment="1" applyProtection="1">
      <alignment horizontal="center" vertical="center"/>
      <protection/>
    </xf>
    <xf numFmtId="0" fontId="4" fillId="36" borderId="15"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6" borderId="17"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0" fontId="4" fillId="34"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3" fontId="4" fillId="33" borderId="10" xfId="0" applyNumberFormat="1" applyFont="1" applyFill="1" applyBorder="1" applyAlignment="1" applyProtection="1">
      <alignment vertical="center" wrapText="1"/>
      <protection locked="0"/>
    </xf>
    <xf numFmtId="164" fontId="4" fillId="33"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164" fontId="4" fillId="33" borderId="10" xfId="0" applyNumberFormat="1" applyFont="1" applyFill="1" applyBorder="1" applyAlignment="1" applyProtection="1">
      <alignment vertical="center"/>
      <protection locked="0"/>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4" fillId="34" borderId="16" xfId="0" applyFont="1" applyFill="1" applyBorder="1" applyAlignment="1" applyProtection="1">
      <alignment vertical="center"/>
      <protection/>
    </xf>
    <xf numFmtId="0" fontId="4" fillId="34" borderId="14" xfId="0" applyFont="1" applyFill="1" applyBorder="1" applyAlignment="1" applyProtection="1">
      <alignment vertical="center"/>
      <protection/>
    </xf>
    <xf numFmtId="3" fontId="4" fillId="35" borderId="14" xfId="0" applyNumberFormat="1" applyFont="1" applyFill="1" applyBorder="1" applyAlignment="1" applyProtection="1">
      <alignment vertical="center"/>
      <protection/>
    </xf>
    <xf numFmtId="164" fontId="4" fillId="35" borderId="10"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locked="0"/>
    </xf>
    <xf numFmtId="0" fontId="4" fillId="34" borderId="18" xfId="0"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xf>
    <xf numFmtId="164" fontId="4" fillId="34" borderId="0" xfId="0" applyNumberFormat="1" applyFont="1" applyFill="1" applyBorder="1" applyAlignment="1" applyProtection="1">
      <alignment vertical="center"/>
      <protection locked="0"/>
    </xf>
    <xf numFmtId="3" fontId="4" fillId="34" borderId="0"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4" borderId="0" xfId="0" applyFont="1" applyFill="1" applyAlignment="1">
      <alignment vertical="center"/>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37" fontId="4" fillId="36" borderId="16" xfId="0" applyNumberFormat="1" applyFont="1" applyFill="1" applyBorder="1" applyAlignment="1" applyProtection="1">
      <alignment horizontal="left" vertical="center"/>
      <protection/>
    </xf>
    <xf numFmtId="0" fontId="4" fillId="36" borderId="16" xfId="0" applyFont="1" applyFill="1" applyBorder="1" applyAlignment="1" applyProtection="1">
      <alignment vertical="center"/>
      <protection/>
    </xf>
    <xf numFmtId="37" fontId="4" fillId="36" borderId="13" xfId="0" applyNumberFormat="1" applyFont="1" applyFill="1" applyBorder="1" applyAlignment="1" applyProtection="1">
      <alignment horizontal="left" vertical="center"/>
      <protection/>
    </xf>
    <xf numFmtId="0" fontId="4" fillId="36" borderId="13" xfId="0" applyFont="1" applyFill="1" applyBorder="1" applyAlignment="1" applyProtection="1">
      <alignment vertical="center"/>
      <protection/>
    </xf>
    <xf numFmtId="0" fontId="4" fillId="34" borderId="13" xfId="0"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23" fillId="38" borderId="0" xfId="0" applyNumberFormat="1" applyFont="1" applyFill="1" applyAlignment="1" applyProtection="1">
      <alignment horizontal="left" vertical="center"/>
      <protection/>
    </xf>
    <xf numFmtId="0" fontId="6" fillId="36" borderId="0" xfId="0" applyFont="1" applyFill="1" applyAlignment="1">
      <alignment vertical="center"/>
    </xf>
    <xf numFmtId="0" fontId="4" fillId="38" borderId="0" xfId="0" applyFont="1" applyFill="1" applyAlignment="1" applyProtection="1">
      <alignment vertical="center"/>
      <protection locked="0"/>
    </xf>
    <xf numFmtId="0" fontId="4" fillId="34" borderId="0" xfId="0" applyFont="1" applyFill="1" applyAlignment="1" applyProtection="1">
      <alignment vertical="center"/>
      <protection locked="0"/>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0" fontId="4" fillId="38" borderId="16"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4" fillId="38" borderId="13"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34" borderId="0" xfId="0" applyNumberFormat="1" applyFont="1" applyFill="1" applyAlignment="1">
      <alignment vertical="center"/>
    </xf>
    <xf numFmtId="3" fontId="4" fillId="34" borderId="0" xfId="0" applyNumberFormat="1" applyFont="1" applyFill="1" applyAlignment="1" applyProtection="1">
      <alignment vertical="center"/>
      <protection/>
    </xf>
    <xf numFmtId="37" fontId="4" fillId="34" borderId="13" xfId="0" applyNumberFormat="1" applyFont="1" applyFill="1" applyBorder="1" applyAlignment="1" applyProtection="1">
      <alignment horizontal="left" vertical="center"/>
      <protection/>
    </xf>
    <xf numFmtId="37" fontId="4" fillId="33" borderId="10"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horizontal="left" vertical="center"/>
      <protection/>
    </xf>
    <xf numFmtId="3" fontId="4" fillId="34" borderId="18" xfId="0" applyNumberFormat="1"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0" fontId="0" fillId="34" borderId="0" xfId="0" applyFill="1" applyAlignment="1">
      <alignment vertical="center"/>
    </xf>
    <xf numFmtId="0" fontId="4" fillId="36" borderId="15" xfId="0" applyFont="1" applyFill="1" applyBorder="1" applyAlignment="1">
      <alignment horizontal="center" vertical="center"/>
    </xf>
    <xf numFmtId="0" fontId="4" fillId="36" borderId="11" xfId="0" applyFont="1" applyFill="1" applyBorder="1" applyAlignment="1">
      <alignment horizontal="center" vertical="center"/>
    </xf>
    <xf numFmtId="0" fontId="24" fillId="34" borderId="0" xfId="0" applyFont="1" applyFill="1" applyAlignment="1">
      <alignment vertical="center"/>
    </xf>
    <xf numFmtId="0" fontId="30" fillId="34" borderId="0" xfId="0" applyFont="1" applyFill="1" applyAlignment="1">
      <alignment vertical="center"/>
    </xf>
    <xf numFmtId="0" fontId="4" fillId="36" borderId="17" xfId="0" applyFont="1" applyFill="1" applyBorder="1" applyAlignment="1">
      <alignment horizontal="center" vertical="center"/>
    </xf>
    <xf numFmtId="37" fontId="4" fillId="34" borderId="17" xfId="0" applyNumberFormat="1" applyFont="1" applyFill="1" applyBorder="1" applyAlignment="1">
      <alignment vertical="center"/>
    </xf>
    <xf numFmtId="3" fontId="4" fillId="33" borderId="17" xfId="0" applyNumberFormat="1" applyFont="1" applyFill="1" applyBorder="1" applyAlignment="1" applyProtection="1">
      <alignment vertical="center"/>
      <protection locked="0"/>
    </xf>
    <xf numFmtId="0" fontId="18" fillId="34" borderId="0" xfId="0" applyFont="1" applyFill="1" applyAlignment="1">
      <alignment vertical="center"/>
    </xf>
    <xf numFmtId="0" fontId="18" fillId="0" borderId="0" xfId="0" applyFont="1" applyAlignment="1">
      <alignment vertical="center"/>
    </xf>
    <xf numFmtId="0" fontId="18" fillId="34" borderId="0" xfId="0" applyFont="1" applyFill="1" applyAlignment="1" applyProtection="1">
      <alignment vertical="center"/>
      <protection/>
    </xf>
    <xf numFmtId="0" fontId="0" fillId="0" borderId="0" xfId="0" applyAlignment="1">
      <alignment vertical="center"/>
    </xf>
    <xf numFmtId="37" fontId="18" fillId="34" borderId="0" xfId="0" applyNumberFormat="1" applyFont="1" applyFill="1" applyAlignment="1" applyProtection="1">
      <alignment horizontal="centerContinuous" vertical="center"/>
      <protection/>
    </xf>
    <xf numFmtId="0" fontId="18"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left" vertical="center"/>
      <protection/>
    </xf>
    <xf numFmtId="37" fontId="18" fillId="34" borderId="0" xfId="0" applyNumberFormat="1" applyFont="1" applyFill="1" applyAlignment="1" applyProtection="1">
      <alignment horizontal="fill" vertical="center"/>
      <protection/>
    </xf>
    <xf numFmtId="37" fontId="18" fillId="34" borderId="12" xfId="0" applyNumberFormat="1" applyFont="1" applyFill="1" applyBorder="1" applyAlignment="1" applyProtection="1">
      <alignment horizontal="centerContinuous" vertical="center"/>
      <protection/>
    </xf>
    <xf numFmtId="0" fontId="18" fillId="34" borderId="13" xfId="0" applyFont="1" applyFill="1" applyBorder="1" applyAlignment="1" applyProtection="1">
      <alignment horizontal="centerContinuous" vertical="center"/>
      <protection/>
    </xf>
    <xf numFmtId="0" fontId="18" fillId="34" borderId="14" xfId="0" applyFont="1" applyFill="1" applyBorder="1" applyAlignment="1" applyProtection="1">
      <alignment horizontal="centerContinuous" vertical="center"/>
      <protection/>
    </xf>
    <xf numFmtId="37" fontId="18" fillId="34" borderId="15" xfId="0" applyNumberFormat="1" applyFont="1" applyFill="1" applyBorder="1" applyAlignment="1" applyProtection="1">
      <alignment horizontal="center" vertical="center"/>
      <protection/>
    </xf>
    <xf numFmtId="37" fontId="19" fillId="34" borderId="16" xfId="0" applyNumberFormat="1" applyFont="1" applyFill="1" applyBorder="1" applyAlignment="1" applyProtection="1">
      <alignment horizontal="left" vertical="center"/>
      <protection/>
    </xf>
    <xf numFmtId="0" fontId="18" fillId="34" borderId="16" xfId="0" applyFont="1" applyFill="1" applyBorder="1" applyAlignment="1" applyProtection="1">
      <alignment vertical="center"/>
      <protection/>
    </xf>
    <xf numFmtId="37" fontId="18" fillId="34" borderId="17" xfId="0" applyNumberFormat="1" applyFont="1" applyFill="1" applyBorder="1" applyAlignment="1" applyProtection="1">
      <alignment horizontal="center" vertical="center"/>
      <protection/>
    </xf>
    <xf numFmtId="37" fontId="18" fillId="34" borderId="10" xfId="0" applyNumberFormat="1" applyFont="1" applyFill="1" applyBorder="1" applyAlignment="1" applyProtection="1">
      <alignment horizontal="left" vertical="center"/>
      <protection/>
    </xf>
    <xf numFmtId="37" fontId="18" fillId="34" borderId="11" xfId="0" applyNumberFormat="1" applyFont="1" applyFill="1" applyBorder="1" applyAlignment="1" applyProtection="1">
      <alignment horizontal="center" vertical="center"/>
      <protection/>
    </xf>
    <xf numFmtId="0" fontId="18" fillId="34" borderId="0" xfId="0" applyFont="1" applyFill="1" applyBorder="1" applyAlignment="1" applyProtection="1">
      <alignment vertical="center"/>
      <protection/>
    </xf>
    <xf numFmtId="37" fontId="18" fillId="34" borderId="12" xfId="0" applyNumberFormat="1" applyFont="1" applyFill="1" applyBorder="1" applyAlignment="1" applyProtection="1">
      <alignment horizontal="left" vertical="center"/>
      <protection/>
    </xf>
    <xf numFmtId="0" fontId="18" fillId="34" borderId="14" xfId="0" applyFont="1" applyFill="1" applyBorder="1" applyAlignment="1" applyProtection="1">
      <alignment vertical="center"/>
      <protection/>
    </xf>
    <xf numFmtId="37" fontId="18" fillId="34" borderId="18" xfId="0" applyNumberFormat="1" applyFont="1" applyFill="1" applyBorder="1" applyAlignment="1" applyProtection="1">
      <alignment horizontal="center" vertical="center"/>
      <protection/>
    </xf>
    <xf numFmtId="37" fontId="18" fillId="34" borderId="10" xfId="0" applyNumberFormat="1" applyFont="1" applyFill="1" applyBorder="1" applyAlignment="1" applyProtection="1">
      <alignment horizontal="center" vertical="center"/>
      <protection/>
    </xf>
    <xf numFmtId="0" fontId="18" fillId="34" borderId="11" xfId="0" applyFont="1" applyFill="1" applyBorder="1" applyAlignment="1" applyProtection="1">
      <alignment vertical="center"/>
      <protection/>
    </xf>
    <xf numFmtId="37" fontId="18" fillId="34" borderId="14" xfId="0" applyNumberFormat="1" applyFont="1" applyFill="1" applyBorder="1" applyAlignment="1" applyProtection="1">
      <alignment horizontal="center" vertical="center"/>
      <protection/>
    </xf>
    <xf numFmtId="37" fontId="28" fillId="34" borderId="17" xfId="0" applyNumberFormat="1" applyFont="1" applyFill="1" applyBorder="1" applyAlignment="1" applyProtection="1">
      <alignment horizontal="left" vertical="center"/>
      <protection/>
    </xf>
    <xf numFmtId="37" fontId="28" fillId="34" borderId="17" xfId="0" applyNumberFormat="1" applyFont="1" applyFill="1" applyBorder="1" applyAlignment="1" applyProtection="1">
      <alignment horizontal="center" vertical="center"/>
      <protection/>
    </xf>
    <xf numFmtId="0" fontId="18" fillId="34" borderId="10" xfId="0" applyFont="1" applyFill="1" applyBorder="1" applyAlignment="1" applyProtection="1">
      <alignment vertical="center"/>
      <protection/>
    </xf>
    <xf numFmtId="0" fontId="18" fillId="34" borderId="17" xfId="0" applyFont="1" applyFill="1" applyBorder="1" applyAlignment="1" applyProtection="1">
      <alignment vertical="center"/>
      <protection/>
    </xf>
    <xf numFmtId="37" fontId="18" fillId="34" borderId="12" xfId="0" applyNumberFormat="1" applyFont="1" applyFill="1" applyBorder="1" applyAlignment="1" applyProtection="1">
      <alignment horizontal="center" vertical="center"/>
      <protection/>
    </xf>
    <xf numFmtId="37" fontId="18" fillId="34" borderId="10" xfId="0" applyNumberFormat="1" applyFont="1" applyFill="1" applyBorder="1" applyAlignment="1" applyProtection="1">
      <alignment vertical="center"/>
      <protection/>
    </xf>
    <xf numFmtId="183" fontId="4" fillId="34" borderId="10" xfId="0" applyNumberFormat="1" applyFont="1" applyFill="1" applyBorder="1" applyAlignment="1" applyProtection="1">
      <alignment vertical="center"/>
      <protection/>
    </xf>
    <xf numFmtId="37" fontId="4" fillId="34" borderId="10" xfId="0" applyNumberFormat="1" applyFont="1" applyFill="1" applyBorder="1" applyAlignment="1" applyProtection="1">
      <alignment horizontal="center" vertical="center"/>
      <protection/>
    </xf>
    <xf numFmtId="0" fontId="18" fillId="34" borderId="10" xfId="0" applyFont="1" applyFill="1" applyBorder="1" applyAlignment="1" applyProtection="1">
      <alignment horizontal="center" vertical="center"/>
      <protection/>
    </xf>
    <xf numFmtId="0" fontId="18" fillId="34" borderId="15" xfId="0" applyFont="1" applyFill="1" applyBorder="1" applyAlignment="1" applyProtection="1">
      <alignment vertical="center"/>
      <protection/>
    </xf>
    <xf numFmtId="37" fontId="19" fillId="34" borderId="15" xfId="0" applyNumberFormat="1" applyFont="1" applyFill="1" applyBorder="1" applyAlignment="1" applyProtection="1">
      <alignment horizontal="left" vertical="center"/>
      <protection/>
    </xf>
    <xf numFmtId="37" fontId="18" fillId="34" borderId="19" xfId="0" applyNumberFormat="1" applyFont="1" applyFill="1" applyBorder="1" applyAlignment="1" applyProtection="1">
      <alignment horizontal="left" vertical="center"/>
      <protection/>
    </xf>
    <xf numFmtId="0" fontId="18" fillId="34" borderId="20" xfId="0" applyFont="1" applyFill="1" applyBorder="1" applyAlignment="1" applyProtection="1">
      <alignment vertical="center"/>
      <protection/>
    </xf>
    <xf numFmtId="37" fontId="18" fillId="34" borderId="0"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0" fontId="4" fillId="39" borderId="10" xfId="0" applyFont="1" applyFill="1" applyBorder="1" applyAlignment="1">
      <alignment horizontal="center" vertical="center" shrinkToFit="1"/>
    </xf>
    <xf numFmtId="0" fontId="24" fillId="39" borderId="14" xfId="0" applyFont="1" applyFill="1" applyBorder="1" applyAlignment="1" applyProtection="1">
      <alignment horizontal="center" vertical="center"/>
      <protection/>
    </xf>
    <xf numFmtId="3" fontId="18" fillId="33" borderId="10" xfId="0" applyNumberFormat="1" applyFont="1" applyFill="1" applyBorder="1" applyAlignment="1" applyProtection="1">
      <alignment vertical="center"/>
      <protection locked="0"/>
    </xf>
    <xf numFmtId="37" fontId="18" fillId="34" borderId="14" xfId="0" applyNumberFormat="1" applyFont="1" applyFill="1" applyBorder="1" applyAlignment="1" applyProtection="1">
      <alignment horizontal="fill" vertical="center"/>
      <protection/>
    </xf>
    <xf numFmtId="37" fontId="18" fillId="34" borderId="0" xfId="0" applyNumberFormat="1" applyFont="1" applyFill="1" applyAlignment="1" applyProtection="1">
      <alignment horizontal="right" vertical="center"/>
      <protection/>
    </xf>
    <xf numFmtId="0" fontId="18" fillId="33" borderId="16" xfId="0" applyFont="1" applyFill="1" applyBorder="1" applyAlignment="1" applyProtection="1">
      <alignment vertical="center"/>
      <protection locked="0"/>
    </xf>
    <xf numFmtId="0" fontId="18" fillId="33" borderId="13" xfId="0" applyFont="1" applyFill="1" applyBorder="1" applyAlignment="1" applyProtection="1">
      <alignment vertical="center"/>
      <protection locked="0"/>
    </xf>
    <xf numFmtId="0" fontId="18" fillId="34" borderId="0" xfId="0" applyFont="1" applyFill="1" applyAlignment="1" applyProtection="1">
      <alignment horizontal="right" vertical="center"/>
      <protection/>
    </xf>
    <xf numFmtId="0" fontId="18" fillId="34" borderId="0" xfId="0" applyFont="1" applyFill="1" applyAlignment="1" applyProtection="1">
      <alignment horizontal="left" vertical="center"/>
      <protection/>
    </xf>
    <xf numFmtId="0" fontId="18" fillId="0" borderId="0" xfId="0" applyFont="1" applyAlignment="1" applyProtection="1">
      <alignment vertical="center"/>
      <protection locked="0"/>
    </xf>
    <xf numFmtId="37" fontId="4" fillId="34" borderId="0" xfId="0" applyNumberFormat="1" applyFont="1" applyFill="1" applyAlignment="1" applyProtection="1">
      <alignment horizontal="centerContinuous" vertical="center"/>
      <protection/>
    </xf>
    <xf numFmtId="37" fontId="4" fillId="34" borderId="12" xfId="0" applyNumberFormat="1"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14" xfId="0" applyFont="1" applyFill="1" applyBorder="1" applyAlignment="1" applyProtection="1">
      <alignment horizontal="centerContinuous" vertical="center"/>
      <protection/>
    </xf>
    <xf numFmtId="37" fontId="4" fillId="34" borderId="15"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left" vertical="center"/>
      <protection/>
    </xf>
    <xf numFmtId="37" fontId="4" fillId="34" borderId="17"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0" xfId="0" applyNumberFormat="1" applyFont="1" applyFill="1" applyBorder="1" applyAlignment="1" applyProtection="1">
      <alignment horizontal="center" vertical="center"/>
      <protection/>
    </xf>
    <xf numFmtId="37" fontId="4" fillId="33" borderId="10" xfId="0" applyNumberFormat="1" applyFont="1" applyFill="1" applyBorder="1" applyAlignment="1" applyProtection="1">
      <alignment horizontal="left" vertical="center"/>
      <protection locked="0"/>
    </xf>
    <xf numFmtId="37" fontId="4" fillId="34" borderId="10" xfId="0" applyNumberFormat="1" applyFont="1" applyFill="1" applyBorder="1" applyAlignment="1" applyProtection="1">
      <alignment horizontal="fill" vertical="center"/>
      <protection/>
    </xf>
    <xf numFmtId="37" fontId="4" fillId="35" borderId="21" xfId="0" applyNumberFormat="1" applyFont="1" applyFill="1" applyBorder="1" applyAlignment="1" applyProtection="1">
      <alignment vertical="center"/>
      <protection/>
    </xf>
    <xf numFmtId="183" fontId="4" fillId="35" borderId="21"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6" xfId="0" applyNumberFormat="1"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0" fontId="4" fillId="34" borderId="22" xfId="0" applyFont="1" applyFill="1" applyBorder="1" applyAlignment="1" applyProtection="1">
      <alignment vertical="center"/>
      <protection/>
    </xf>
    <xf numFmtId="171" fontId="4" fillId="34" borderId="16"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3" xfId="0" applyNumberFormat="1" applyFont="1" applyFill="1" applyBorder="1" applyAlignment="1" applyProtection="1">
      <alignment vertical="center"/>
      <protection/>
    </xf>
    <xf numFmtId="0" fontId="7" fillId="0" borderId="0" xfId="0" applyFont="1" applyAlignment="1">
      <alignment vertical="center"/>
    </xf>
    <xf numFmtId="37" fontId="4" fillId="34" borderId="0" xfId="0" applyNumberFormat="1" applyFont="1" applyFill="1" applyAlignment="1" applyProtection="1">
      <alignment horizontal="right" vertical="center"/>
      <protection/>
    </xf>
    <xf numFmtId="0" fontId="5" fillId="34" borderId="16"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0" fontId="4" fillId="33" borderId="17" xfId="0" applyFont="1" applyFill="1" applyBorder="1" applyAlignment="1" applyProtection="1">
      <alignment vertical="center"/>
      <protection locked="0"/>
    </xf>
    <xf numFmtId="175" fontId="4" fillId="33" borderId="17" xfId="42" applyNumberFormat="1" applyFont="1" applyFill="1" applyBorder="1" applyAlignment="1" applyProtection="1">
      <alignment vertical="center"/>
      <protection locked="0"/>
    </xf>
    <xf numFmtId="175" fontId="4" fillId="33" borderId="10" xfId="42" applyNumberFormat="1"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1" fontId="4" fillId="34" borderId="0" xfId="0" applyNumberFormat="1" applyFont="1" applyFill="1" applyBorder="1" applyAlignment="1" applyProtection="1">
      <alignment horizontal="right" vertical="center"/>
      <protection/>
    </xf>
    <xf numFmtId="0" fontId="5" fillId="34" borderId="0" xfId="477" applyFont="1" applyFill="1" applyAlignment="1" applyProtection="1">
      <alignment horizontal="centerContinuous"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center" vertical="center"/>
      <protection/>
    </xf>
    <xf numFmtId="0" fontId="4" fillId="34" borderId="19" xfId="0" applyFont="1" applyFill="1" applyBorder="1" applyAlignment="1" applyProtection="1">
      <alignment horizontal="centerContinuous" vertical="center"/>
      <protection/>
    </xf>
    <xf numFmtId="0" fontId="4" fillId="34" borderId="20"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 vertical="center"/>
      <protection/>
    </xf>
    <xf numFmtId="1" fontId="4" fillId="34" borderId="27"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0" fontId="4" fillId="34" borderId="17" xfId="0" applyFont="1" applyFill="1" applyBorder="1" applyAlignment="1" applyProtection="1">
      <alignment horizontal="center" vertical="center"/>
      <protection/>
    </xf>
    <xf numFmtId="2" fontId="4" fillId="34" borderId="10"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0" fontId="4" fillId="33" borderId="10" xfId="0" applyFont="1" applyFill="1" applyBorder="1" applyAlignment="1" applyProtection="1">
      <alignment horizontal="center" vertical="center"/>
      <protection locked="0"/>
    </xf>
    <xf numFmtId="2" fontId="4" fillId="33" borderId="10" xfId="0" applyNumberFormat="1" applyFont="1" applyFill="1" applyBorder="1" applyAlignment="1" applyProtection="1">
      <alignment horizontal="center" vertical="center"/>
      <protection locked="0"/>
    </xf>
    <xf numFmtId="3" fontId="4" fillId="33" borderId="10" xfId="0" applyNumberFormat="1" applyFont="1" applyFill="1" applyBorder="1" applyAlignment="1" applyProtection="1">
      <alignment horizontal="center" vertical="center"/>
      <protection locked="0"/>
    </xf>
    <xf numFmtId="37" fontId="4" fillId="33" borderId="10" xfId="0" applyNumberFormat="1" applyFont="1" applyFill="1" applyBorder="1" applyAlignment="1" applyProtection="1">
      <alignment horizontal="center" vertical="center"/>
      <protection locked="0"/>
    </xf>
    <xf numFmtId="173" fontId="4" fillId="33" borderId="10" xfId="0" applyNumberFormat="1"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172"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7" fontId="5" fillId="35" borderId="10" xfId="0" applyNumberFormat="1" applyFont="1" applyFill="1" applyBorder="1" applyAlignment="1" applyProtection="1">
      <alignment horizontal="center" vertical="center"/>
      <protection/>
    </xf>
    <xf numFmtId="173" fontId="5" fillId="34" borderId="10" xfId="0" applyNumberFormat="1" applyFont="1" applyFill="1" applyBorder="1" applyAlignment="1" applyProtection="1">
      <alignment horizontal="center" vertical="center"/>
      <protection/>
    </xf>
    <xf numFmtId="172"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73" fontId="4" fillId="34"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0" fontId="4" fillId="34" borderId="28"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27" xfId="0" applyFont="1" applyFill="1" applyBorder="1" applyAlignment="1" applyProtection="1">
      <alignment horizontal="left" vertical="center"/>
      <protection/>
    </xf>
    <xf numFmtId="0" fontId="8" fillId="34" borderId="17" xfId="0" applyFont="1" applyFill="1" applyBorder="1" applyAlignment="1" applyProtection="1">
      <alignment horizontal="center" vertical="center"/>
      <protection/>
    </xf>
    <xf numFmtId="14" fontId="4" fillId="34" borderId="17" xfId="0" applyNumberFormat="1" applyFont="1" applyFill="1" applyBorder="1" applyAlignment="1" applyProtection="1" quotePrefix="1">
      <alignment horizontal="center" vertical="center"/>
      <protection/>
    </xf>
    <xf numFmtId="0" fontId="4" fillId="33" borderId="10" xfId="0" applyFont="1" applyFill="1" applyBorder="1" applyAlignment="1" applyProtection="1">
      <alignment vertical="center"/>
      <protection locked="0"/>
    </xf>
    <xf numFmtId="1" fontId="4" fillId="33" borderId="10" xfId="0" applyNumberFormat="1" applyFont="1" applyFill="1" applyBorder="1" applyAlignment="1" applyProtection="1">
      <alignment vertical="center"/>
      <protection locked="0"/>
    </xf>
    <xf numFmtId="2" fontId="4" fillId="33" borderId="10" xfId="0" applyNumberFormat="1" applyFont="1" applyFill="1" applyBorder="1" applyAlignment="1" applyProtection="1">
      <alignment vertical="center"/>
      <protection locked="0"/>
    </xf>
    <xf numFmtId="3" fontId="5" fillId="35" borderId="21" xfId="0" applyNumberFormat="1" applyFont="1" applyFill="1" applyBorder="1" applyAlignment="1" applyProtection="1">
      <alignment vertical="center"/>
      <protection/>
    </xf>
    <xf numFmtId="0" fontId="4" fillId="0" borderId="0" xfId="0" applyFont="1" applyBorder="1" applyAlignment="1">
      <alignment vertical="center"/>
    </xf>
    <xf numFmtId="0" fontId="4" fillId="37" borderId="0" xfId="476" applyFont="1" applyFill="1" applyAlignment="1" applyProtection="1">
      <alignment vertical="center"/>
      <protection/>
    </xf>
    <xf numFmtId="0" fontId="4" fillId="37" borderId="0" xfId="0" applyFont="1" applyFill="1" applyAlignment="1" applyProtection="1">
      <alignment vertical="center"/>
      <protection/>
    </xf>
    <xf numFmtId="0" fontId="4" fillId="34" borderId="0" xfId="0" applyFont="1" applyFill="1" applyAlignment="1" applyProtection="1" quotePrefix="1">
      <alignment horizontal="right" vertical="center"/>
      <protection/>
    </xf>
    <xf numFmtId="0" fontId="4" fillId="34" borderId="0" xfId="0" applyFont="1" applyFill="1" applyAlignment="1" applyProtection="1">
      <alignment horizontal="left" vertical="center"/>
      <protection/>
    </xf>
    <xf numFmtId="1" fontId="4" fillId="34" borderId="17"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vertical="center"/>
      <protection/>
    </xf>
    <xf numFmtId="37" fontId="4" fillId="33" borderId="10"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3" borderId="12" xfId="0" applyFont="1" applyFill="1" applyBorder="1" applyAlignment="1" applyProtection="1">
      <alignment horizontal="left" vertical="center"/>
      <protection locked="0"/>
    </xf>
    <xf numFmtId="0" fontId="4" fillId="34" borderId="12" xfId="0" applyFont="1" applyFill="1" applyBorder="1" applyAlignment="1" applyProtection="1">
      <alignment vertical="center"/>
      <protection/>
    </xf>
    <xf numFmtId="3" fontId="24" fillId="40" borderId="20"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left" vertical="center"/>
      <protection/>
    </xf>
    <xf numFmtId="37" fontId="5" fillId="35" borderId="10"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Alignment="1" applyProtection="1">
      <alignment horizontal="fill" vertical="center"/>
      <protection/>
    </xf>
    <xf numFmtId="0" fontId="4" fillId="34" borderId="17" xfId="0" applyNumberFormat="1" applyFont="1" applyFill="1" applyBorder="1" applyAlignment="1" applyProtection="1">
      <alignment horizontal="center" vertical="center"/>
      <protection/>
    </xf>
    <xf numFmtId="0" fontId="4" fillId="33" borderId="12" xfId="0" applyFont="1" applyFill="1" applyBorder="1" applyAlignment="1" applyProtection="1">
      <alignment vertical="center"/>
      <protection locked="0"/>
    </xf>
    <xf numFmtId="37" fontId="4" fillId="35" borderId="10" xfId="0" applyNumberFormat="1" applyFont="1" applyFill="1" applyBorder="1" applyAlignment="1" applyProtection="1">
      <alignment vertical="center"/>
      <protection/>
    </xf>
    <xf numFmtId="0" fontId="24" fillId="0" borderId="0" xfId="0" applyFont="1" applyAlignment="1">
      <alignment vertical="center"/>
    </xf>
    <xf numFmtId="0" fontId="25" fillId="34" borderId="0" xfId="0" applyFont="1" applyFill="1" applyAlignment="1" applyProtection="1">
      <alignment horizontal="center" vertical="center"/>
      <protection/>
    </xf>
    <xf numFmtId="0" fontId="4" fillId="34" borderId="0" xfId="0" applyFont="1" applyFill="1" applyAlignment="1">
      <alignment horizontal="right" vertical="center"/>
    </xf>
    <xf numFmtId="1" fontId="4" fillId="34" borderId="15"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4" fillId="34" borderId="0" xfId="0" applyNumberFormat="1" applyFont="1" applyFill="1" applyAlignment="1" applyProtection="1">
      <alignment vertical="center"/>
      <protection/>
    </xf>
    <xf numFmtId="37" fontId="4" fillId="34" borderId="0" xfId="0" applyNumberFormat="1" applyFont="1" applyFill="1" applyAlignment="1" applyProtection="1">
      <alignment horizontal="fill" vertical="center"/>
      <protection/>
    </xf>
    <xf numFmtId="0" fontId="4" fillId="35" borderId="0" xfId="0" applyFont="1" applyFill="1" applyAlignment="1" applyProtection="1">
      <alignment horizontal="left" vertical="center"/>
      <protection/>
    </xf>
    <xf numFmtId="37" fontId="5" fillId="39" borderId="21" xfId="0" applyNumberFormat="1" applyFont="1" applyFill="1" applyBorder="1" applyAlignment="1" applyProtection="1">
      <alignment vertical="center"/>
      <protection/>
    </xf>
    <xf numFmtId="0" fontId="24" fillId="37" borderId="0" xfId="0" applyFont="1" applyFill="1" applyAlignment="1">
      <alignment vertical="center"/>
    </xf>
    <xf numFmtId="37" fontId="4" fillId="37" borderId="0" xfId="0" applyNumberFormat="1" applyFont="1" applyFill="1" applyAlignment="1">
      <alignment vertical="center"/>
    </xf>
    <xf numFmtId="37" fontId="4" fillId="0" borderId="0" xfId="0" applyNumberFormat="1" applyFont="1" applyAlignment="1">
      <alignment vertical="center"/>
    </xf>
    <xf numFmtId="166" fontId="4" fillId="34" borderId="0" xfId="0" applyNumberFormat="1" applyFont="1" applyFill="1" applyAlignment="1" applyProtection="1">
      <alignment vertical="center"/>
      <protection/>
    </xf>
    <xf numFmtId="37" fontId="4" fillId="34" borderId="0" xfId="0" applyNumberFormat="1" applyFont="1" applyFill="1" applyAlignment="1" applyProtection="1" quotePrefix="1">
      <alignment horizontal="right" vertical="center"/>
      <protection/>
    </xf>
    <xf numFmtId="3" fontId="4" fillId="34" borderId="10" xfId="42" applyNumberFormat="1" applyFont="1" applyFill="1" applyBorder="1" applyAlignment="1" applyProtection="1">
      <alignment horizontal="right" vertical="center"/>
      <protection/>
    </xf>
    <xf numFmtId="37" fontId="4" fillId="34" borderId="27"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fill" vertical="center"/>
      <protection/>
    </xf>
    <xf numFmtId="3" fontId="4" fillId="33" borderId="10" xfId="0" applyNumberFormat="1" applyFont="1" applyFill="1" applyBorder="1" applyAlignment="1" applyProtection="1">
      <alignment horizontal="right" vertical="center"/>
      <protection locked="0"/>
    </xf>
    <xf numFmtId="3" fontId="4" fillId="34" borderId="10" xfId="0" applyNumberFormat="1" applyFont="1" applyFill="1" applyBorder="1" applyAlignment="1" applyProtection="1">
      <alignment horizontal="right" vertical="center"/>
      <protection/>
    </xf>
    <xf numFmtId="0" fontId="4" fillId="34" borderId="12" xfId="0" applyNumberFormat="1" applyFont="1" applyFill="1" applyBorder="1" applyAlignment="1" applyProtection="1">
      <alignment horizontal="left" vertical="center"/>
      <protection/>
    </xf>
    <xf numFmtId="0" fontId="4" fillId="33" borderId="12" xfId="0" applyNumberFormat="1" applyFont="1" applyFill="1" applyBorder="1" applyAlignment="1" applyProtection="1">
      <alignment horizontal="left" vertical="center"/>
      <protection locked="0"/>
    </xf>
    <xf numFmtId="3" fontId="4" fillId="33" borderId="10" xfId="0" applyNumberFormat="1" applyFont="1" applyFill="1" applyBorder="1" applyAlignment="1" applyProtection="1">
      <alignment horizontal="right" vertical="center"/>
      <protection locked="0"/>
    </xf>
    <xf numFmtId="3" fontId="24" fillId="40" borderId="10" xfId="0" applyNumberFormat="1" applyFont="1" applyFill="1" applyBorder="1" applyAlignment="1" applyProtection="1">
      <alignment horizontal="center" vertical="center"/>
      <protection/>
    </xf>
    <xf numFmtId="3" fontId="5" fillId="35" borderId="17" xfId="0" applyNumberFormat="1" applyFont="1" applyFill="1" applyBorder="1" applyAlignment="1" applyProtection="1">
      <alignment horizontal="right" vertical="center"/>
      <protection/>
    </xf>
    <xf numFmtId="3" fontId="5" fillId="35" borderId="10" xfId="0" applyNumberFormat="1" applyFont="1" applyFill="1" applyBorder="1" applyAlignment="1" applyProtection="1">
      <alignment horizontal="right" vertical="center"/>
      <protection/>
    </xf>
    <xf numFmtId="0" fontId="24" fillId="0" borderId="0" xfId="0" applyFont="1" applyAlignment="1" applyProtection="1">
      <alignment vertical="center"/>
      <protection/>
    </xf>
    <xf numFmtId="3" fontId="4" fillId="39" borderId="10"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3" borderId="12" xfId="0" applyFont="1" applyFill="1" applyBorder="1" applyAlignment="1" applyProtection="1">
      <alignment horizontal="left" vertical="center"/>
      <protection/>
    </xf>
    <xf numFmtId="0" fontId="4" fillId="33" borderId="12" xfId="0" applyFont="1" applyFill="1" applyBorder="1" applyAlignment="1">
      <alignment vertical="center"/>
    </xf>
    <xf numFmtId="3" fontId="5" fillId="35" borderId="10" xfId="0" applyNumberFormat="1" applyFont="1" applyFill="1" applyBorder="1" applyAlignment="1" applyProtection="1">
      <alignment vertical="center"/>
      <protection/>
    </xf>
    <xf numFmtId="0" fontId="4" fillId="34" borderId="0" xfId="0" applyFont="1" applyFill="1" applyAlignment="1" applyProtection="1">
      <alignment horizontal="center" vertical="center"/>
      <protection locked="0"/>
    </xf>
    <xf numFmtId="37" fontId="4" fillId="33" borderId="12" xfId="0" applyNumberFormat="1" applyFont="1" applyFill="1" applyBorder="1" applyAlignment="1" applyProtection="1">
      <alignment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31" fillId="34" borderId="0" xfId="0" applyFont="1" applyFill="1" applyAlignment="1">
      <alignment horizontal="center" vertical="center"/>
    </xf>
    <xf numFmtId="0" fontId="4" fillId="34" borderId="14" xfId="0" applyFont="1" applyFill="1" applyBorder="1" applyAlignment="1">
      <alignment horizontal="center" vertical="center"/>
    </xf>
    <xf numFmtId="0" fontId="4" fillId="34" borderId="16" xfId="0" applyFont="1" applyFill="1" applyBorder="1" applyAlignment="1">
      <alignment vertical="center"/>
    </xf>
    <xf numFmtId="0" fontId="22" fillId="34" borderId="15" xfId="0" applyFont="1" applyFill="1" applyBorder="1" applyAlignment="1">
      <alignment vertical="center"/>
    </xf>
    <xf numFmtId="0" fontId="22" fillId="34" borderId="14" xfId="0" applyFont="1" applyFill="1" applyBorder="1" applyAlignment="1">
      <alignment horizontal="center" vertical="center"/>
    </xf>
    <xf numFmtId="0" fontId="22" fillId="34" borderId="20" xfId="0" applyFont="1" applyFill="1" applyBorder="1" applyAlignment="1">
      <alignment vertical="center"/>
    </xf>
    <xf numFmtId="0" fontId="22" fillId="34" borderId="10" xfId="0" applyFont="1" applyFill="1" applyBorder="1" applyAlignment="1">
      <alignment horizontal="center" vertical="center"/>
    </xf>
    <xf numFmtId="0" fontId="4" fillId="34" borderId="14" xfId="0" applyFont="1" applyFill="1" applyBorder="1" applyAlignment="1">
      <alignment vertical="center"/>
    </xf>
    <xf numFmtId="0" fontId="4" fillId="34" borderId="10" xfId="0" applyFont="1" applyFill="1" applyBorder="1" applyAlignment="1">
      <alignment horizontal="center" vertical="center"/>
    </xf>
    <xf numFmtId="0" fontId="22" fillId="34" borderId="27" xfId="0" applyFont="1" applyFill="1" applyBorder="1" applyAlignment="1">
      <alignment vertical="center"/>
    </xf>
    <xf numFmtId="3" fontId="22" fillId="33" borderId="10" xfId="0" applyNumberFormat="1" applyFont="1" applyFill="1" applyBorder="1" applyAlignment="1" applyProtection="1">
      <alignment horizontal="center" vertical="center"/>
      <protection locked="0"/>
    </xf>
    <xf numFmtId="0" fontId="22" fillId="34" borderId="16" xfId="0" applyFont="1" applyFill="1" applyBorder="1" applyAlignment="1">
      <alignment vertical="center"/>
    </xf>
    <xf numFmtId="3" fontId="22" fillId="35" borderId="10" xfId="0" applyNumberFormat="1" applyFont="1" applyFill="1" applyBorder="1" applyAlignment="1">
      <alignment horizontal="center" vertical="center"/>
    </xf>
    <xf numFmtId="0" fontId="22" fillId="34" borderId="0" xfId="0" applyFont="1" applyFill="1" applyAlignment="1">
      <alignment vertical="center"/>
    </xf>
    <xf numFmtId="3" fontId="22" fillId="34" borderId="0" xfId="0" applyNumberFormat="1" applyFont="1" applyFill="1" applyAlignment="1">
      <alignment horizontal="center" vertical="center"/>
    </xf>
    <xf numFmtId="0" fontId="22" fillId="34" borderId="0" xfId="0" applyFont="1" applyFill="1" applyAlignment="1">
      <alignment horizontal="center" vertical="center"/>
    </xf>
    <xf numFmtId="0" fontId="22" fillId="33" borderId="10" xfId="0" applyFont="1" applyFill="1" applyBorder="1" applyAlignment="1" applyProtection="1">
      <alignment vertical="center"/>
      <protection locked="0"/>
    </xf>
    <xf numFmtId="0" fontId="22" fillId="33" borderId="20" xfId="0" applyFont="1" applyFill="1" applyBorder="1" applyAlignment="1" applyProtection="1">
      <alignment vertical="center"/>
      <protection locked="0"/>
    </xf>
    <xf numFmtId="0" fontId="22" fillId="33" borderId="0" xfId="0" applyFont="1" applyFill="1" applyAlignment="1" applyProtection="1">
      <alignment vertical="center"/>
      <protection locked="0"/>
    </xf>
    <xf numFmtId="0" fontId="22" fillId="33" borderId="14" xfId="0" applyFont="1" applyFill="1" applyBorder="1" applyAlignment="1" applyProtection="1">
      <alignment vertical="center"/>
      <protection locked="0"/>
    </xf>
    <xf numFmtId="0" fontId="22" fillId="33" borderId="17" xfId="0" applyFont="1" applyFill="1" applyBorder="1" applyAlignment="1" applyProtection="1">
      <alignment vertical="center"/>
      <protection locked="0"/>
    </xf>
    <xf numFmtId="0" fontId="22" fillId="33" borderId="24" xfId="0" applyFont="1" applyFill="1" applyBorder="1" applyAlignment="1" applyProtection="1">
      <alignment vertical="center"/>
      <protection locked="0"/>
    </xf>
    <xf numFmtId="3" fontId="22" fillId="34" borderId="10" xfId="0" applyNumberFormat="1" applyFont="1" applyFill="1" applyBorder="1" applyAlignment="1">
      <alignment horizontal="center" vertical="center"/>
    </xf>
    <xf numFmtId="3" fontId="27" fillId="39" borderId="10" xfId="0" applyNumberFormat="1" applyFont="1" applyFill="1" applyBorder="1" applyAlignment="1">
      <alignment horizontal="center" vertical="center"/>
    </xf>
    <xf numFmtId="3" fontId="4" fillId="34" borderId="0" xfId="0" applyNumberFormat="1" applyFont="1" applyFill="1" applyAlignment="1">
      <alignment vertical="center"/>
    </xf>
    <xf numFmtId="3" fontId="4" fillId="0" borderId="0" xfId="0" applyNumberFormat="1" applyFont="1" applyAlignment="1">
      <alignment vertical="center"/>
    </xf>
    <xf numFmtId="3" fontId="27" fillId="35" borderId="10" xfId="0" applyNumberFormat="1" applyFont="1" applyFill="1" applyBorder="1" applyAlignment="1">
      <alignment horizontal="center" vertical="center"/>
    </xf>
    <xf numFmtId="0" fontId="4" fillId="0" borderId="0" xfId="0" applyFont="1" applyAlignment="1">
      <alignment horizontal="centerContinuous" vertical="center"/>
    </xf>
    <xf numFmtId="0" fontId="4" fillId="34" borderId="15" xfId="0" applyFont="1" applyFill="1" applyBorder="1" applyAlignment="1" applyProtection="1">
      <alignment horizontal="centerContinuous" vertical="center"/>
      <protection/>
    </xf>
    <xf numFmtId="1" fontId="4" fillId="34" borderId="12" xfId="0" applyNumberFormat="1" applyFont="1" applyFill="1" applyBorder="1" applyAlignment="1" applyProtection="1">
      <alignment horizontal="centerContinuous" vertical="center"/>
      <protection/>
    </xf>
    <xf numFmtId="164" fontId="4" fillId="34" borderId="10"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locked="0"/>
    </xf>
    <xf numFmtId="1" fontId="4" fillId="34" borderId="0" xfId="0" applyNumberFormat="1" applyFont="1" applyFill="1" applyAlignment="1" applyProtection="1">
      <alignment vertical="center"/>
      <protection/>
    </xf>
    <xf numFmtId="1" fontId="6" fillId="34" borderId="0" xfId="0" applyNumberFormat="1" applyFont="1" applyFill="1" applyAlignment="1" applyProtection="1">
      <alignment horizontal="center" vertical="center"/>
      <protection/>
    </xf>
    <xf numFmtId="37" fontId="4" fillId="34" borderId="21" xfId="0" applyNumberFormat="1" applyFont="1" applyFill="1" applyBorder="1" applyAlignment="1" applyProtection="1">
      <alignment vertical="center"/>
      <protection/>
    </xf>
    <xf numFmtId="0" fontId="4" fillId="33" borderId="0" xfId="0" applyFont="1" applyFill="1" applyAlignment="1" applyProtection="1">
      <alignment vertical="center"/>
      <protection locked="0"/>
    </xf>
    <xf numFmtId="0" fontId="4" fillId="34" borderId="1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3" fontId="4" fillId="33" borderId="10" xfId="0" applyNumberFormat="1" applyFont="1" applyFill="1" applyBorder="1" applyAlignment="1" applyProtection="1">
      <alignment horizontal="center" vertical="center"/>
      <protection locked="0"/>
    </xf>
    <xf numFmtId="184" fontId="4" fillId="34" borderId="10" xfId="0" applyNumberFormat="1" applyFont="1" applyFill="1" applyBorder="1" applyAlignment="1" applyProtection="1">
      <alignment horizontal="center" vertical="center"/>
      <protection/>
    </xf>
    <xf numFmtId="3" fontId="4" fillId="33" borderId="15" xfId="0" applyNumberFormat="1" applyFont="1" applyFill="1" applyBorder="1" applyAlignment="1" applyProtection="1">
      <alignment horizontal="center" vertical="center"/>
      <protection locked="0"/>
    </xf>
    <xf numFmtId="3" fontId="4" fillId="34" borderId="21" xfId="0" applyNumberFormat="1" applyFont="1" applyFill="1" applyBorder="1" applyAlignment="1" applyProtection="1">
      <alignment horizontal="center" vertical="center"/>
      <protection/>
    </xf>
    <xf numFmtId="184" fontId="4" fillId="34" borderId="21"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4" fontId="4" fillId="34" borderId="16" xfId="0" applyNumberFormat="1" applyFont="1" applyFill="1" applyBorder="1" applyAlignment="1" applyProtection="1">
      <alignment horizontal="center" vertical="center"/>
      <protection/>
    </xf>
    <xf numFmtId="184" fontId="4" fillId="34" borderId="0" xfId="0" applyNumberFormat="1" applyFont="1" applyFill="1" applyBorder="1" applyAlignment="1" applyProtection="1">
      <alignment horizontal="center" vertical="center"/>
      <protection/>
    </xf>
    <xf numFmtId="3" fontId="4" fillId="34" borderId="16" xfId="0" applyNumberFormat="1" applyFont="1" applyFill="1" applyBorder="1" applyAlignment="1">
      <alignment horizontal="center" vertical="center"/>
    </xf>
    <xf numFmtId="0" fontId="0" fillId="34" borderId="0" xfId="0" applyFill="1" applyAlignment="1">
      <alignment horizontal="center" vertical="center"/>
    </xf>
    <xf numFmtId="184" fontId="4" fillId="34" borderId="16" xfId="0" applyNumberFormat="1" applyFont="1" applyFill="1" applyBorder="1" applyAlignment="1">
      <alignment horizontal="center" vertical="center"/>
    </xf>
    <xf numFmtId="183" fontId="4" fillId="34" borderId="0" xfId="0" applyNumberFormat="1" applyFont="1" applyFill="1" applyBorder="1" applyAlignment="1" applyProtection="1">
      <alignment vertical="center"/>
      <protection/>
    </xf>
    <xf numFmtId="0" fontId="6" fillId="0" borderId="0" xfId="0" applyFont="1" applyAlignment="1">
      <alignment vertical="center"/>
    </xf>
    <xf numFmtId="0" fontId="32" fillId="0" borderId="0" xfId="0" applyFont="1" applyAlignment="1">
      <alignment horizontal="center" vertical="center"/>
    </xf>
    <xf numFmtId="0" fontId="5" fillId="0" borderId="0" xfId="0" applyFont="1" applyAlignment="1">
      <alignment vertical="center" wrapText="1"/>
    </xf>
    <xf numFmtId="3" fontId="37" fillId="39" borderId="0" xfId="0" applyNumberFormat="1" applyFont="1" applyFill="1" applyAlignment="1">
      <alignment horizontal="center" vertical="center"/>
    </xf>
    <xf numFmtId="0" fontId="4" fillId="0" borderId="0" xfId="406" applyNumberFormat="1" applyFont="1" applyAlignment="1">
      <alignment vertical="center" wrapText="1"/>
      <protection/>
    </xf>
    <xf numFmtId="0" fontId="4" fillId="0" borderId="0" xfId="426" applyNumberFormat="1" applyFont="1" applyAlignment="1">
      <alignment vertical="center" wrapText="1"/>
      <protection/>
    </xf>
    <xf numFmtId="0" fontId="4" fillId="0" borderId="0" xfId="438" applyFont="1" applyAlignment="1">
      <alignment vertical="center" wrapText="1"/>
      <protection/>
    </xf>
    <xf numFmtId="0" fontId="4" fillId="0" borderId="0" xfId="203" applyFont="1" applyAlignment="1">
      <alignment vertical="center" wrapText="1"/>
      <protection/>
    </xf>
    <xf numFmtId="0" fontId="0" fillId="0" borderId="0" xfId="0" applyAlignment="1">
      <alignment/>
    </xf>
    <xf numFmtId="37" fontId="18" fillId="34" borderId="0" xfId="0" applyNumberFormat="1" applyFont="1" applyFill="1" applyBorder="1" applyAlignment="1" applyProtection="1">
      <alignment horizontal="left" vertical="center"/>
      <protection/>
    </xf>
    <xf numFmtId="0" fontId="4" fillId="0" borderId="0" xfId="467" applyFont="1" applyAlignment="1">
      <alignment vertical="center"/>
      <protection/>
    </xf>
    <xf numFmtId="37" fontId="18" fillId="34" borderId="0" xfId="0" applyNumberFormat="1" applyFont="1" applyFill="1" applyBorder="1" applyAlignment="1" applyProtection="1">
      <alignment horizontal="fill" vertical="center"/>
      <protection/>
    </xf>
    <xf numFmtId="0" fontId="12" fillId="0" borderId="0" xfId="450" applyFont="1">
      <alignment/>
      <protection/>
    </xf>
    <xf numFmtId="0" fontId="4" fillId="0" borderId="0" xfId="450" applyFont="1" applyAlignment="1">
      <alignment horizontal="left" vertical="center"/>
      <protection/>
    </xf>
    <xf numFmtId="49" fontId="4" fillId="33" borderId="0" xfId="450" applyNumberFormat="1" applyFont="1" applyFill="1" applyAlignment="1" applyProtection="1">
      <alignment horizontal="left" vertical="center"/>
      <protection locked="0"/>
    </xf>
    <xf numFmtId="185" fontId="22" fillId="0" borderId="0" xfId="450" applyNumberFormat="1" applyFont="1" applyAlignment="1">
      <alignment horizontal="left" vertical="center"/>
      <protection/>
    </xf>
    <xf numFmtId="49" fontId="4" fillId="0" borderId="0" xfId="450" applyNumberFormat="1" applyFont="1" applyAlignment="1">
      <alignment horizontal="left" vertical="center"/>
      <protection/>
    </xf>
    <xf numFmtId="0" fontId="22" fillId="0" borderId="0" xfId="450" applyFont="1" applyAlignment="1">
      <alignment horizontal="left" vertical="center"/>
      <protection/>
    </xf>
    <xf numFmtId="186" fontId="22" fillId="0" borderId="0" xfId="450" applyNumberFormat="1" applyFont="1" applyAlignment="1">
      <alignment horizontal="left" vertical="center"/>
      <protection/>
    </xf>
    <xf numFmtId="0" fontId="4" fillId="33" borderId="0" xfId="450" applyFont="1" applyFill="1" applyAlignment="1" applyProtection="1">
      <alignment horizontal="left" vertical="center"/>
      <protection locked="0"/>
    </xf>
    <xf numFmtId="0" fontId="12" fillId="33" borderId="0" xfId="450" applyFont="1" applyFill="1" applyAlignment="1" applyProtection="1">
      <alignment horizontal="left" vertical="center"/>
      <protection locked="0"/>
    </xf>
    <xf numFmtId="0" fontId="6" fillId="0" borderId="0" xfId="135" applyFont="1" applyAlignment="1">
      <alignment vertical="center"/>
      <protection/>
    </xf>
    <xf numFmtId="0" fontId="4" fillId="0" borderId="0" xfId="139" applyFont="1" applyAlignment="1">
      <alignment vertical="center"/>
      <protection/>
    </xf>
    <xf numFmtId="0" fontId="2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1" fillId="0" borderId="0" xfId="0" applyFont="1" applyAlignment="1">
      <alignment horizontal="center"/>
    </xf>
    <xf numFmtId="0" fontId="4" fillId="0" borderId="0" xfId="472" applyFont="1" applyAlignment="1">
      <alignment vertical="center" wrapText="1"/>
      <protection/>
    </xf>
    <xf numFmtId="0" fontId="4" fillId="0" borderId="0" xfId="86" applyFont="1" applyAlignment="1">
      <alignment vertical="center" wrapText="1"/>
      <protection/>
    </xf>
    <xf numFmtId="0" fontId="6" fillId="0" borderId="0" xfId="134" applyFont="1" applyAlignment="1">
      <alignment vertical="center"/>
      <protection/>
    </xf>
    <xf numFmtId="0" fontId="50"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 fontId="22" fillId="35" borderId="17" xfId="0" applyNumberFormat="1" applyFont="1" applyFill="1" applyBorder="1" applyAlignment="1">
      <alignment horizontal="center" vertical="center"/>
    </xf>
    <xf numFmtId="0" fontId="4" fillId="33" borderId="16" xfId="0" applyFont="1" applyFill="1" applyBorder="1" applyAlignment="1" applyProtection="1">
      <alignment vertical="center"/>
      <protection locked="0"/>
    </xf>
    <xf numFmtId="14" fontId="4" fillId="33" borderId="10" xfId="0" applyNumberFormat="1" applyFont="1" applyFill="1" applyBorder="1" applyAlignment="1" applyProtection="1">
      <alignment vertical="center"/>
      <protection locked="0"/>
    </xf>
    <xf numFmtId="14" fontId="4" fillId="33" borderId="10" xfId="0" applyNumberFormat="1" applyFont="1" applyFill="1" applyBorder="1" applyAlignment="1" applyProtection="1">
      <alignment horizontal="center" vertical="center"/>
      <protection locked="0"/>
    </xf>
    <xf numFmtId="3" fontId="4" fillId="33" borderId="12" xfId="0" applyNumberFormat="1" applyFont="1" applyFill="1" applyBorder="1" applyAlignment="1" applyProtection="1">
      <alignment vertical="center"/>
      <protection locked="0"/>
    </xf>
    <xf numFmtId="3" fontId="24" fillId="40" borderId="12" xfId="0" applyNumberFormat="1" applyFont="1" applyFill="1" applyBorder="1" applyAlignment="1" applyProtection="1">
      <alignment horizontal="center" vertical="center"/>
      <protection/>
    </xf>
    <xf numFmtId="3" fontId="5" fillId="35" borderId="12" xfId="0" applyNumberFormat="1" applyFont="1" applyFill="1" applyBorder="1" applyAlignment="1" applyProtection="1">
      <alignment vertical="center"/>
      <protection/>
    </xf>
    <xf numFmtId="0" fontId="4" fillId="34" borderId="27"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vertical="center"/>
      <protection/>
    </xf>
    <xf numFmtId="3" fontId="4" fillId="35" borderId="12" xfId="0" applyNumberFormat="1" applyFont="1" applyFill="1" applyBorder="1" applyAlignment="1" applyProtection="1">
      <alignment vertical="center"/>
      <protection/>
    </xf>
    <xf numFmtId="3" fontId="4" fillId="34" borderId="12" xfId="0" applyNumberFormat="1" applyFont="1" applyFill="1" applyBorder="1" applyAlignment="1" applyProtection="1">
      <alignment horizontal="right" vertical="center"/>
      <protection locked="0"/>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3" fontId="4" fillId="34" borderId="12" xfId="42" applyNumberFormat="1" applyFont="1" applyFill="1" applyBorder="1" applyAlignment="1" applyProtection="1">
      <alignment horizontal="right" vertical="center"/>
      <protection/>
    </xf>
    <xf numFmtId="3" fontId="5" fillId="35" borderId="27" xfId="0" applyNumberFormat="1" applyFont="1" applyFill="1" applyBorder="1" applyAlignment="1" applyProtection="1">
      <alignment horizontal="right" vertical="center"/>
      <protection/>
    </xf>
    <xf numFmtId="3" fontId="5" fillId="35" borderId="12" xfId="0" applyNumberFormat="1" applyFont="1" applyFill="1" applyBorder="1" applyAlignment="1" applyProtection="1">
      <alignment horizontal="right" vertical="center"/>
      <protection/>
    </xf>
    <xf numFmtId="3" fontId="4" fillId="35" borderId="12" xfId="0" applyNumberFormat="1" applyFont="1" applyFill="1" applyBorder="1" applyAlignment="1" applyProtection="1">
      <alignment horizontal="right" vertical="center"/>
      <protection/>
    </xf>
    <xf numFmtId="49" fontId="4" fillId="33" borderId="10" xfId="0" applyNumberFormat="1" applyFont="1" applyFill="1" applyBorder="1" applyAlignment="1" applyProtection="1">
      <alignment horizontal="center" vertical="center"/>
      <protection locked="0"/>
    </xf>
    <xf numFmtId="37" fontId="18" fillId="34" borderId="0" xfId="0" applyNumberFormat="1" applyFont="1" applyFill="1" applyAlignment="1" applyProtection="1">
      <alignment horizontal="center" vertical="center"/>
      <protection locked="0"/>
    </xf>
    <xf numFmtId="37" fontId="18" fillId="34" borderId="0" xfId="0" applyNumberFormat="1" applyFont="1" applyFill="1" applyAlignment="1" applyProtection="1">
      <alignment horizontal="left" vertical="center"/>
      <protection locked="0"/>
    </xf>
    <xf numFmtId="0" fontId="18" fillId="36" borderId="10" xfId="0" applyFont="1" applyFill="1" applyBorder="1" applyAlignment="1" applyProtection="1">
      <alignment horizontal="center" vertical="center"/>
      <protection/>
    </xf>
    <xf numFmtId="37" fontId="18" fillId="34" borderId="22" xfId="0" applyNumberFormat="1" applyFont="1" applyFill="1" applyBorder="1" applyAlignment="1" applyProtection="1">
      <alignment horizontal="center" vertical="center"/>
      <protection/>
    </xf>
    <xf numFmtId="0" fontId="45" fillId="0" borderId="0" xfId="0" applyFont="1" applyAlignment="1" applyProtection="1">
      <alignment vertical="center"/>
      <protection/>
    </xf>
    <xf numFmtId="0" fontId="18" fillId="39" borderId="16" xfId="88" applyFont="1" applyFill="1" applyBorder="1" applyAlignment="1" applyProtection="1">
      <alignment vertical="center"/>
      <protection/>
    </xf>
    <xf numFmtId="0" fontId="18" fillId="34" borderId="28" xfId="88" applyFont="1" applyFill="1" applyBorder="1" applyAlignment="1" applyProtection="1">
      <alignment vertical="center"/>
      <protection/>
    </xf>
    <xf numFmtId="0" fontId="4" fillId="39" borderId="18" xfId="88" applyFont="1" applyFill="1" applyBorder="1" applyAlignment="1" applyProtection="1">
      <alignment vertical="center"/>
      <protection/>
    </xf>
    <xf numFmtId="0" fontId="18" fillId="39" borderId="18" xfId="88" applyFont="1" applyFill="1" applyBorder="1" applyAlignment="1" applyProtection="1">
      <alignment vertical="center"/>
      <protection/>
    </xf>
    <xf numFmtId="37" fontId="18" fillId="34" borderId="17" xfId="98" applyNumberFormat="1" applyFont="1" applyFill="1" applyBorder="1" applyAlignment="1" applyProtection="1">
      <alignment horizontal="center" vertical="center"/>
      <protection/>
    </xf>
    <xf numFmtId="37" fontId="18" fillId="34" borderId="11" xfId="98" applyNumberFormat="1" applyFont="1" applyFill="1" applyBorder="1" applyAlignment="1" applyProtection="1">
      <alignment horizontal="center" vertical="center"/>
      <protection/>
    </xf>
    <xf numFmtId="0" fontId="25" fillId="34" borderId="10" xfId="0" applyFont="1" applyFill="1" applyBorder="1" applyAlignment="1" applyProtection="1">
      <alignment horizontal="center" vertical="center"/>
      <protection/>
    </xf>
    <xf numFmtId="3" fontId="25" fillId="34" borderId="10" xfId="0" applyNumberFormat="1" applyFont="1" applyFill="1" applyBorder="1" applyAlignment="1" applyProtection="1">
      <alignment horizontal="center" vertical="center"/>
      <protection/>
    </xf>
    <xf numFmtId="3" fontId="24" fillId="40" borderId="15" xfId="0" applyNumberFormat="1" applyFont="1" applyFill="1" applyBorder="1" applyAlignment="1" applyProtection="1">
      <alignment horizontal="center" vertical="center"/>
      <protection/>
    </xf>
    <xf numFmtId="0" fontId="5" fillId="34" borderId="18" xfId="0" applyFont="1" applyFill="1" applyBorder="1" applyAlignment="1" applyProtection="1">
      <alignment vertical="center"/>
      <protection/>
    </xf>
    <xf numFmtId="37" fontId="5" fillId="34"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0" fontId="34" fillId="0" borderId="0" xfId="0" applyFont="1" applyAlignment="1">
      <alignment/>
    </xf>
    <xf numFmtId="0" fontId="33" fillId="0" borderId="0" xfId="0" applyFont="1" applyAlignment="1">
      <alignment wrapText="1"/>
    </xf>
    <xf numFmtId="0" fontId="0" fillId="0" borderId="0" xfId="0" applyAlignment="1">
      <alignment vertical="center" wrapText="1"/>
    </xf>
    <xf numFmtId="0" fontId="5" fillId="0" borderId="0" xfId="0" applyFont="1" applyAlignment="1">
      <alignment wrapText="1"/>
    </xf>
    <xf numFmtId="0" fontId="15" fillId="0" borderId="0" xfId="0" applyFont="1" applyAlignment="1">
      <alignment wrapText="1"/>
    </xf>
    <xf numFmtId="0" fontId="38" fillId="0" borderId="0" xfId="0" applyFont="1" applyAlignment="1">
      <alignment vertical="center"/>
    </xf>
    <xf numFmtId="0" fontId="39" fillId="0" borderId="0" xfId="0" applyFont="1" applyAlignment="1">
      <alignment horizontal="center"/>
    </xf>
    <xf numFmtId="37" fontId="4" fillId="34" borderId="11" xfId="88" applyNumberFormat="1" applyFont="1" applyFill="1" applyBorder="1" applyAlignment="1" applyProtection="1">
      <alignment horizontal="center" vertical="center"/>
      <protection/>
    </xf>
    <xf numFmtId="37" fontId="4" fillId="34" borderId="17" xfId="88" applyNumberFormat="1" applyFont="1" applyFill="1" applyBorder="1" applyAlignment="1" applyProtection="1">
      <alignment horizontal="center" vertical="center"/>
      <protection/>
    </xf>
    <xf numFmtId="0" fontId="19" fillId="39" borderId="16" xfId="88" applyFont="1" applyFill="1" applyBorder="1" applyAlignment="1" applyProtection="1">
      <alignment vertical="center"/>
      <protection/>
    </xf>
    <xf numFmtId="190" fontId="19" fillId="39" borderId="27" xfId="88" applyNumberFormat="1" applyFont="1" applyFill="1" applyBorder="1" applyAlignment="1" applyProtection="1">
      <alignment horizontal="center" vertical="center"/>
      <protection/>
    </xf>
    <xf numFmtId="190" fontId="18" fillId="34" borderId="28" xfId="88" applyNumberFormat="1" applyFont="1" applyFill="1" applyBorder="1" applyAlignment="1" applyProtection="1">
      <alignment vertical="center"/>
      <protection/>
    </xf>
    <xf numFmtId="190" fontId="18" fillId="34" borderId="27" xfId="88" applyNumberFormat="1" applyFont="1" applyFill="1" applyBorder="1" applyAlignment="1" applyProtection="1">
      <alignment horizontal="center" vertical="center"/>
      <protection/>
    </xf>
    <xf numFmtId="0" fontId="18" fillId="34" borderId="0" xfId="88" applyFont="1" applyFill="1" applyBorder="1" applyAlignment="1" applyProtection="1">
      <alignment vertical="center"/>
      <protection/>
    </xf>
    <xf numFmtId="0" fontId="18" fillId="34" borderId="24" xfId="88" applyFont="1" applyFill="1" applyBorder="1" applyAlignment="1" applyProtection="1">
      <alignment vertical="center"/>
      <protection/>
    </xf>
    <xf numFmtId="0" fontId="18" fillId="34" borderId="0" xfId="88" applyFont="1" applyFill="1" applyBorder="1" applyAlignment="1" applyProtection="1">
      <alignment horizontal="left" vertical="center"/>
      <protection/>
    </xf>
    <xf numFmtId="0" fontId="45" fillId="0" borderId="0" xfId="0" applyFont="1" applyAlignment="1">
      <alignment vertical="center"/>
    </xf>
    <xf numFmtId="190" fontId="18" fillId="34" borderId="28" xfId="88" applyNumberFormat="1" applyFont="1" applyFill="1" applyBorder="1" applyAlignment="1" applyProtection="1">
      <alignment horizontal="center" vertical="center"/>
      <protection/>
    </xf>
    <xf numFmtId="0" fontId="4" fillId="34" borderId="0" xfId="101" applyFont="1" applyFill="1" applyAlignment="1" applyProtection="1">
      <alignment horizontal="right" vertical="center"/>
      <protection/>
    </xf>
    <xf numFmtId="0" fontId="29" fillId="34" borderId="0" xfId="0" applyFont="1" applyFill="1" applyBorder="1" applyAlignment="1" applyProtection="1">
      <alignment horizontal="center" vertical="center"/>
      <protection/>
    </xf>
    <xf numFmtId="0" fontId="29" fillId="34" borderId="0" xfId="0" applyFont="1" applyFill="1" applyAlignment="1" applyProtection="1">
      <alignment horizontal="center" vertical="center"/>
      <protection/>
    </xf>
    <xf numFmtId="0" fontId="4" fillId="34" borderId="29" xfId="0" applyFont="1" applyFill="1" applyBorder="1" applyAlignment="1" applyProtection="1">
      <alignment vertical="center"/>
      <protection locked="0"/>
    </xf>
    <xf numFmtId="0" fontId="4" fillId="34" borderId="29" xfId="0" applyFont="1" applyFill="1" applyBorder="1" applyAlignment="1" applyProtection="1">
      <alignment vertical="center"/>
      <protection/>
    </xf>
    <xf numFmtId="37" fontId="4" fillId="34" borderId="29"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fill" vertical="center"/>
      <protection/>
    </xf>
    <xf numFmtId="37" fontId="4" fillId="34" borderId="17" xfId="0" applyNumberFormat="1" applyFont="1" applyFill="1" applyBorder="1" applyAlignment="1" applyProtection="1">
      <alignment vertical="center"/>
      <protection/>
    </xf>
    <xf numFmtId="0" fontId="0" fillId="0" borderId="0" xfId="88">
      <alignment/>
      <protection/>
    </xf>
    <xf numFmtId="37" fontId="4" fillId="34" borderId="15" xfId="88" applyNumberFormat="1" applyFont="1" applyFill="1" applyBorder="1" applyAlignment="1" applyProtection="1">
      <alignment horizontal="center"/>
      <protection/>
    </xf>
    <xf numFmtId="37" fontId="4" fillId="34" borderId="17" xfId="88" applyNumberFormat="1" applyFont="1" applyFill="1" applyBorder="1" applyAlignment="1" applyProtection="1">
      <alignment horizontal="center"/>
      <protection/>
    </xf>
    <xf numFmtId="0" fontId="4" fillId="34" borderId="0" xfId="88" applyFont="1" applyFill="1" applyBorder="1" applyAlignment="1" applyProtection="1">
      <alignment vertical="center"/>
      <protection/>
    </xf>
    <xf numFmtId="0" fontId="4" fillId="34" borderId="28" xfId="88" applyFont="1" applyFill="1" applyBorder="1" applyAlignment="1" applyProtection="1">
      <alignment vertical="center"/>
      <protection/>
    </xf>
    <xf numFmtId="0" fontId="4" fillId="34" borderId="24" xfId="88" applyFont="1" applyFill="1" applyBorder="1" applyAlignment="1" applyProtection="1">
      <alignment vertical="center"/>
      <protection/>
    </xf>
    <xf numFmtId="0" fontId="4" fillId="0" borderId="0" xfId="88" applyFont="1" applyFill="1" applyBorder="1" applyAlignment="1" applyProtection="1">
      <alignment vertical="center"/>
      <protection/>
    </xf>
    <xf numFmtId="0" fontId="18" fillId="34" borderId="28" xfId="98" applyFont="1" applyFill="1" applyBorder="1" applyProtection="1">
      <alignment/>
      <protection/>
    </xf>
    <xf numFmtId="0" fontId="4" fillId="34" borderId="0" xfId="98" applyFont="1" applyFill="1" applyBorder="1" applyProtection="1">
      <alignment/>
      <protection/>
    </xf>
    <xf numFmtId="190" fontId="4" fillId="34" borderId="24" xfId="98" applyNumberFormat="1" applyFont="1" applyFill="1" applyBorder="1" applyAlignment="1" applyProtection="1">
      <alignment horizontal="center"/>
      <protection/>
    </xf>
    <xf numFmtId="0" fontId="4" fillId="34" borderId="27" xfId="98" applyFont="1" applyFill="1" applyBorder="1" applyProtection="1">
      <alignment/>
      <protection/>
    </xf>
    <xf numFmtId="0" fontId="4" fillId="34" borderId="16" xfId="98" applyFont="1" applyFill="1" applyBorder="1" applyProtection="1">
      <alignment/>
      <protection/>
    </xf>
    <xf numFmtId="190" fontId="4" fillId="39" borderId="18" xfId="98" applyNumberFormat="1" applyFont="1" applyFill="1" applyBorder="1" applyAlignment="1" applyProtection="1">
      <alignment horizontal="center"/>
      <protection/>
    </xf>
    <xf numFmtId="0" fontId="4" fillId="0" borderId="0" xfId="98" applyFont="1" applyFill="1" applyBorder="1" applyProtection="1">
      <alignment/>
      <protection/>
    </xf>
    <xf numFmtId="0" fontId="4" fillId="34" borderId="28" xfId="98" applyFont="1" applyFill="1" applyBorder="1" applyProtection="1">
      <alignment/>
      <protection/>
    </xf>
    <xf numFmtId="0" fontId="4" fillId="34" borderId="24" xfId="98" applyFont="1" applyFill="1" applyBorder="1" applyProtection="1">
      <alignment/>
      <protection/>
    </xf>
    <xf numFmtId="183" fontId="4" fillId="34" borderId="24" xfId="98" applyNumberFormat="1" applyFont="1" applyFill="1" applyBorder="1" applyAlignment="1" applyProtection="1">
      <alignment horizontal="center"/>
      <protection/>
    </xf>
    <xf numFmtId="0" fontId="4" fillId="39" borderId="28" xfId="98" applyFont="1" applyFill="1" applyBorder="1" applyProtection="1">
      <alignment/>
      <protection/>
    </xf>
    <xf numFmtId="0" fontId="4" fillId="39" borderId="0" xfId="98" applyFont="1" applyFill="1" applyBorder="1" applyProtection="1">
      <alignment/>
      <protection/>
    </xf>
    <xf numFmtId="0" fontId="4" fillId="39" borderId="27" xfId="98" applyFont="1" applyFill="1" applyBorder="1" applyProtection="1">
      <alignment/>
      <protection/>
    </xf>
    <xf numFmtId="0" fontId="4" fillId="39" borderId="16" xfId="98" applyFont="1" applyFill="1" applyBorder="1" applyProtection="1">
      <alignment/>
      <protection/>
    </xf>
    <xf numFmtId="0" fontId="4" fillId="0" borderId="0" xfId="98" applyFont="1" applyProtection="1">
      <alignment/>
      <protection/>
    </xf>
    <xf numFmtId="190" fontId="4" fillId="34" borderId="18" xfId="98" applyNumberFormat="1" applyFont="1" applyFill="1" applyBorder="1" applyAlignment="1" applyProtection="1">
      <alignment horizontal="center"/>
      <protection/>
    </xf>
    <xf numFmtId="184" fontId="4" fillId="33" borderId="24" xfId="98" applyNumberFormat="1" applyFont="1" applyFill="1" applyBorder="1" applyAlignment="1" applyProtection="1">
      <alignment horizontal="center"/>
      <protection locked="0"/>
    </xf>
    <xf numFmtId="37" fontId="4" fillId="35" borderId="21" xfId="0" applyNumberFormat="1" applyFont="1" applyFill="1" applyBorder="1" applyAlignment="1" applyProtection="1">
      <alignment vertical="center"/>
      <protection/>
    </xf>
    <xf numFmtId="0" fontId="34" fillId="0" borderId="0" xfId="0" applyFont="1" applyAlignment="1">
      <alignment vertical="center"/>
    </xf>
    <xf numFmtId="0" fontId="47" fillId="0" borderId="0" xfId="0" applyFont="1" applyBorder="1" applyAlignment="1">
      <alignment horizontal="centerContinuous"/>
    </xf>
    <xf numFmtId="0" fontId="47" fillId="0" borderId="0" xfId="0" applyFont="1" applyBorder="1" applyAlignment="1">
      <alignment/>
    </xf>
    <xf numFmtId="0" fontId="47" fillId="0" borderId="0" xfId="0" applyFont="1" applyAlignment="1">
      <alignment/>
    </xf>
    <xf numFmtId="0" fontId="4" fillId="0" borderId="0" xfId="88" applyFont="1" applyAlignment="1">
      <alignment vertical="center"/>
      <protection/>
    </xf>
    <xf numFmtId="0" fontId="4" fillId="0" borderId="0" xfId="101" applyFont="1" applyAlignment="1">
      <alignment vertical="center"/>
      <protection/>
    </xf>
    <xf numFmtId="0" fontId="4" fillId="0" borderId="0" xfId="88" applyFont="1">
      <alignment/>
      <protection/>
    </xf>
    <xf numFmtId="0" fontId="48" fillId="0" borderId="0" xfId="88" applyFont="1" applyAlignment="1">
      <alignment horizontal="center"/>
      <protection/>
    </xf>
    <xf numFmtId="0" fontId="4" fillId="0" borderId="0" xfId="88" applyFont="1" applyAlignment="1">
      <alignment wrapText="1"/>
      <protection/>
    </xf>
    <xf numFmtId="0" fontId="49" fillId="0" borderId="0" xfId="74" applyFont="1" applyAlignment="1" applyProtection="1">
      <alignment/>
      <protection/>
    </xf>
    <xf numFmtId="0" fontId="4" fillId="0" borderId="0" xfId="101" applyFont="1" applyAlignment="1">
      <alignment vertical="center" wrapText="1"/>
      <protection/>
    </xf>
    <xf numFmtId="0" fontId="46" fillId="34" borderId="0" xfId="0" applyFont="1" applyFill="1" applyAlignment="1">
      <alignment/>
    </xf>
    <xf numFmtId="0" fontId="46" fillId="34" borderId="30" xfId="0" applyFont="1" applyFill="1" applyBorder="1" applyAlignment="1">
      <alignment/>
    </xf>
    <xf numFmtId="0" fontId="51" fillId="0" borderId="0" xfId="0" applyFont="1" applyBorder="1" applyAlignment="1">
      <alignment/>
    </xf>
    <xf numFmtId="0" fontId="46" fillId="0" borderId="0" xfId="0" applyFont="1" applyBorder="1" applyAlignment="1">
      <alignment horizontal="centerContinuous"/>
    </xf>
    <xf numFmtId="0" fontId="46" fillId="34" borderId="30" xfId="0" applyFont="1" applyFill="1" applyBorder="1" applyAlignment="1">
      <alignment/>
    </xf>
    <xf numFmtId="0" fontId="46" fillId="34" borderId="31" xfId="0" applyFont="1" applyFill="1" applyBorder="1" applyAlignment="1">
      <alignment horizontal="centerContinuous" vertical="center"/>
    </xf>
    <xf numFmtId="190" fontId="46" fillId="34" borderId="0" xfId="0" applyNumberFormat="1" applyFont="1" applyFill="1" applyBorder="1" applyAlignment="1">
      <alignment horizontal="centerContinuous" vertical="center"/>
    </xf>
    <xf numFmtId="0" fontId="46" fillId="34" borderId="0" xfId="0" applyFont="1" applyFill="1" applyBorder="1" applyAlignment="1">
      <alignment horizontal="centerContinuous" vertical="center"/>
    </xf>
    <xf numFmtId="184" fontId="46" fillId="34" borderId="0" xfId="0" applyNumberFormat="1" applyFont="1" applyFill="1" applyBorder="1" applyAlignment="1" applyProtection="1">
      <alignment horizontal="centerContinuous" vertical="center"/>
      <protection locked="0"/>
    </xf>
    <xf numFmtId="191" fontId="46" fillId="34" borderId="0" xfId="0" applyNumberFormat="1" applyFont="1" applyFill="1" applyBorder="1" applyAlignment="1">
      <alignment horizontal="centerContinuous" vertical="center"/>
    </xf>
    <xf numFmtId="0" fontId="46" fillId="34" borderId="32" xfId="0" applyFont="1" applyFill="1" applyBorder="1" applyAlignment="1">
      <alignment horizontal="centerContinuous" vertical="center"/>
    </xf>
    <xf numFmtId="0" fontId="46" fillId="34" borderId="31" xfId="0" applyFont="1" applyFill="1" applyBorder="1" applyAlignment="1">
      <alignment horizontal="centerContinuous"/>
    </xf>
    <xf numFmtId="190" fontId="46" fillId="34" borderId="0" xfId="0" applyNumberFormat="1" applyFont="1" applyFill="1" applyBorder="1" applyAlignment="1">
      <alignment horizontal="centerContinuous"/>
    </xf>
    <xf numFmtId="0" fontId="46" fillId="34" borderId="0" xfId="0" applyFont="1" applyFill="1" applyBorder="1" applyAlignment="1">
      <alignment horizontal="centerContinuous"/>
    </xf>
    <xf numFmtId="184" fontId="46" fillId="34" borderId="0" xfId="0" applyNumberFormat="1" applyFont="1" applyFill="1" applyBorder="1" applyAlignment="1" applyProtection="1">
      <alignment horizontal="centerContinuous"/>
      <protection locked="0"/>
    </xf>
    <xf numFmtId="191" fontId="46" fillId="34" borderId="0" xfId="0" applyNumberFormat="1" applyFont="1" applyFill="1" applyBorder="1" applyAlignment="1">
      <alignment horizontal="centerContinuous"/>
    </xf>
    <xf numFmtId="0" fontId="46" fillId="34" borderId="32" xfId="0" applyFont="1" applyFill="1" applyBorder="1" applyAlignment="1">
      <alignment horizontal="centerContinuous"/>
    </xf>
    <xf numFmtId="0" fontId="47" fillId="36" borderId="0" xfId="0" applyFont="1" applyFill="1" applyAlignment="1">
      <alignment/>
    </xf>
    <xf numFmtId="0" fontId="47" fillId="34" borderId="0" xfId="0" applyFont="1" applyFill="1" applyAlignment="1">
      <alignment/>
    </xf>
    <xf numFmtId="0" fontId="46" fillId="36" borderId="0" xfId="0" applyFont="1" applyFill="1" applyAlignment="1">
      <alignment horizontal="center" wrapText="1"/>
    </xf>
    <xf numFmtId="0" fontId="47" fillId="34" borderId="0" xfId="0" applyFont="1" applyFill="1" applyAlignment="1">
      <alignment horizontal="center"/>
    </xf>
    <xf numFmtId="0" fontId="47" fillId="34" borderId="33" xfId="0" applyFont="1" applyFill="1" applyBorder="1" applyAlignment="1">
      <alignment/>
    </xf>
    <xf numFmtId="0" fontId="47" fillId="34" borderId="34" xfId="0" applyFont="1" applyFill="1" applyBorder="1" applyAlignment="1">
      <alignment/>
    </xf>
    <xf numFmtId="190" fontId="47" fillId="34" borderId="35" xfId="0" applyNumberFormat="1" applyFont="1" applyFill="1" applyBorder="1" applyAlignment="1">
      <alignment/>
    </xf>
    <xf numFmtId="0" fontId="47" fillId="34" borderId="0" xfId="0" applyFont="1" applyFill="1" applyBorder="1" applyAlignment="1">
      <alignment/>
    </xf>
    <xf numFmtId="190" fontId="47" fillId="34" borderId="16" xfId="0" applyNumberFormat="1" applyFont="1" applyFill="1" applyBorder="1" applyAlignment="1">
      <alignment horizontal="center"/>
    </xf>
    <xf numFmtId="0" fontId="47" fillId="34" borderId="32" xfId="0" applyFont="1" applyFill="1" applyBorder="1" applyAlignment="1">
      <alignment/>
    </xf>
    <xf numFmtId="0" fontId="47" fillId="34" borderId="36" xfId="0" applyFont="1" applyFill="1" applyBorder="1" applyAlignment="1">
      <alignment/>
    </xf>
    <xf numFmtId="0" fontId="47" fillId="34" borderId="37" xfId="0" applyFont="1" applyFill="1" applyBorder="1" applyAlignment="1">
      <alignment/>
    </xf>
    <xf numFmtId="0" fontId="47" fillId="34" borderId="38" xfId="0" applyFont="1" applyFill="1" applyBorder="1" applyAlignment="1">
      <alignment/>
    </xf>
    <xf numFmtId="190" fontId="47" fillId="34" borderId="0" xfId="0" applyNumberFormat="1" applyFont="1" applyFill="1" applyAlignment="1">
      <alignment/>
    </xf>
    <xf numFmtId="0" fontId="47" fillId="34" borderId="30" xfId="0" applyFont="1" applyFill="1" applyBorder="1" applyAlignment="1">
      <alignment/>
    </xf>
    <xf numFmtId="0" fontId="47" fillId="34" borderId="31" xfId="0" applyFont="1" applyFill="1" applyBorder="1" applyAlignment="1">
      <alignment/>
    </xf>
    <xf numFmtId="190" fontId="47" fillId="33" borderId="35" xfId="0" applyNumberFormat="1" applyFont="1" applyFill="1" applyBorder="1" applyAlignment="1" applyProtection="1">
      <alignment horizontal="center"/>
      <protection locked="0"/>
    </xf>
    <xf numFmtId="184" fontId="47" fillId="34" borderId="0" xfId="0" applyNumberFormat="1" applyFont="1" applyFill="1" applyBorder="1" applyAlignment="1">
      <alignment horizontal="center"/>
    </xf>
    <xf numFmtId="190" fontId="47" fillId="0" borderId="0" xfId="0" applyNumberFormat="1" applyFont="1" applyAlignment="1">
      <alignment/>
    </xf>
    <xf numFmtId="0" fontId="47" fillId="36" borderId="0" xfId="0" applyFont="1" applyFill="1" applyBorder="1" applyAlignment="1">
      <alignment/>
    </xf>
    <xf numFmtId="0" fontId="47" fillId="34" borderId="39" xfId="0" applyFont="1" applyFill="1" applyBorder="1" applyAlignment="1">
      <alignment/>
    </xf>
    <xf numFmtId="0" fontId="47" fillId="34" borderId="22" xfId="0" applyFont="1" applyFill="1" applyBorder="1" applyAlignment="1">
      <alignment/>
    </xf>
    <xf numFmtId="0" fontId="47" fillId="34" borderId="40" xfId="0" applyFont="1" applyFill="1" applyBorder="1" applyAlignment="1">
      <alignment/>
    </xf>
    <xf numFmtId="5" fontId="47" fillId="34" borderId="37" xfId="0" applyNumberFormat="1" applyFont="1" applyFill="1" applyBorder="1" applyAlignment="1">
      <alignment horizontal="center"/>
    </xf>
    <xf numFmtId="0" fontId="47" fillId="34" borderId="37" xfId="0" applyFont="1" applyFill="1" applyBorder="1" applyAlignment="1">
      <alignment horizontal="center"/>
    </xf>
    <xf numFmtId="184" fontId="47" fillId="34" borderId="37" xfId="0" applyNumberFormat="1" applyFont="1" applyFill="1" applyBorder="1" applyAlignment="1">
      <alignment horizontal="center"/>
    </xf>
    <xf numFmtId="191" fontId="47" fillId="34" borderId="37" xfId="0" applyNumberFormat="1" applyFont="1" applyFill="1" applyBorder="1" applyAlignment="1">
      <alignment horizontal="center"/>
    </xf>
    <xf numFmtId="0" fontId="47" fillId="34" borderId="0" xfId="0" applyFont="1" applyFill="1" applyAlignment="1">
      <alignment horizontal="center" wrapText="1"/>
    </xf>
    <xf numFmtId="0" fontId="47" fillId="34" borderId="33" xfId="0" applyFont="1" applyFill="1" applyBorder="1" applyAlignment="1">
      <alignment/>
    </xf>
    <xf numFmtId="0" fontId="47" fillId="34" borderId="34" xfId="0" applyFont="1" applyFill="1" applyBorder="1" applyAlignment="1">
      <alignment/>
    </xf>
    <xf numFmtId="0" fontId="47" fillId="34" borderId="31" xfId="0" applyFont="1" applyFill="1" applyBorder="1" applyAlignment="1">
      <alignment/>
    </xf>
    <xf numFmtId="0" fontId="47" fillId="34" borderId="32" xfId="0" applyFont="1" applyFill="1" applyBorder="1" applyAlignment="1">
      <alignment/>
    </xf>
    <xf numFmtId="0" fontId="47" fillId="34" borderId="39" xfId="0" applyFont="1" applyFill="1" applyBorder="1" applyAlignment="1">
      <alignment/>
    </xf>
    <xf numFmtId="0" fontId="47" fillId="34" borderId="22" xfId="0" applyFont="1" applyFill="1" applyBorder="1" applyAlignment="1">
      <alignment/>
    </xf>
    <xf numFmtId="0" fontId="47" fillId="34" borderId="40" xfId="0" applyFont="1" applyFill="1" applyBorder="1" applyAlignment="1">
      <alignment/>
    </xf>
    <xf numFmtId="183" fontId="47" fillId="34" borderId="0" xfId="0" applyNumberFormat="1" applyFont="1" applyFill="1" applyBorder="1" applyAlignment="1">
      <alignment horizontal="center"/>
    </xf>
    <xf numFmtId="0" fontId="47" fillId="34" borderId="36" xfId="0" applyFont="1" applyFill="1" applyBorder="1" applyAlignment="1">
      <alignment/>
    </xf>
    <xf numFmtId="5" fontId="47" fillId="34" borderId="0" xfId="0" applyNumberFormat="1" applyFont="1" applyFill="1" applyBorder="1" applyAlignment="1">
      <alignment horizontal="center"/>
    </xf>
    <xf numFmtId="0" fontId="47" fillId="36" borderId="0" xfId="0" applyFont="1" applyFill="1" applyAlignment="1">
      <alignment/>
    </xf>
    <xf numFmtId="184" fontId="47" fillId="33" borderId="16" xfId="0" applyNumberFormat="1" applyFont="1" applyFill="1" applyBorder="1" applyAlignment="1" applyProtection="1">
      <alignment horizontal="center"/>
      <protection locked="0"/>
    </xf>
    <xf numFmtId="191" fontId="47" fillId="34" borderId="0" xfId="0" applyNumberFormat="1" applyFont="1" applyFill="1" applyBorder="1" applyAlignment="1">
      <alignment/>
    </xf>
    <xf numFmtId="190" fontId="47" fillId="34" borderId="37" xfId="0" applyNumberFormat="1" applyFont="1" applyFill="1" applyBorder="1" applyAlignment="1">
      <alignment horizontal="center"/>
    </xf>
    <xf numFmtId="184" fontId="47" fillId="34" borderId="37" xfId="0" applyNumberFormat="1" applyFont="1" applyFill="1" applyBorder="1" applyAlignment="1" applyProtection="1">
      <alignment horizontal="center"/>
      <protection locked="0"/>
    </xf>
    <xf numFmtId="191" fontId="47" fillId="34" borderId="37" xfId="0" applyNumberFormat="1" applyFont="1" applyFill="1" applyBorder="1" applyAlignment="1">
      <alignment/>
    </xf>
    <xf numFmtId="184" fontId="47" fillId="34" borderId="0" xfId="0" applyNumberFormat="1" applyFont="1" applyFill="1" applyBorder="1" applyAlignment="1" applyProtection="1">
      <alignment horizontal="center"/>
      <protection locked="0"/>
    </xf>
    <xf numFmtId="190" fontId="47" fillId="34" borderId="33" xfId="0" applyNumberFormat="1" applyFont="1" applyFill="1" applyBorder="1" applyAlignment="1">
      <alignment horizontal="center"/>
    </xf>
    <xf numFmtId="0" fontId="47" fillId="34" borderId="33" xfId="0" applyFont="1" applyFill="1" applyBorder="1" applyAlignment="1">
      <alignment horizontal="center"/>
    </xf>
    <xf numFmtId="184" fontId="47" fillId="34" borderId="33" xfId="0" applyNumberFormat="1" applyFont="1" applyFill="1" applyBorder="1" applyAlignment="1" applyProtection="1">
      <alignment horizontal="center"/>
      <protection locked="0"/>
    </xf>
    <xf numFmtId="191" fontId="47" fillId="34" borderId="33" xfId="0" applyNumberFormat="1" applyFont="1" applyFill="1" applyBorder="1" applyAlignment="1">
      <alignment/>
    </xf>
    <xf numFmtId="190" fontId="47" fillId="34" borderId="0" xfId="0" applyNumberFormat="1" applyFont="1" applyFill="1" applyBorder="1" applyAlignment="1" applyProtection="1">
      <alignment horizontal="center"/>
      <protection locked="0"/>
    </xf>
    <xf numFmtId="0" fontId="47" fillId="41" borderId="0" xfId="0" applyFont="1" applyFill="1" applyAlignment="1">
      <alignment/>
    </xf>
    <xf numFmtId="190" fontId="4" fillId="39" borderId="24" xfId="98" applyNumberFormat="1" applyFont="1" applyFill="1" applyBorder="1" applyAlignment="1" applyProtection="1">
      <alignment horizontal="center"/>
      <protection/>
    </xf>
    <xf numFmtId="0" fontId="4" fillId="39" borderId="27" xfId="0" applyFont="1" applyFill="1" applyBorder="1" applyAlignment="1">
      <alignment vertical="center"/>
    </xf>
    <xf numFmtId="0" fontId="4" fillId="39" borderId="16" xfId="0" applyFont="1" applyFill="1" applyBorder="1" applyAlignment="1">
      <alignment vertical="center"/>
    </xf>
    <xf numFmtId="190" fontId="4" fillId="39" borderId="18" xfId="0" applyNumberFormat="1" applyFont="1" applyFill="1" applyBorder="1" applyAlignment="1">
      <alignment horizontal="center" vertical="center"/>
    </xf>
    <xf numFmtId="0" fontId="4" fillId="34" borderId="27" xfId="0" applyFont="1" applyFill="1" applyBorder="1" applyAlignment="1" applyProtection="1">
      <alignment horizontal="center" vertical="center"/>
      <protection/>
    </xf>
    <xf numFmtId="190" fontId="47" fillId="34" borderId="0" xfId="0" applyNumberFormat="1" applyFont="1" applyFill="1" applyBorder="1" applyAlignment="1">
      <alignment horizontal="center"/>
    </xf>
    <xf numFmtId="0" fontId="47" fillId="34" borderId="22" xfId="0" applyFont="1" applyFill="1" applyBorder="1" applyAlignment="1">
      <alignment horizontal="center"/>
    </xf>
    <xf numFmtId="191" fontId="47" fillId="34" borderId="0" xfId="0" applyNumberFormat="1" applyFont="1" applyFill="1" applyBorder="1" applyAlignment="1">
      <alignment horizontal="center"/>
    </xf>
    <xf numFmtId="0" fontId="46" fillId="34" borderId="0" xfId="0" applyFont="1" applyFill="1" applyAlignment="1">
      <alignment horizontal="center" wrapText="1"/>
    </xf>
    <xf numFmtId="190" fontId="47" fillId="33" borderId="16" xfId="0" applyNumberFormat="1" applyFont="1" applyFill="1" applyBorder="1" applyAlignment="1" applyProtection="1">
      <alignment horizontal="center"/>
      <protection locked="0"/>
    </xf>
    <xf numFmtId="0" fontId="46" fillId="34" borderId="0" xfId="0" applyFont="1" applyFill="1" applyAlignment="1">
      <alignment horizontal="center"/>
    </xf>
    <xf numFmtId="190" fontId="47" fillId="34" borderId="0" xfId="0" applyNumberFormat="1" applyFont="1" applyFill="1" applyAlignment="1">
      <alignment horizontal="center"/>
    </xf>
    <xf numFmtId="0" fontId="47" fillId="34" borderId="0" xfId="0" applyFont="1" applyFill="1" applyBorder="1" applyAlignment="1">
      <alignment/>
    </xf>
    <xf numFmtId="0" fontId="47" fillId="34" borderId="38" xfId="0" applyFont="1" applyFill="1" applyBorder="1" applyAlignment="1">
      <alignment/>
    </xf>
    <xf numFmtId="0" fontId="47" fillId="34" borderId="0" xfId="0" applyFont="1" applyFill="1" applyBorder="1" applyAlignment="1">
      <alignment horizontal="center"/>
    </xf>
    <xf numFmtId="0" fontId="4" fillId="34" borderId="28" xfId="0"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0" borderId="0" xfId="452" applyFont="1" applyAlignment="1">
      <alignment horizontal="left" vertical="center"/>
      <protection/>
    </xf>
    <xf numFmtId="0" fontId="52" fillId="0" borderId="0" xfId="0" applyFont="1" applyAlignment="1">
      <alignment/>
    </xf>
    <xf numFmtId="0" fontId="53" fillId="0" borderId="0" xfId="452" applyFont="1">
      <alignment/>
      <protection/>
    </xf>
    <xf numFmtId="185" fontId="54" fillId="0" borderId="0" xfId="452" applyNumberFormat="1" applyFont="1" applyAlignment="1">
      <alignment horizontal="left" vertical="center"/>
      <protection/>
    </xf>
    <xf numFmtId="0" fontId="54" fillId="0" borderId="0" xfId="452" applyNumberFormat="1" applyFont="1" applyAlignment="1">
      <alignment horizontal="left" vertical="center"/>
      <protection/>
    </xf>
    <xf numFmtId="1" fontId="54" fillId="0" borderId="0" xfId="452" applyNumberFormat="1" applyFont="1" applyAlignment="1">
      <alignment horizontal="left" vertical="center"/>
      <protection/>
    </xf>
    <xf numFmtId="0" fontId="21" fillId="0" borderId="0" xfId="452" applyFont="1" applyAlignment="1">
      <alignment horizontal="left" vertical="center"/>
      <protection/>
    </xf>
    <xf numFmtId="0" fontId="4" fillId="34" borderId="0" xfId="0" applyFont="1" applyFill="1" applyAlignment="1" applyProtection="1">
      <alignment vertical="center"/>
      <protection locked="0"/>
    </xf>
    <xf numFmtId="10" fontId="4" fillId="33" borderId="10" xfId="0" applyNumberFormat="1" applyFont="1" applyFill="1" applyBorder="1" applyAlignment="1" applyProtection="1">
      <alignment vertical="center"/>
      <protection locked="0"/>
    </xf>
    <xf numFmtId="0" fontId="4" fillId="34" borderId="15" xfId="0" applyFont="1" applyFill="1" applyBorder="1" applyAlignment="1">
      <alignment horizontal="center" vertical="center"/>
    </xf>
    <xf numFmtId="37" fontId="4" fillId="35" borderId="21" xfId="0" applyNumberFormat="1" applyFont="1" applyFill="1" applyBorder="1" applyAlignment="1" applyProtection="1">
      <alignment horizontal="center" vertical="center"/>
      <protection/>
    </xf>
    <xf numFmtId="177" fontId="4" fillId="35" borderId="21" xfId="0" applyNumberFormat="1" applyFont="1" applyFill="1" applyBorder="1" applyAlignment="1" applyProtection="1">
      <alignment horizontal="center" vertical="center"/>
      <protection/>
    </xf>
    <xf numFmtId="177" fontId="4" fillId="34" borderId="10" xfId="0" applyNumberFormat="1" applyFont="1" applyFill="1" applyBorder="1" applyAlignment="1" applyProtection="1">
      <alignment horizontal="center" vertical="center"/>
      <protection/>
    </xf>
    <xf numFmtId="193" fontId="4" fillId="34" borderId="0" xfId="0" applyNumberFormat="1" applyFont="1" applyFill="1" applyAlignment="1">
      <alignment horizontal="center" vertical="center"/>
    </xf>
    <xf numFmtId="0" fontId="18" fillId="34" borderId="28" xfId="0" applyFont="1" applyFill="1" applyBorder="1" applyAlignment="1" applyProtection="1">
      <alignment vertical="center"/>
      <protection/>
    </xf>
    <xf numFmtId="0" fontId="4" fillId="34" borderId="0" xfId="0" applyFont="1" applyFill="1" applyBorder="1" applyAlignment="1" applyProtection="1">
      <alignment vertical="center"/>
      <protection/>
    </xf>
    <xf numFmtId="0" fontId="18" fillId="34" borderId="0" xfId="0" applyFont="1" applyFill="1" applyBorder="1" applyAlignment="1" applyProtection="1">
      <alignment vertical="center"/>
      <protection/>
    </xf>
    <xf numFmtId="190" fontId="18" fillId="34" borderId="24" xfId="0" applyNumberFormat="1" applyFont="1" applyFill="1" applyBorder="1" applyAlignment="1" applyProtection="1">
      <alignment horizontal="center" vertical="center"/>
      <protection/>
    </xf>
    <xf numFmtId="0" fontId="18" fillId="34" borderId="28" xfId="0" applyFont="1" applyFill="1" applyBorder="1" applyAlignment="1" applyProtection="1">
      <alignment horizontal="left" vertical="center"/>
      <protection/>
    </xf>
    <xf numFmtId="190" fontId="18" fillId="33" borderId="10" xfId="0" applyNumberFormat="1" applyFont="1" applyFill="1" applyBorder="1" applyAlignment="1" applyProtection="1">
      <alignment horizontal="center" vertical="center"/>
      <protection locked="0"/>
    </xf>
    <xf numFmtId="184" fontId="19" fillId="34" borderId="14" xfId="0" applyNumberFormat="1" applyFont="1" applyFill="1" applyBorder="1" applyAlignment="1" applyProtection="1">
      <alignment horizontal="center" vertical="center"/>
      <protection/>
    </xf>
    <xf numFmtId="0" fontId="19" fillId="39" borderId="28" xfId="0" applyFont="1" applyFill="1" applyBorder="1" applyAlignment="1" applyProtection="1">
      <alignment vertical="center"/>
      <protection/>
    </xf>
    <xf numFmtId="0" fontId="4" fillId="39" borderId="0" xfId="0" applyFont="1" applyFill="1" applyBorder="1" applyAlignment="1" applyProtection="1">
      <alignment vertical="center"/>
      <protection/>
    </xf>
    <xf numFmtId="0" fontId="18" fillId="39" borderId="0" xfId="0" applyFont="1" applyFill="1" applyBorder="1" applyAlignment="1" applyProtection="1">
      <alignment vertical="center"/>
      <protection/>
    </xf>
    <xf numFmtId="190" fontId="19" fillId="39" borderId="14" xfId="0" applyNumberFormat="1" applyFont="1" applyFill="1" applyBorder="1" applyAlignment="1" applyProtection="1">
      <alignment horizontal="center" vertical="center"/>
      <protection/>
    </xf>
    <xf numFmtId="37" fontId="18" fillId="34" borderId="27" xfId="0" applyNumberFormat="1" applyFont="1" applyFill="1" applyBorder="1" applyAlignment="1" applyProtection="1">
      <alignment horizontal="left" vertical="center"/>
      <protection/>
    </xf>
    <xf numFmtId="0" fontId="20" fillId="34" borderId="16" xfId="0" applyFont="1" applyFill="1" applyBorder="1" applyAlignment="1">
      <alignment horizontal="left" vertical="center"/>
    </xf>
    <xf numFmtId="190" fontId="19" fillId="39" borderId="18" xfId="0" applyNumberFormat="1" applyFont="1" applyFill="1" applyBorder="1" applyAlignment="1" applyProtection="1">
      <alignment horizontal="center" vertical="center"/>
      <protection locked="0"/>
    </xf>
    <xf numFmtId="0" fontId="4" fillId="34" borderId="24" xfId="0" applyFont="1" applyFill="1" applyBorder="1" applyAlignment="1" applyProtection="1">
      <alignment vertical="center"/>
      <protection/>
    </xf>
    <xf numFmtId="0" fontId="4" fillId="34" borderId="24" xfId="0" applyFont="1" applyFill="1" applyBorder="1" applyAlignment="1" applyProtection="1">
      <alignment vertical="center"/>
      <protection locked="0"/>
    </xf>
    <xf numFmtId="0" fontId="45" fillId="0" borderId="0" xfId="0" applyFont="1" applyAlignment="1" applyProtection="1">
      <alignment/>
      <protection locked="0"/>
    </xf>
    <xf numFmtId="0" fontId="4" fillId="39" borderId="18" xfId="0" applyFont="1" applyFill="1" applyBorder="1" applyAlignment="1" applyProtection="1">
      <alignment vertical="center"/>
      <protection locked="0"/>
    </xf>
    <xf numFmtId="184" fontId="18" fillId="34" borderId="28" xfId="0" applyNumberFormat="1" applyFont="1" applyFill="1" applyBorder="1" applyAlignment="1" applyProtection="1">
      <alignment horizontal="center" vertical="center"/>
      <protection/>
    </xf>
    <xf numFmtId="0" fontId="18" fillId="34" borderId="0" xfId="0" applyFont="1" applyFill="1" applyBorder="1" applyAlignment="1" applyProtection="1">
      <alignment horizontal="left" vertical="center"/>
      <protection/>
    </xf>
    <xf numFmtId="0" fontId="28" fillId="34" borderId="0" xfId="0" applyFont="1" applyFill="1" applyBorder="1" applyAlignment="1" applyProtection="1">
      <alignment horizontal="center" vertical="center"/>
      <protection/>
    </xf>
    <xf numFmtId="0" fontId="0" fillId="34" borderId="24" xfId="0" applyFill="1" applyBorder="1" applyAlignment="1" applyProtection="1">
      <alignment vertical="center"/>
      <protection/>
    </xf>
    <xf numFmtId="184" fontId="18" fillId="39" borderId="27" xfId="0" applyNumberFormat="1" applyFont="1" applyFill="1" applyBorder="1" applyAlignment="1" applyProtection="1">
      <alignment horizontal="center" vertical="center"/>
      <protection/>
    </xf>
    <xf numFmtId="184" fontId="18" fillId="34" borderId="12" xfId="0" applyNumberFormat="1" applyFont="1" applyFill="1" applyBorder="1" applyAlignment="1" applyProtection="1">
      <alignment horizontal="center" vertical="center"/>
      <protection/>
    </xf>
    <xf numFmtId="184" fontId="18" fillId="39" borderId="12" xfId="0" applyNumberFormat="1" applyFont="1" applyFill="1" applyBorder="1" applyAlignment="1" applyProtection="1">
      <alignment horizontal="center" vertical="center"/>
      <protection/>
    </xf>
    <xf numFmtId="0" fontId="18" fillId="34" borderId="16" xfId="0" applyFont="1" applyFill="1" applyBorder="1" applyAlignment="1" applyProtection="1">
      <alignment horizontal="left" vertical="center"/>
      <protection/>
    </xf>
    <xf numFmtId="0" fontId="28" fillId="34" borderId="16" xfId="0" applyFont="1" applyFill="1" applyBorder="1" applyAlignment="1" applyProtection="1">
      <alignment horizontal="center" vertical="center"/>
      <protection/>
    </xf>
    <xf numFmtId="0" fontId="0" fillId="34" borderId="18" xfId="0" applyFill="1" applyBorder="1" applyAlignment="1" applyProtection="1">
      <alignment vertical="center"/>
      <protection/>
    </xf>
    <xf numFmtId="37" fontId="4" fillId="34" borderId="24" xfId="0" applyNumberFormat="1" applyFont="1" applyFill="1" applyBorder="1" applyAlignment="1" applyProtection="1">
      <alignment horizontal="right" vertical="center"/>
      <protection/>
    </xf>
    <xf numFmtId="190" fontId="18" fillId="34" borderId="28" xfId="0" applyNumberFormat="1" applyFont="1" applyFill="1" applyBorder="1" applyAlignment="1" applyProtection="1">
      <alignment horizontal="center" vertical="center"/>
      <protection/>
    </xf>
    <xf numFmtId="0" fontId="18" fillId="34" borderId="24" xfId="0" applyFont="1" applyFill="1" applyBorder="1" applyAlignment="1" applyProtection="1">
      <alignment vertical="center"/>
      <protection/>
    </xf>
    <xf numFmtId="190" fontId="18" fillId="34" borderId="27" xfId="0" applyNumberFormat="1" applyFont="1" applyFill="1" applyBorder="1" applyAlignment="1" applyProtection="1">
      <alignment horizontal="center" vertical="center"/>
      <protection/>
    </xf>
    <xf numFmtId="190" fontId="18" fillId="34" borderId="28" xfId="0" applyNumberFormat="1" applyFont="1" applyFill="1" applyBorder="1" applyAlignment="1" applyProtection="1">
      <alignment vertical="center"/>
      <protection/>
    </xf>
    <xf numFmtId="0" fontId="4" fillId="34" borderId="24" xfId="0" applyFont="1" applyFill="1" applyBorder="1" applyAlignment="1" applyProtection="1">
      <alignment/>
      <protection locked="0"/>
    </xf>
    <xf numFmtId="190" fontId="18" fillId="39" borderId="27" xfId="0" applyNumberFormat="1" applyFont="1" applyFill="1" applyBorder="1" applyAlignment="1" applyProtection="1">
      <alignment horizontal="center" vertical="center"/>
      <protection/>
    </xf>
    <xf numFmtId="0" fontId="18" fillId="39" borderId="16" xfId="0" applyFont="1" applyFill="1" applyBorder="1" applyAlignment="1" applyProtection="1">
      <alignment vertical="center"/>
      <protection/>
    </xf>
    <xf numFmtId="0" fontId="18" fillId="39" borderId="18" xfId="0" applyFont="1" applyFill="1" applyBorder="1" applyAlignment="1" applyProtection="1">
      <alignment vertical="center"/>
      <protection/>
    </xf>
    <xf numFmtId="37" fontId="4" fillId="39" borderId="18" xfId="0" applyNumberFormat="1" applyFont="1" applyFill="1" applyBorder="1" applyAlignment="1" applyProtection="1">
      <alignment horizontal="right" vertical="center"/>
      <protection/>
    </xf>
    <xf numFmtId="0" fontId="4" fillId="34" borderId="28" xfId="0" applyFont="1" applyFill="1" applyBorder="1" applyAlignment="1" applyProtection="1">
      <alignment vertical="center"/>
      <protection/>
    </xf>
    <xf numFmtId="190" fontId="22" fillId="34" borderId="28" xfId="0" applyNumberFormat="1" applyFont="1" applyFill="1" applyBorder="1" applyAlignment="1" applyProtection="1">
      <alignment horizontal="center" vertical="center"/>
      <protection/>
    </xf>
    <xf numFmtId="0" fontId="4" fillId="34" borderId="24" xfId="0" applyFont="1" applyFill="1" applyBorder="1" applyAlignment="1" applyProtection="1">
      <alignment vertical="center"/>
      <protection/>
    </xf>
    <xf numFmtId="190" fontId="22" fillId="34" borderId="28" xfId="0" applyNumberFormat="1" applyFont="1" applyFill="1" applyBorder="1" applyAlignment="1" applyProtection="1">
      <alignment vertical="center"/>
      <protection/>
    </xf>
    <xf numFmtId="0" fontId="22" fillId="34" borderId="0" xfId="0" applyFont="1" applyFill="1" applyBorder="1" applyAlignment="1" applyProtection="1">
      <alignment vertical="center"/>
      <protection/>
    </xf>
    <xf numFmtId="190" fontId="22" fillId="34" borderId="27" xfId="0" applyNumberFormat="1" applyFont="1" applyFill="1" applyBorder="1" applyAlignment="1" applyProtection="1">
      <alignment horizontal="center" vertical="center"/>
      <protection/>
    </xf>
    <xf numFmtId="190" fontId="22" fillId="39" borderId="27" xfId="0" applyNumberFormat="1" applyFont="1" applyFill="1" applyBorder="1" applyAlignment="1" applyProtection="1">
      <alignment horizontal="center" vertical="center"/>
      <protection/>
    </xf>
    <xf numFmtId="0" fontId="4" fillId="39" borderId="18" xfId="0" applyFont="1" applyFill="1" applyBorder="1" applyAlignment="1" applyProtection="1">
      <alignment vertical="center"/>
      <protection/>
    </xf>
    <xf numFmtId="0" fontId="4" fillId="39" borderId="18" xfId="0" applyFont="1" applyFill="1" applyBorder="1" applyAlignment="1" applyProtection="1">
      <alignment/>
      <protection locked="0"/>
    </xf>
    <xf numFmtId="193" fontId="4" fillId="33" borderId="10" xfId="0" applyNumberFormat="1" applyFont="1" applyFill="1" applyBorder="1" applyAlignment="1" applyProtection="1">
      <alignment vertical="center"/>
      <protection locked="0"/>
    </xf>
    <xf numFmtId="37" fontId="4" fillId="34" borderId="16" xfId="88" applyNumberFormat="1" applyFont="1" applyFill="1" applyBorder="1" applyAlignment="1" applyProtection="1">
      <alignment horizontal="left" vertical="center"/>
      <protection/>
    </xf>
    <xf numFmtId="190" fontId="18" fillId="39" borderId="27" xfId="88" applyNumberFormat="1" applyFont="1" applyFill="1" applyBorder="1" applyAlignment="1" applyProtection="1">
      <alignment horizontal="center" vertical="center"/>
      <protection/>
    </xf>
    <xf numFmtId="193" fontId="4" fillId="33" borderId="10" xfId="0" applyNumberFormat="1" applyFont="1" applyFill="1" applyBorder="1" applyAlignment="1" applyProtection="1">
      <alignment vertical="center"/>
      <protection locked="0"/>
    </xf>
    <xf numFmtId="37" fontId="4" fillId="34" borderId="13" xfId="84" applyNumberFormat="1" applyFont="1" applyFill="1" applyBorder="1" applyAlignment="1" applyProtection="1">
      <alignment horizontal="left" vertical="center"/>
      <protection/>
    </xf>
    <xf numFmtId="1" fontId="4" fillId="34" borderId="19"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center" vertical="center"/>
      <protection/>
    </xf>
    <xf numFmtId="0" fontId="18" fillId="34" borderId="18" xfId="0" applyFont="1" applyFill="1" applyBorder="1" applyAlignment="1" applyProtection="1">
      <alignment vertical="center"/>
      <protection/>
    </xf>
    <xf numFmtId="0" fontId="18" fillId="0" borderId="0" xfId="88" applyFont="1" applyFill="1" applyBorder="1" applyAlignment="1" applyProtection="1">
      <alignment vertical="center"/>
      <protection/>
    </xf>
    <xf numFmtId="190" fontId="19" fillId="0" borderId="0" xfId="88" applyNumberFormat="1" applyFont="1" applyFill="1" applyBorder="1" applyAlignment="1" applyProtection="1">
      <alignment horizontal="center" vertical="center"/>
      <protection/>
    </xf>
    <xf numFmtId="0" fontId="19" fillId="0" borderId="0" xfId="88" applyFont="1" applyFill="1" applyBorder="1" applyAlignment="1" applyProtection="1">
      <alignment vertical="center"/>
      <protection/>
    </xf>
    <xf numFmtId="37" fontId="18" fillId="34" borderId="10" xfId="0" applyNumberFormat="1" applyFont="1" applyFill="1" applyBorder="1" applyAlignment="1" applyProtection="1">
      <alignment horizontal="right" vertical="center"/>
      <protection/>
    </xf>
    <xf numFmtId="192" fontId="18" fillId="34" borderId="10" xfId="0" applyNumberFormat="1" applyFont="1" applyFill="1" applyBorder="1" applyAlignment="1" applyProtection="1">
      <alignment horizontal="right" vertical="center"/>
      <protection/>
    </xf>
    <xf numFmtId="183" fontId="4" fillId="34" borderId="10" xfId="0" applyNumberFormat="1" applyFont="1" applyFill="1" applyBorder="1" applyAlignment="1" applyProtection="1">
      <alignment horizontal="right" vertical="center"/>
      <protection/>
    </xf>
    <xf numFmtId="0" fontId="18" fillId="34" borderId="10" xfId="0" applyFont="1" applyFill="1" applyBorder="1" applyAlignment="1" applyProtection="1">
      <alignment horizontal="right" vertical="center"/>
      <protection/>
    </xf>
    <xf numFmtId="0" fontId="18" fillId="34" borderId="15" xfId="0" applyFont="1" applyFill="1" applyBorder="1" applyAlignment="1" applyProtection="1">
      <alignment horizontal="right" vertical="center"/>
      <protection/>
    </xf>
    <xf numFmtId="37" fontId="18" fillId="34" borderId="21" xfId="0" applyNumberFormat="1" applyFont="1" applyFill="1" applyBorder="1" applyAlignment="1" applyProtection="1">
      <alignment horizontal="right" vertical="center"/>
      <protection/>
    </xf>
    <xf numFmtId="183" fontId="18" fillId="34" borderId="21" xfId="0" applyNumberFormat="1" applyFont="1" applyFill="1" applyBorder="1" applyAlignment="1" applyProtection="1">
      <alignment horizontal="right" vertical="center"/>
      <protection/>
    </xf>
    <xf numFmtId="0" fontId="4" fillId="33" borderId="0" xfId="0" applyFont="1" applyFill="1" applyAlignment="1" applyProtection="1">
      <alignment/>
      <protection locked="0"/>
    </xf>
    <xf numFmtId="0" fontId="4" fillId="0" borderId="0" xfId="82" applyFont="1" applyAlignment="1">
      <alignment vertical="center" wrapText="1"/>
      <protection/>
    </xf>
    <xf numFmtId="0" fontId="4" fillId="0" borderId="0" xfId="135" applyFont="1" applyAlignment="1">
      <alignment vertical="center"/>
      <protection/>
    </xf>
    <xf numFmtId="37" fontId="18" fillId="34" borderId="0" xfId="0" applyNumberFormat="1" applyFont="1" applyFill="1" applyBorder="1" applyAlignment="1" applyProtection="1">
      <alignment horizontal="fill" vertical="center"/>
      <protection locked="0"/>
    </xf>
    <xf numFmtId="0" fontId="18" fillId="34" borderId="0" xfId="0" applyFont="1" applyFill="1" applyBorder="1" applyAlignment="1" applyProtection="1">
      <alignment vertical="center"/>
      <protection locked="0"/>
    </xf>
    <xf numFmtId="0" fontId="18" fillId="34" borderId="0" xfId="0" applyFont="1" applyFill="1" applyBorder="1" applyAlignment="1" applyProtection="1">
      <alignment horizontal="centerContinuous" vertical="center"/>
      <protection locked="0"/>
    </xf>
    <xf numFmtId="37" fontId="18" fillId="34" borderId="0" xfId="0" applyNumberFormat="1" applyFont="1" applyFill="1" applyBorder="1" applyAlignment="1" applyProtection="1">
      <alignment horizontal="centerContinuous" vertical="center"/>
      <protection/>
    </xf>
    <xf numFmtId="0" fontId="4" fillId="0" borderId="0" xfId="95" applyFont="1" applyAlignment="1">
      <alignment vertical="center" wrapText="1"/>
      <protection/>
    </xf>
    <xf numFmtId="0" fontId="4" fillId="0" borderId="0" xfId="124" applyFont="1" applyAlignment="1">
      <alignment vertical="center" wrapText="1"/>
      <protection/>
    </xf>
    <xf numFmtId="0" fontId="55" fillId="34" borderId="14"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Continuous" vertical="center"/>
      <protection locked="0"/>
    </xf>
    <xf numFmtId="0" fontId="19" fillId="34" borderId="12" xfId="0" applyFont="1" applyFill="1" applyBorder="1" applyAlignment="1" applyProtection="1">
      <alignment horizontal="centerContinuous" vertical="center"/>
      <protection locked="0"/>
    </xf>
    <xf numFmtId="0" fontId="55" fillId="34" borderId="14" xfId="0" applyFont="1" applyFill="1" applyBorder="1" applyAlignment="1">
      <alignment horizontal="center" vertical="center"/>
    </xf>
    <xf numFmtId="0" fontId="5" fillId="34" borderId="13" xfId="0" applyFont="1" applyFill="1" applyBorder="1" applyAlignment="1">
      <alignment horizontal="centerContinuous" vertical="center"/>
    </xf>
    <xf numFmtId="0" fontId="19" fillId="34" borderId="12" xfId="0" applyFont="1" applyFill="1" applyBorder="1" applyAlignment="1">
      <alignment horizontal="centerContinuous" vertical="center"/>
    </xf>
    <xf numFmtId="0" fontId="4" fillId="0" borderId="0" xfId="0" applyFont="1" applyAlignment="1">
      <alignment wrapText="1"/>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11" fillId="33" borderId="16" xfId="67" applyFill="1" applyBorder="1" applyAlignment="1" applyProtection="1">
      <alignment vertical="center"/>
      <protection locked="0"/>
    </xf>
    <xf numFmtId="37" fontId="4" fillId="33" borderId="15" xfId="0" applyNumberFormat="1" applyFont="1" applyFill="1" applyBorder="1" applyAlignment="1" applyProtection="1">
      <alignment vertical="center"/>
      <protection locked="0"/>
    </xf>
    <xf numFmtId="3" fontId="4" fillId="39" borderId="0" xfId="0" applyNumberFormat="1" applyFont="1" applyFill="1" applyBorder="1" applyAlignment="1" applyProtection="1">
      <alignment vertical="center"/>
      <protection/>
    </xf>
    <xf numFmtId="0" fontId="4" fillId="33" borderId="0" xfId="0" applyFont="1" applyFill="1" applyAlignment="1" applyProtection="1">
      <alignment horizontal="center" vertical="center"/>
      <protection locked="0"/>
    </xf>
    <xf numFmtId="0" fontId="24" fillId="0" borderId="0" xfId="0" applyFont="1" applyAlignment="1" applyProtection="1">
      <alignment vertical="center"/>
      <protection locked="0"/>
    </xf>
    <xf numFmtId="37" fontId="4" fillId="34" borderId="0" xfId="0" applyNumberFormat="1" applyFont="1" applyFill="1" applyBorder="1" applyAlignment="1" applyProtection="1">
      <alignment horizontal="fill" vertical="center"/>
      <protection/>
    </xf>
    <xf numFmtId="1" fontId="4" fillId="34" borderId="0" xfId="0" applyNumberFormat="1" applyFont="1" applyFill="1" applyBorder="1" applyAlignment="1" applyProtection="1">
      <alignment horizontal="center" vertical="center"/>
      <protection/>
    </xf>
    <xf numFmtId="37" fontId="4" fillId="34" borderId="0" xfId="0" applyNumberFormat="1" applyFont="1" applyFill="1" applyBorder="1" applyAlignment="1" applyProtection="1">
      <alignment horizontal="center" vertical="center"/>
      <protection/>
    </xf>
    <xf numFmtId="0" fontId="4" fillId="34" borderId="0" xfId="0" applyNumberFormat="1" applyFont="1" applyFill="1" applyBorder="1" applyAlignment="1" applyProtection="1">
      <alignment horizontal="center" vertical="center"/>
      <protection/>
    </xf>
    <xf numFmtId="3" fontId="4" fillId="33" borderId="0" xfId="0" applyNumberFormat="1"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4" fillId="33" borderId="0" xfId="0" applyFont="1" applyFill="1" applyBorder="1" applyAlignment="1" applyProtection="1">
      <alignment horizontal="left" vertical="center"/>
      <protection locked="0"/>
    </xf>
    <xf numFmtId="3" fontId="24" fillId="40" borderId="0" xfId="0" applyNumberFormat="1" applyFont="1" applyFill="1" applyBorder="1" applyAlignment="1" applyProtection="1">
      <alignment horizontal="center" vertical="center"/>
      <protection/>
    </xf>
    <xf numFmtId="37" fontId="5" fillId="34" borderId="0" xfId="0" applyNumberFormat="1" applyFont="1" applyFill="1" applyBorder="1" applyAlignment="1" applyProtection="1">
      <alignment horizontal="left" vertical="center"/>
      <protection/>
    </xf>
    <xf numFmtId="3" fontId="5" fillId="35" borderId="0" xfId="0" applyNumberFormat="1" applyFont="1" applyFill="1" applyBorder="1" applyAlignment="1" applyProtection="1">
      <alignment vertical="center"/>
      <protection/>
    </xf>
    <xf numFmtId="3" fontId="4" fillId="35" borderId="0" xfId="0" applyNumberFormat="1" applyFont="1" applyFill="1" applyBorder="1" applyAlignment="1" applyProtection="1">
      <alignment vertical="center"/>
      <protection/>
    </xf>
    <xf numFmtId="0" fontId="4" fillId="34" borderId="0" xfId="0" applyFont="1" applyFill="1" applyBorder="1" applyAlignment="1" applyProtection="1">
      <alignment horizontal="right" vertical="center"/>
      <protection/>
    </xf>
    <xf numFmtId="3" fontId="4" fillId="34" borderId="0" xfId="0" applyNumberFormat="1" applyFont="1" applyFill="1" applyBorder="1" applyAlignment="1" applyProtection="1">
      <alignment horizontal="center" vertical="center"/>
      <protection/>
    </xf>
    <xf numFmtId="0" fontId="25" fillId="34" borderId="0" xfId="0" applyFont="1" applyFill="1" applyBorder="1" applyAlignment="1" applyProtection="1">
      <alignment horizontal="center" vertical="center"/>
      <protection/>
    </xf>
    <xf numFmtId="0" fontId="4" fillId="0" borderId="0" xfId="0" applyFont="1" applyBorder="1" applyAlignment="1" applyProtection="1">
      <alignment/>
      <protection locked="0"/>
    </xf>
    <xf numFmtId="37" fontId="4" fillId="0" borderId="0" xfId="0" applyNumberFormat="1" applyFont="1" applyBorder="1" applyAlignment="1" applyProtection="1">
      <alignment horizontal="fill"/>
      <protection locked="0"/>
    </xf>
    <xf numFmtId="0" fontId="4" fillId="0" borderId="0" xfId="0" applyFont="1" applyBorder="1" applyAlignment="1" applyProtection="1">
      <alignment horizontal="centerContinuous"/>
      <protection locked="0"/>
    </xf>
    <xf numFmtId="0" fontId="4" fillId="33" borderId="0" xfId="0" applyFont="1" applyFill="1" applyBorder="1" applyAlignment="1" applyProtection="1">
      <alignment/>
      <protection locked="0"/>
    </xf>
    <xf numFmtId="0" fontId="4" fillId="0" borderId="0" xfId="0" applyFont="1" applyBorder="1" applyAlignment="1">
      <alignment/>
    </xf>
    <xf numFmtId="37" fontId="18" fillId="34" borderId="15" xfId="0" applyNumberFormat="1" applyFont="1" applyFill="1" applyBorder="1" applyAlignment="1" applyProtection="1">
      <alignment vertical="center"/>
      <protection/>
    </xf>
    <xf numFmtId="37" fontId="18" fillId="34" borderId="15" xfId="0" applyNumberFormat="1" applyFont="1" applyFill="1" applyBorder="1" applyAlignment="1" applyProtection="1">
      <alignment horizontal="right" vertical="center"/>
      <protection/>
    </xf>
    <xf numFmtId="0" fontId="4" fillId="0" borderId="0" xfId="0" applyFont="1" applyFill="1" applyAlignment="1" applyProtection="1">
      <alignment horizontal="left"/>
      <protection locked="0"/>
    </xf>
    <xf numFmtId="37" fontId="4" fillId="36" borderId="0" xfId="0" applyNumberFormat="1" applyFont="1" applyFill="1" applyAlignment="1" applyProtection="1">
      <alignment horizontal="center" vertical="center" wrapText="1"/>
      <protection/>
    </xf>
    <xf numFmtId="0" fontId="0" fillId="36" borderId="16" xfId="0" applyFill="1" applyBorder="1" applyAlignment="1">
      <alignment horizontal="center" vertical="center" wrapText="1"/>
    </xf>
    <xf numFmtId="37" fontId="25" fillId="34" borderId="0" xfId="0" applyNumberFormat="1" applyFont="1" applyFill="1" applyAlignment="1" applyProtection="1">
      <alignment horizontal="center" vertical="center"/>
      <protection/>
    </xf>
    <xf numFmtId="0" fontId="26"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4" fillId="34" borderId="0" xfId="0" applyFont="1" applyFill="1" applyBorder="1" applyAlignment="1" applyProtection="1">
      <alignment vertical="center" wrapText="1"/>
      <protection/>
    </xf>
    <xf numFmtId="0" fontId="5" fillId="36" borderId="0" xfId="0" applyFont="1" applyFill="1" applyBorder="1" applyAlignment="1">
      <alignment horizontal="center" vertical="center"/>
    </xf>
    <xf numFmtId="0" fontId="1" fillId="36" borderId="0" xfId="0" applyFont="1" applyFill="1" applyBorder="1" applyAlignment="1">
      <alignment horizontal="center" vertical="center"/>
    </xf>
    <xf numFmtId="0" fontId="4" fillId="36" borderId="15"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24" fillId="34" borderId="0" xfId="0" applyFont="1" applyFill="1" applyBorder="1" applyAlignment="1">
      <alignment vertical="center"/>
    </xf>
    <xf numFmtId="0" fontId="30" fillId="0" borderId="0" xfId="0" applyFont="1" applyAlignment="1">
      <alignment vertical="center"/>
    </xf>
    <xf numFmtId="0" fontId="4" fillId="0" borderId="0" xfId="450" applyFont="1" applyAlignment="1">
      <alignment horizontal="left" vertical="center" wrapText="1"/>
      <protection/>
    </xf>
    <xf numFmtId="0" fontId="12" fillId="0" borderId="0" xfId="450" applyFont="1" applyAlignment="1">
      <alignment horizontal="left" vertical="center" wrapText="1"/>
      <protection/>
    </xf>
    <xf numFmtId="0" fontId="23" fillId="0" borderId="0" xfId="450" applyFont="1" applyAlignment="1">
      <alignment horizontal="left" vertical="center"/>
      <protection/>
    </xf>
    <xf numFmtId="37" fontId="18" fillId="0" borderId="0" xfId="0" applyNumberFormat="1" applyFont="1" applyAlignment="1" applyProtection="1">
      <alignment horizontal="center" vertical="center"/>
      <protection locked="0"/>
    </xf>
    <xf numFmtId="37" fontId="19" fillId="34" borderId="0" xfId="0" applyNumberFormat="1" applyFont="1" applyFill="1" applyAlignment="1" applyProtection="1">
      <alignment horizontal="center" vertical="center"/>
      <protection/>
    </xf>
    <xf numFmtId="37" fontId="18" fillId="34" borderId="15" xfId="0" applyNumberFormat="1" applyFont="1" applyFill="1" applyBorder="1" applyAlignment="1" applyProtection="1">
      <alignment horizontal="center" vertical="center" wrapText="1"/>
      <protection/>
    </xf>
    <xf numFmtId="0" fontId="20" fillId="0" borderId="17" xfId="0" applyFont="1" applyBorder="1" applyAlignment="1">
      <alignment horizontal="center" vertical="center" wrapText="1"/>
    </xf>
    <xf numFmtId="37" fontId="28"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18"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37" fontId="18" fillId="34" borderId="12" xfId="0" applyNumberFormat="1" applyFont="1" applyFill="1" applyBorder="1" applyAlignment="1" applyProtection="1">
      <alignment horizontal="fill" vertical="center"/>
      <protection/>
    </xf>
    <xf numFmtId="0" fontId="0" fillId="0" borderId="14" xfId="0" applyBorder="1" applyAlignment="1">
      <alignment vertical="center"/>
    </xf>
    <xf numFmtId="0" fontId="18" fillId="34" borderId="0" xfId="0" applyFont="1" applyFill="1" applyAlignment="1" applyProtection="1">
      <alignment horizontal="center" vertical="center"/>
      <protection/>
    </xf>
    <xf numFmtId="0" fontId="18" fillId="36" borderId="15" xfId="0" applyFont="1" applyFill="1" applyBorder="1" applyAlignment="1" applyProtection="1">
      <alignment horizontal="center" vertical="center" wrapText="1"/>
      <protection/>
    </xf>
    <xf numFmtId="0" fontId="0" fillId="0" borderId="17" xfId="0" applyBorder="1" applyAlignment="1">
      <alignment vertical="center" wrapText="1"/>
    </xf>
    <xf numFmtId="37" fontId="4" fillId="34" borderId="15" xfId="0" applyNumberFormat="1" applyFont="1" applyFill="1" applyBorder="1" applyAlignment="1" applyProtection="1">
      <alignment horizontal="center" vertical="center" wrapText="1"/>
      <protection/>
    </xf>
    <xf numFmtId="0" fontId="7"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4" fillId="34" borderId="15" xfId="0" applyNumberFormat="1" applyFont="1" applyFill="1" applyBorder="1" applyAlignment="1" applyProtection="1">
      <alignment horizontal="center" wrapText="1"/>
      <protection/>
    </xf>
    <xf numFmtId="0" fontId="0" fillId="0" borderId="17" xfId="0" applyBorder="1" applyAlignment="1">
      <alignment horizontal="center" wrapText="1"/>
    </xf>
    <xf numFmtId="37" fontId="4" fillId="34" borderId="12"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0" fontId="0" fillId="0" borderId="14" xfId="0" applyBorder="1" applyAlignment="1">
      <alignment horizontal="center" vertical="center"/>
    </xf>
    <xf numFmtId="37" fontId="5" fillId="34" borderId="0" xfId="0" applyNumberFormat="1" applyFont="1" applyFill="1" applyAlignment="1" applyProtection="1">
      <alignment horizontal="center"/>
      <protection/>
    </xf>
    <xf numFmtId="0" fontId="4" fillId="34" borderId="27"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4" fillId="34" borderId="27"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4" fillId="34" borderId="0" xfId="0" applyFont="1" applyFill="1" applyAlignment="1" applyProtection="1">
      <alignment horizontal="center" vertical="center"/>
      <protection/>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28" fillId="34" borderId="19" xfId="0" applyFont="1" applyFill="1" applyBorder="1" applyAlignment="1" applyProtection="1">
      <alignment horizontal="center" vertical="center"/>
      <protection/>
    </xf>
    <xf numFmtId="0" fontId="0" fillId="0" borderId="22" xfId="0" applyBorder="1" applyAlignment="1">
      <alignment vertical="center"/>
    </xf>
    <xf numFmtId="0" fontId="0" fillId="0" borderId="20" xfId="0" applyBorder="1" applyAlignment="1">
      <alignment vertical="center"/>
    </xf>
    <xf numFmtId="184" fontId="28" fillId="34" borderId="19" xfId="0" applyNumberFormat="1" applyFont="1" applyFill="1" applyBorder="1" applyAlignment="1" applyProtection="1">
      <alignment horizontal="center"/>
      <protection/>
    </xf>
    <xf numFmtId="0" fontId="26" fillId="0" borderId="22" xfId="0" applyFont="1" applyBorder="1" applyAlignment="1">
      <alignment/>
    </xf>
    <xf numFmtId="0" fontId="26" fillId="0" borderId="20" xfId="0" applyFont="1" applyBorder="1" applyAlignment="1">
      <alignment/>
    </xf>
    <xf numFmtId="3" fontId="4" fillId="34" borderId="22" xfId="101" applyNumberFormat="1" applyFont="1" applyFill="1" applyBorder="1" applyAlignment="1" applyProtection="1">
      <alignment horizontal="right" vertical="center"/>
      <protection/>
    </xf>
    <xf numFmtId="0" fontId="0" fillId="0" borderId="20" xfId="101" applyBorder="1" applyAlignment="1">
      <alignment horizontal="right" vertical="center"/>
      <protection/>
    </xf>
    <xf numFmtId="0" fontId="4" fillId="34" borderId="0" xfId="101" applyFont="1" applyFill="1" applyAlignment="1" applyProtection="1">
      <alignment horizontal="right" vertical="center"/>
      <protection/>
    </xf>
    <xf numFmtId="0" fontId="4" fillId="0" borderId="24" xfId="101" applyFont="1" applyBorder="1" applyAlignment="1">
      <alignment horizontal="right" vertical="center"/>
      <protection/>
    </xf>
    <xf numFmtId="0" fontId="28" fillId="34" borderId="19" xfId="88" applyFont="1" applyFill="1" applyBorder="1" applyAlignment="1" applyProtection="1">
      <alignment horizontal="center" vertical="center"/>
      <protection/>
    </xf>
    <xf numFmtId="0" fontId="44" fillId="0" borderId="22" xfId="88" applyFont="1" applyBorder="1" applyAlignment="1" applyProtection="1">
      <alignment horizontal="center" vertical="center"/>
      <protection/>
    </xf>
    <xf numFmtId="0" fontId="0" fillId="0" borderId="20" xfId="88" applyBorder="1" applyAlignment="1" applyProtection="1">
      <alignment vertical="center"/>
      <protection/>
    </xf>
    <xf numFmtId="37" fontId="4" fillId="34" borderId="0" xfId="0" applyNumberFormat="1" applyFont="1" applyFill="1" applyAlignment="1" applyProtection="1">
      <alignment horizontal="center" vertical="center"/>
      <protection/>
    </xf>
    <xf numFmtId="0" fontId="0" fillId="0" borderId="22" xfId="0" applyBorder="1" applyAlignment="1">
      <alignment horizontal="center" vertical="center"/>
    </xf>
    <xf numFmtId="0" fontId="0" fillId="0" borderId="20" xfId="0" applyBorder="1" applyAlignment="1">
      <alignment/>
    </xf>
    <xf numFmtId="0" fontId="20" fillId="0" borderId="22" xfId="0" applyFont="1" applyBorder="1" applyAlignment="1">
      <alignment horizontal="center" vertical="center"/>
    </xf>
    <xf numFmtId="0" fontId="4" fillId="34" borderId="12" xfId="0" applyFont="1" applyFill="1" applyBorder="1" applyAlignment="1">
      <alignment horizontal="center" vertical="center"/>
    </xf>
    <xf numFmtId="0" fontId="4" fillId="34" borderId="14" xfId="0" applyFont="1" applyFill="1" applyBorder="1" applyAlignment="1">
      <alignment horizontal="center" vertical="center"/>
    </xf>
    <xf numFmtId="0" fontId="23" fillId="34" borderId="19" xfId="98" applyFont="1" applyFill="1" applyBorder="1" applyAlignment="1" applyProtection="1">
      <alignment horizontal="center"/>
      <protection/>
    </xf>
    <xf numFmtId="0" fontId="23" fillId="34" borderId="22" xfId="98" applyFont="1" applyFill="1" applyBorder="1" applyAlignment="1" applyProtection="1">
      <alignment horizontal="center"/>
      <protection/>
    </xf>
    <xf numFmtId="0" fontId="23" fillId="34" borderId="20" xfId="98" applyFont="1" applyFill="1" applyBorder="1" applyAlignment="1" applyProtection="1">
      <alignment horizontal="center"/>
      <protection/>
    </xf>
    <xf numFmtId="0" fontId="0" fillId="0" borderId="22" xfId="98" applyBorder="1" applyAlignment="1" applyProtection="1">
      <alignment horizontal="center"/>
      <protection/>
    </xf>
    <xf numFmtId="0" fontId="0" fillId="0" borderId="20" xfId="98" applyBorder="1" applyAlignment="1" applyProtection="1">
      <alignment horizontal="center"/>
      <protection/>
    </xf>
    <xf numFmtId="37" fontId="4" fillId="34" borderId="16" xfId="0" applyNumberFormat="1" applyFont="1" applyFill="1" applyBorder="1" applyAlignment="1" applyProtection="1">
      <alignment horizontal="center" vertical="center"/>
      <protection locked="0"/>
    </xf>
    <xf numFmtId="0" fontId="0" fillId="0" borderId="22" xfId="0" applyBorder="1" applyAlignment="1">
      <alignment horizontal="center"/>
    </xf>
    <xf numFmtId="0" fontId="0" fillId="0" borderId="20" xfId="0" applyBorder="1" applyAlignment="1">
      <alignment horizontal="center"/>
    </xf>
    <xf numFmtId="37" fontId="23" fillId="34"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8" fillId="0" borderId="0" xfId="0" applyFont="1" applyAlignment="1">
      <alignment horizontal="center"/>
    </xf>
    <xf numFmtId="0" fontId="14"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left" wrapText="1"/>
    </xf>
    <xf numFmtId="0" fontId="8" fillId="0" borderId="0" xfId="0" applyFont="1" applyAlignment="1">
      <alignment vertical="top" wrapText="1"/>
    </xf>
    <xf numFmtId="5" fontId="47" fillId="34" borderId="16" xfId="0" applyNumberFormat="1" applyFont="1" applyFill="1" applyBorder="1" applyAlignment="1">
      <alignment horizontal="center"/>
    </xf>
    <xf numFmtId="0" fontId="46" fillId="34" borderId="33" xfId="0" applyFont="1" applyFill="1" applyBorder="1" applyAlignment="1">
      <alignment horizontal="center" vertical="center"/>
    </xf>
    <xf numFmtId="190" fontId="47" fillId="33" borderId="16" xfId="0" applyNumberFormat="1" applyFont="1" applyFill="1" applyBorder="1" applyAlignment="1" applyProtection="1">
      <alignment horizontal="center"/>
      <protection locked="0"/>
    </xf>
    <xf numFmtId="0" fontId="47" fillId="34" borderId="0" xfId="0" applyFont="1" applyFill="1" applyBorder="1" applyAlignment="1">
      <alignment wrapText="1"/>
    </xf>
    <xf numFmtId="0" fontId="47" fillId="0" borderId="0" xfId="0" applyFont="1" applyAlignment="1">
      <alignment wrapText="1"/>
    </xf>
    <xf numFmtId="0" fontId="47" fillId="34" borderId="0" xfId="0" applyFont="1" applyFill="1" applyAlignment="1">
      <alignment wrapText="1"/>
    </xf>
    <xf numFmtId="0" fontId="47" fillId="34" borderId="0" xfId="0" applyFont="1" applyFill="1" applyBorder="1" applyAlignment="1">
      <alignment horizontal="center"/>
    </xf>
    <xf numFmtId="0" fontId="46" fillId="34" borderId="0" xfId="0" applyFont="1" applyFill="1" applyAlignment="1">
      <alignment horizontal="center" wrapText="1"/>
    </xf>
    <xf numFmtId="0" fontId="47" fillId="0" borderId="0" xfId="0" applyFont="1" applyAlignment="1">
      <alignment horizontal="center" wrapText="1"/>
    </xf>
    <xf numFmtId="0" fontId="46" fillId="34" borderId="0" xfId="0" applyFont="1" applyFill="1" applyAlignment="1">
      <alignment horizontal="center" vertical="center"/>
    </xf>
    <xf numFmtId="0" fontId="46" fillId="0" borderId="0" xfId="0" applyFont="1" applyAlignment="1">
      <alignment horizontal="center" vertical="center"/>
    </xf>
    <xf numFmtId="0" fontId="46" fillId="34" borderId="0" xfId="0" applyFont="1" applyFill="1" applyAlignment="1">
      <alignment horizontal="center"/>
    </xf>
    <xf numFmtId="190" fontId="47" fillId="34" borderId="0" xfId="0" applyNumberFormat="1" applyFont="1" applyFill="1" applyAlignment="1">
      <alignment/>
    </xf>
    <xf numFmtId="190" fontId="47" fillId="34" borderId="0" xfId="0" applyNumberFormat="1" applyFont="1" applyFill="1" applyAlignment="1">
      <alignment horizontal="center"/>
    </xf>
    <xf numFmtId="190" fontId="47" fillId="33" borderId="35" xfId="0" applyNumberFormat="1" applyFont="1" applyFill="1" applyBorder="1" applyAlignment="1" applyProtection="1">
      <alignment horizontal="center"/>
      <protection locked="0"/>
    </xf>
    <xf numFmtId="0" fontId="47" fillId="34" borderId="0" xfId="0" applyFont="1" applyFill="1" applyBorder="1" applyAlignment="1">
      <alignment/>
    </xf>
    <xf numFmtId="0" fontId="47" fillId="0" borderId="0" xfId="0" applyFont="1" applyBorder="1" applyAlignment="1">
      <alignment/>
    </xf>
    <xf numFmtId="0" fontId="47" fillId="34" borderId="37" xfId="0" applyFont="1" applyFill="1" applyBorder="1" applyAlignment="1">
      <alignment/>
    </xf>
    <xf numFmtId="0" fontId="47" fillId="34" borderId="38" xfId="0" applyFont="1" applyFill="1" applyBorder="1" applyAlignment="1">
      <alignment/>
    </xf>
    <xf numFmtId="0" fontId="47" fillId="0" borderId="33" xfId="0" applyFont="1" applyBorder="1" applyAlignment="1">
      <alignment horizontal="center" vertical="center"/>
    </xf>
    <xf numFmtId="0" fontId="46" fillId="34" borderId="0" xfId="0" applyFont="1" applyFill="1" applyBorder="1" applyAlignment="1">
      <alignment horizontal="center" wrapText="1"/>
    </xf>
    <xf numFmtId="190" fontId="47" fillId="34" borderId="0" xfId="0" applyNumberFormat="1" applyFont="1" applyFill="1" applyBorder="1" applyAlignment="1">
      <alignment horizontal="center"/>
    </xf>
    <xf numFmtId="0" fontId="47" fillId="34" borderId="22" xfId="0" applyFont="1" applyFill="1" applyBorder="1" applyAlignment="1">
      <alignment horizontal="center"/>
    </xf>
    <xf numFmtId="0" fontId="46" fillId="0" borderId="0" xfId="0" applyFont="1" applyAlignment="1">
      <alignment horizontal="center" wrapText="1"/>
    </xf>
    <xf numFmtId="183" fontId="47" fillId="33" borderId="16" xfId="0" applyNumberFormat="1" applyFont="1" applyFill="1" applyBorder="1" applyAlignment="1" applyProtection="1">
      <alignment horizontal="center"/>
      <protection locked="0"/>
    </xf>
    <xf numFmtId="191" fontId="47" fillId="34" borderId="0" xfId="0" applyNumberFormat="1" applyFont="1" applyFill="1" applyBorder="1" applyAlignment="1">
      <alignment horizontal="center"/>
    </xf>
    <xf numFmtId="191" fontId="47" fillId="0" borderId="32" xfId="0" applyNumberFormat="1" applyFont="1" applyBorder="1" applyAlignment="1">
      <alignment horizontal="center"/>
    </xf>
    <xf numFmtId="0" fontId="47" fillId="34" borderId="31" xfId="0" applyFont="1" applyFill="1" applyBorder="1" applyAlignment="1">
      <alignment vertical="top" wrapText="1"/>
    </xf>
    <xf numFmtId="0" fontId="47" fillId="0" borderId="0" xfId="0" applyFont="1" applyAlignment="1">
      <alignment vertical="top" wrapText="1"/>
    </xf>
    <xf numFmtId="0" fontId="47" fillId="0" borderId="32" xfId="0" applyFont="1" applyBorder="1" applyAlignment="1">
      <alignment vertical="top" wrapText="1"/>
    </xf>
    <xf numFmtId="0" fontId="47" fillId="0" borderId="32" xfId="0" applyFont="1" applyBorder="1" applyAlignment="1">
      <alignment horizontal="center"/>
    </xf>
  </cellXfs>
  <cellStyles count="4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5" xfId="53"/>
    <cellStyle name="Comma 6" xfId="54"/>
    <cellStyle name="Comma 7" xfId="55"/>
    <cellStyle name="Comma 7 2" xfId="56"/>
    <cellStyle name="Comma 7 3"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3" xfId="70"/>
    <cellStyle name="Hyperlink 3 2" xfId="71"/>
    <cellStyle name="Hyperlink 3 3" xfId="72"/>
    <cellStyle name="Hyperlink 4 2" xfId="73"/>
    <cellStyle name="Hyperlink 7" xfId="74"/>
    <cellStyle name="Hyperlink 7 2" xfId="75"/>
    <cellStyle name="Hyperlink 8" xfId="76"/>
    <cellStyle name="Hyperlink 8 2" xfId="77"/>
    <cellStyle name="Input" xfId="78"/>
    <cellStyle name="Linked Cell" xfId="79"/>
    <cellStyle name="Neutral" xfId="80"/>
    <cellStyle name="Normal 10" xfId="81"/>
    <cellStyle name="Normal 10 2" xfId="82"/>
    <cellStyle name="Normal 10 2 2" xfId="83"/>
    <cellStyle name="Normal 10 2 2 2" xfId="84"/>
    <cellStyle name="Normal 10 2 2 3"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2" xfId="97"/>
    <cellStyle name="Normal 12 10" xfId="98"/>
    <cellStyle name="Normal 12 11" xfId="99"/>
    <cellStyle name="Normal 12 12" xfId="100"/>
    <cellStyle name="Normal 12 2" xfId="101"/>
    <cellStyle name="Normal 12 2 2" xfId="102"/>
    <cellStyle name="Normal 12 3" xfId="103"/>
    <cellStyle name="Normal 12 4" xfId="104"/>
    <cellStyle name="Normal 12 5" xfId="105"/>
    <cellStyle name="Normal 12 6" xfId="106"/>
    <cellStyle name="Normal 12 7" xfId="107"/>
    <cellStyle name="Normal 12 8" xfId="108"/>
    <cellStyle name="Normal 12 9" xfId="109"/>
    <cellStyle name="Normal 13" xfId="110"/>
    <cellStyle name="Normal 13 10" xfId="111"/>
    <cellStyle name="Normal 13 11" xfId="112"/>
    <cellStyle name="Normal 13 12" xfId="113"/>
    <cellStyle name="Normal 13 2" xfId="114"/>
    <cellStyle name="Normal 13 2 2" xfId="115"/>
    <cellStyle name="Normal 13 3" xfId="116"/>
    <cellStyle name="Normal 13 4" xfId="117"/>
    <cellStyle name="Normal 13 5" xfId="118"/>
    <cellStyle name="Normal 13 6" xfId="119"/>
    <cellStyle name="Normal 13 7" xfId="120"/>
    <cellStyle name="Normal 13 8" xfId="121"/>
    <cellStyle name="Normal 13 9" xfId="122"/>
    <cellStyle name="Normal 14" xfId="123"/>
    <cellStyle name="Normal 14 2" xfId="124"/>
    <cellStyle name="Normal 14 3" xfId="125"/>
    <cellStyle name="Normal 14 4" xfId="126"/>
    <cellStyle name="Normal 14 5" xfId="127"/>
    <cellStyle name="Normal 14 6" xfId="128"/>
    <cellStyle name="Normal 14 7" xfId="129"/>
    <cellStyle name="Normal 15" xfId="130"/>
    <cellStyle name="Normal 15 2" xfId="131"/>
    <cellStyle name="Normal 15 3" xfId="132"/>
    <cellStyle name="Normal 15 4" xfId="133"/>
    <cellStyle name="Normal 16" xfId="134"/>
    <cellStyle name="Normal 16 2" xfId="135"/>
    <cellStyle name="Normal 16 3" xfId="136"/>
    <cellStyle name="Normal 16 4" xfId="137"/>
    <cellStyle name="Normal 17" xfId="138"/>
    <cellStyle name="Normal 17 2" xfId="139"/>
    <cellStyle name="Normal 17 3" xfId="140"/>
    <cellStyle name="Normal 17 4" xfId="141"/>
    <cellStyle name="Normal 18" xfId="142"/>
    <cellStyle name="Normal 18 2" xfId="143"/>
    <cellStyle name="Normal 18 2 2" xfId="144"/>
    <cellStyle name="Normal 18 2 3" xfId="145"/>
    <cellStyle name="Normal 18 3" xfId="146"/>
    <cellStyle name="Normal 18 4" xfId="147"/>
    <cellStyle name="Normal 18 5" xfId="148"/>
    <cellStyle name="Normal 18 6" xfId="149"/>
    <cellStyle name="Normal 18 7" xfId="150"/>
    <cellStyle name="Normal 18 8"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19 7" xfId="160"/>
    <cellStyle name="Normal 2" xfId="161"/>
    <cellStyle name="Normal 2 10" xfId="162"/>
    <cellStyle name="Normal 2 10 10" xfId="163"/>
    <cellStyle name="Normal 2 10 11" xfId="164"/>
    <cellStyle name="Normal 2 10 2" xfId="165"/>
    <cellStyle name="Normal 2 10 2 2" xfId="166"/>
    <cellStyle name="Normal 2 10 3" xfId="167"/>
    <cellStyle name="Normal 2 10 3 2" xfId="168"/>
    <cellStyle name="Normal 2 10 4" xfId="169"/>
    <cellStyle name="Normal 2 10 4 2" xfId="170"/>
    <cellStyle name="Normal 2 10 5" xfId="171"/>
    <cellStyle name="Normal 2 10 5 2" xfId="172"/>
    <cellStyle name="Normal 2 10 6" xfId="173"/>
    <cellStyle name="Normal 2 10 6 2" xfId="174"/>
    <cellStyle name="Normal 2 10 7" xfId="175"/>
    <cellStyle name="Normal 2 10 7 2" xfId="176"/>
    <cellStyle name="Normal 2 10 8" xfId="177"/>
    <cellStyle name="Normal 2 10 8 2" xfId="178"/>
    <cellStyle name="Normal 2 10 9" xfId="179"/>
    <cellStyle name="Normal 2 11" xfId="180"/>
    <cellStyle name="Normal 2 11 10" xfId="181"/>
    <cellStyle name="Normal 2 11 11"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16" xfId="202"/>
    <cellStyle name="Normal 2 2" xfId="203"/>
    <cellStyle name="Normal 2 2 10" xfId="204"/>
    <cellStyle name="Normal 2 2 10 2" xfId="205"/>
    <cellStyle name="Normal 2 2 11" xfId="206"/>
    <cellStyle name="Normal 2 2 11 2" xfId="207"/>
    <cellStyle name="Normal 2 2 12" xfId="208"/>
    <cellStyle name="Normal 2 2 12 2" xfId="209"/>
    <cellStyle name="Normal 2 2 12 2 2" xfId="210"/>
    <cellStyle name="Normal 2 2 12 2 3" xfId="211"/>
    <cellStyle name="Normal 2 2 12 3" xfId="212"/>
    <cellStyle name="Normal 2 2 12 4" xfId="213"/>
    <cellStyle name="Normal 2 2 13" xfId="214"/>
    <cellStyle name="Normal 2 2 13 2" xfId="215"/>
    <cellStyle name="Normal 2 2 13 2 2" xfId="216"/>
    <cellStyle name="Normal 2 2 13 2 3" xfId="217"/>
    <cellStyle name="Normal 2 2 13 3" xfId="218"/>
    <cellStyle name="Normal 2 2 13 4" xfId="219"/>
    <cellStyle name="Normal 2 2 14" xfId="220"/>
    <cellStyle name="Normal 2 2 14 2" xfId="221"/>
    <cellStyle name="Normal 2 2 15" xfId="222"/>
    <cellStyle name="Normal 2 2 15 2" xfId="223"/>
    <cellStyle name="Normal 2 2 16" xfId="224"/>
    <cellStyle name="Normal 2 2 16 2" xfId="225"/>
    <cellStyle name="Normal 2 2 16 3" xfId="226"/>
    <cellStyle name="Normal 2 2 17" xfId="227"/>
    <cellStyle name="Normal 2 2 18" xfId="228"/>
    <cellStyle name="Normal 2 2 19" xfId="229"/>
    <cellStyle name="Normal 2 2 2" xfId="230"/>
    <cellStyle name="Normal 2 2 2 2" xfId="231"/>
    <cellStyle name="Normal 2 2 2 2 2" xfId="232"/>
    <cellStyle name="Normal 2 2 2 2 3" xfId="233"/>
    <cellStyle name="Normal 2 2 2 3" xfId="234"/>
    <cellStyle name="Normal 2 2 2 3 2" xfId="235"/>
    <cellStyle name="Normal 2 2 2 4" xfId="236"/>
    <cellStyle name="Normal 2 2 2 4 2" xfId="237"/>
    <cellStyle name="Normal 2 2 2 5" xfId="238"/>
    <cellStyle name="Normal 2 2 2 5 2" xfId="239"/>
    <cellStyle name="Normal 2 2 2 6" xfId="240"/>
    <cellStyle name="Normal 2 2 2 6 2" xfId="241"/>
    <cellStyle name="Normal 2 2 2 7" xfId="242"/>
    <cellStyle name="Normal 2 2 2 8" xfId="243"/>
    <cellStyle name="Normal 2 2 20" xfId="244"/>
    <cellStyle name="Normal 2 2 21" xfId="245"/>
    <cellStyle name="Normal 2 2 3" xfId="246"/>
    <cellStyle name="Normal 2 2 3 2" xfId="247"/>
    <cellStyle name="Normal 2 2 4" xfId="248"/>
    <cellStyle name="Normal 2 2 4 2" xfId="249"/>
    <cellStyle name="Normal 2 2 5" xfId="250"/>
    <cellStyle name="Normal 2 2 5 2" xfId="251"/>
    <cellStyle name="Normal 2 2 6" xfId="252"/>
    <cellStyle name="Normal 2 2 6 2" xfId="253"/>
    <cellStyle name="Normal 2 2 7" xfId="254"/>
    <cellStyle name="Normal 2 2 7 2" xfId="255"/>
    <cellStyle name="Normal 2 2 8" xfId="256"/>
    <cellStyle name="Normal 2 2 8 2" xfId="257"/>
    <cellStyle name="Normal 2 2 9" xfId="258"/>
    <cellStyle name="Normal 2 2 9 2"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2" xfId="267"/>
    <cellStyle name="Normal 2 3 2 2" xfId="268"/>
    <cellStyle name="Normal 2 3 2 2 2" xfId="269"/>
    <cellStyle name="Normal 2 3 2 2 3" xfId="270"/>
    <cellStyle name="Normal 2 3 2 3" xfId="271"/>
    <cellStyle name="Normal 2 3 2 4" xfId="272"/>
    <cellStyle name="Normal 2 3 2 5" xfId="273"/>
    <cellStyle name="Normal 2 3 3" xfId="274"/>
    <cellStyle name="Normal 2 3 3 2" xfId="275"/>
    <cellStyle name="Normal 2 3 3 3" xfId="276"/>
    <cellStyle name="Normal 2 3 4" xfId="277"/>
    <cellStyle name="Normal 2 3 5" xfId="278"/>
    <cellStyle name="Normal 2 3 6" xfId="279"/>
    <cellStyle name="Normal 2 3 7" xfId="280"/>
    <cellStyle name="Normal 2 3 8" xfId="281"/>
    <cellStyle name="Normal 2 3 9" xfId="282"/>
    <cellStyle name="Normal 2 4" xfId="283"/>
    <cellStyle name="Normal 2 4 10" xfId="284"/>
    <cellStyle name="Normal 2 4 11" xfId="285"/>
    <cellStyle name="Normal 2 4 12" xfId="286"/>
    <cellStyle name="Normal 2 4 13" xfId="287"/>
    <cellStyle name="Normal 2 4 2" xfId="288"/>
    <cellStyle name="Normal 2 4 2 2" xfId="289"/>
    <cellStyle name="Normal 2 4 2 2 2" xfId="290"/>
    <cellStyle name="Normal 2 4 2 2 3" xfId="291"/>
    <cellStyle name="Normal 2 4 2 3" xfId="292"/>
    <cellStyle name="Normal 2 4 2 4" xfId="293"/>
    <cellStyle name="Normal 2 4 2 5" xfId="294"/>
    <cellStyle name="Normal 2 4 3" xfId="295"/>
    <cellStyle name="Normal 2 4 3 2" xfId="296"/>
    <cellStyle name="Normal 2 4 3 3" xfId="297"/>
    <cellStyle name="Normal 2 4 4" xfId="298"/>
    <cellStyle name="Normal 2 4 5" xfId="299"/>
    <cellStyle name="Normal 2 4 6" xfId="300"/>
    <cellStyle name="Normal 2 4 7" xfId="301"/>
    <cellStyle name="Normal 2 4 8" xfId="302"/>
    <cellStyle name="Normal 2 4 9" xfId="303"/>
    <cellStyle name="Normal 2 5" xfId="304"/>
    <cellStyle name="Normal 2 5 10" xfId="305"/>
    <cellStyle name="Normal 2 5 11" xfId="306"/>
    <cellStyle name="Normal 2 5 12" xfId="307"/>
    <cellStyle name="Normal 2 5 12 2" xfId="308"/>
    <cellStyle name="Normal 2 5 12 3"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2" xfId="336"/>
    <cellStyle name="Normal 2 7 2 2" xfId="337"/>
    <cellStyle name="Normal 2 7 2 3" xfId="338"/>
    <cellStyle name="Normal 2 7 3" xfId="339"/>
    <cellStyle name="Normal 2 7 3 2" xfId="340"/>
    <cellStyle name="Normal 2 7 4" xfId="341"/>
    <cellStyle name="Normal 2 7 4 2" xfId="342"/>
    <cellStyle name="Normal 2 7 5" xfId="343"/>
    <cellStyle name="Normal 2 7 5 2" xfId="344"/>
    <cellStyle name="Normal 2 7 6" xfId="345"/>
    <cellStyle name="Normal 2 7 6 2" xfId="346"/>
    <cellStyle name="Normal 2 7 7" xfId="347"/>
    <cellStyle name="Normal 2 7 7 2" xfId="348"/>
    <cellStyle name="Normal 2 7 8" xfId="349"/>
    <cellStyle name="Normal 2 7 8 2" xfId="350"/>
    <cellStyle name="Normal 2 7 9" xfId="351"/>
    <cellStyle name="Normal 2 8" xfId="352"/>
    <cellStyle name="Normal 2 8 10" xfId="353"/>
    <cellStyle name="Normal 2 8 11" xfId="354"/>
    <cellStyle name="Normal 2 8 2" xfId="355"/>
    <cellStyle name="Normal 2 8 2 2" xfId="356"/>
    <cellStyle name="Normal 2 8 3" xfId="357"/>
    <cellStyle name="Normal 2 8 3 2" xfId="358"/>
    <cellStyle name="Normal 2 8 4" xfId="359"/>
    <cellStyle name="Normal 2 8 4 2" xfId="360"/>
    <cellStyle name="Normal 2 8 5" xfId="361"/>
    <cellStyle name="Normal 2 8 5 2" xfId="362"/>
    <cellStyle name="Normal 2 8 6" xfId="363"/>
    <cellStyle name="Normal 2 8 6 2" xfId="364"/>
    <cellStyle name="Normal 2 8 7" xfId="365"/>
    <cellStyle name="Normal 2 8 7 2" xfId="366"/>
    <cellStyle name="Normal 2 8 8" xfId="367"/>
    <cellStyle name="Normal 2 8 8 2" xfId="368"/>
    <cellStyle name="Normal 2 8 9" xfId="369"/>
    <cellStyle name="Normal 2 9" xfId="370"/>
    <cellStyle name="Normal 2 9 10" xfId="371"/>
    <cellStyle name="Normal 2 9 11" xfId="372"/>
    <cellStyle name="Normal 2 9 2" xfId="373"/>
    <cellStyle name="Normal 2 9 2 2" xfId="374"/>
    <cellStyle name="Normal 2 9 3" xfId="375"/>
    <cellStyle name="Normal 2 9 3 2" xfId="376"/>
    <cellStyle name="Normal 2 9 4" xfId="377"/>
    <cellStyle name="Normal 2 9 4 2" xfId="378"/>
    <cellStyle name="Normal 2 9 5" xfId="379"/>
    <cellStyle name="Normal 2 9 5 2" xfId="380"/>
    <cellStyle name="Normal 2 9 6" xfId="381"/>
    <cellStyle name="Normal 2 9 6 2" xfId="382"/>
    <cellStyle name="Normal 2 9 7" xfId="383"/>
    <cellStyle name="Normal 2 9 7 2" xfId="384"/>
    <cellStyle name="Normal 2 9 8" xfId="385"/>
    <cellStyle name="Normal 2 9 8 2" xfId="386"/>
    <cellStyle name="Normal 2 9 9" xfId="387"/>
    <cellStyle name="Normal 20" xfId="388"/>
    <cellStyle name="Normal 20 2" xfId="389"/>
    <cellStyle name="Normal 20 3" xfId="390"/>
    <cellStyle name="Normal 21" xfId="391"/>
    <cellStyle name="Normal 21 2" xfId="392"/>
    <cellStyle name="Normal 22" xfId="393"/>
    <cellStyle name="Normal 22 2" xfId="394"/>
    <cellStyle name="Normal 22 3" xfId="395"/>
    <cellStyle name="Normal 23" xfId="396"/>
    <cellStyle name="Normal 23 2" xfId="397"/>
    <cellStyle name="Normal 23 3" xfId="398"/>
    <cellStyle name="Normal 24" xfId="399"/>
    <cellStyle name="Normal 24 2" xfId="400"/>
    <cellStyle name="Normal 24 3" xfId="401"/>
    <cellStyle name="Normal 25" xfId="402"/>
    <cellStyle name="Normal 25 2" xfId="403"/>
    <cellStyle name="Normal 25 3" xfId="404"/>
    <cellStyle name="Normal 26" xfId="405"/>
    <cellStyle name="Normal 3" xfId="406"/>
    <cellStyle name="Normal 3 2" xfId="407"/>
    <cellStyle name="Normal 3 2 2" xfId="408"/>
    <cellStyle name="Normal 3 2 2 2" xfId="409"/>
    <cellStyle name="Normal 3 2 2 3" xfId="410"/>
    <cellStyle name="Normal 3 2 3" xfId="411"/>
    <cellStyle name="Normal 3 2 4" xfId="412"/>
    <cellStyle name="Normal 3 2 5" xfId="413"/>
    <cellStyle name="Normal 3 3" xfId="414"/>
    <cellStyle name="Normal 3 3 2" xfId="415"/>
    <cellStyle name="Normal 3 3 2 2" xfId="416"/>
    <cellStyle name="Normal 3 3 2 3" xfId="417"/>
    <cellStyle name="Normal 3 3 3" xfId="418"/>
    <cellStyle name="Normal 3 3 4" xfId="419"/>
    <cellStyle name="Normal 3 4" xfId="420"/>
    <cellStyle name="Normal 3 5" xfId="421"/>
    <cellStyle name="Normal 3 6" xfId="422"/>
    <cellStyle name="Normal 3 7" xfId="423"/>
    <cellStyle name="Normal 3 8" xfId="424"/>
    <cellStyle name="Normal 3 9" xfId="425"/>
    <cellStyle name="Normal 4" xfId="426"/>
    <cellStyle name="Normal 4 2" xfId="427"/>
    <cellStyle name="Normal 4 2 2" xfId="428"/>
    <cellStyle name="Normal 4 2 2 2" xfId="429"/>
    <cellStyle name="Normal 4 2 3" xfId="430"/>
    <cellStyle name="Normal 4 2 4" xfId="431"/>
    <cellStyle name="Normal 4 3" xfId="432"/>
    <cellStyle name="Normal 4 3 2" xfId="433"/>
    <cellStyle name="Normal 4 3 3" xfId="434"/>
    <cellStyle name="Normal 4 4" xfId="435"/>
    <cellStyle name="Normal 4 5" xfId="436"/>
    <cellStyle name="Normal 4 6" xfId="437"/>
    <cellStyle name="Normal 5" xfId="438"/>
    <cellStyle name="Normal 5 2" xfId="439"/>
    <cellStyle name="Normal 5 3" xfId="440"/>
    <cellStyle name="Normal 5 3 2" xfId="441"/>
    <cellStyle name="Normal 5 3 3" xfId="442"/>
    <cellStyle name="Normal 5 4" xfId="443"/>
    <cellStyle name="Normal 5 5" xfId="444"/>
    <cellStyle name="Normal 6" xfId="445"/>
    <cellStyle name="Normal 6 2" xfId="446"/>
    <cellStyle name="Normal 6 3" xfId="447"/>
    <cellStyle name="Normal 6 4" xfId="448"/>
    <cellStyle name="Normal 6 5" xfId="449"/>
    <cellStyle name="Normal 7" xfId="450"/>
    <cellStyle name="Normal 7 2" xfId="451"/>
    <cellStyle name="Normal 7 2 2" xfId="452"/>
    <cellStyle name="Normal 7 2 2 2" xfId="453"/>
    <cellStyle name="Normal 7 2 3" xfId="454"/>
    <cellStyle name="Normal 7 2 4" xfId="455"/>
    <cellStyle name="Normal 7 2 5" xfId="456"/>
    <cellStyle name="Normal 7 3" xfId="457"/>
    <cellStyle name="Normal 7 4" xfId="458"/>
    <cellStyle name="Normal 7 4 2" xfId="459"/>
    <cellStyle name="Normal 7 4 3" xfId="460"/>
    <cellStyle name="Normal 7 5" xfId="461"/>
    <cellStyle name="Normal 7 5 2" xfId="462"/>
    <cellStyle name="Normal 7 5 3" xfId="463"/>
    <cellStyle name="Normal 7 5 4" xfId="464"/>
    <cellStyle name="Normal 7 6" xfId="465"/>
    <cellStyle name="Normal 7 7" xfId="466"/>
    <cellStyle name="Normal 8" xfId="467"/>
    <cellStyle name="Normal 8 2"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rmal_Township 07" xfId="478"/>
    <cellStyle name="Note" xfId="479"/>
    <cellStyle name="Output" xfId="480"/>
    <cellStyle name="Percent" xfId="481"/>
    <cellStyle name="Title" xfId="482"/>
    <cellStyle name="Total" xfId="483"/>
    <cellStyle name="Warning Text" xfId="484"/>
  </cellStyles>
  <dxfs count="15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elcpa@ruralte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9"/>
  <sheetViews>
    <sheetView zoomScale="75" zoomScaleNormal="75" zoomScalePageLayoutView="0" workbookViewId="0" topLeftCell="A19">
      <selection activeCell="J16" sqref="J16"/>
    </sheetView>
  </sheetViews>
  <sheetFormatPr defaultColWidth="8.796875" defaultRowHeight="15"/>
  <cols>
    <col min="1" max="1" width="88.796875" style="70" customWidth="1"/>
    <col min="2" max="16384" width="8.8984375" style="70" customWidth="1"/>
  </cols>
  <sheetData>
    <row r="1" ht="15.75">
      <c r="A1" s="69" t="s">
        <v>363</v>
      </c>
    </row>
    <row r="3" ht="34.5" customHeight="1">
      <c r="A3" s="716" t="s">
        <v>321</v>
      </c>
    </row>
    <row r="4" ht="15.75">
      <c r="A4" s="71"/>
    </row>
    <row r="5" ht="52.5" customHeight="1">
      <c r="A5" s="72" t="s">
        <v>364</v>
      </c>
    </row>
    <row r="6" ht="15.75">
      <c r="A6" s="72"/>
    </row>
    <row r="7" ht="31.5">
      <c r="A7" s="72" t="s">
        <v>892</v>
      </c>
    </row>
    <row r="8" ht="15.75">
      <c r="A8" s="72"/>
    </row>
    <row r="9" ht="54.75" customHeight="1">
      <c r="A9" s="72" t="s">
        <v>877</v>
      </c>
    </row>
    <row r="10" ht="15.75">
      <c r="A10" s="72"/>
    </row>
    <row r="11" ht="15.75">
      <c r="A11" s="72" t="s">
        <v>359</v>
      </c>
    </row>
    <row r="13" ht="118.5" customHeight="1">
      <c r="A13" s="72" t="s">
        <v>872</v>
      </c>
    </row>
    <row r="14" ht="15.75">
      <c r="A14" s="72"/>
    </row>
    <row r="15" ht="106.5" customHeight="1">
      <c r="A15" s="72" t="s">
        <v>873</v>
      </c>
    </row>
    <row r="17" ht="15.75">
      <c r="A17" s="69" t="s">
        <v>713</v>
      </c>
    </row>
    <row r="18" ht="15.75">
      <c r="A18" s="69"/>
    </row>
    <row r="19" ht="15.75">
      <c r="A19" s="71" t="s">
        <v>875</v>
      </c>
    </row>
    <row r="20" ht="15.75">
      <c r="A20" s="71"/>
    </row>
    <row r="21" ht="15.75">
      <c r="A21" s="70" t="s">
        <v>393</v>
      </c>
    </row>
    <row r="23" ht="72" customHeight="1">
      <c r="A23" s="73" t="s">
        <v>876</v>
      </c>
    </row>
    <row r="24" ht="13.5" customHeight="1">
      <c r="A24" s="73"/>
    </row>
    <row r="27" ht="15.75">
      <c r="A27" s="69" t="s">
        <v>278</v>
      </c>
    </row>
    <row r="29" ht="34.5" customHeight="1">
      <c r="A29" s="72" t="s">
        <v>871</v>
      </c>
    </row>
    <row r="30" ht="9.75" customHeight="1">
      <c r="A30" s="72"/>
    </row>
    <row r="31" ht="15.75">
      <c r="A31" s="74" t="s">
        <v>212</v>
      </c>
    </row>
    <row r="32" ht="15.75">
      <c r="A32" s="72"/>
    </row>
    <row r="33" ht="17.25" customHeight="1">
      <c r="A33" s="75" t="s">
        <v>1031</v>
      </c>
    </row>
    <row r="34" ht="17.25" customHeight="1">
      <c r="A34" s="76"/>
    </row>
    <row r="35" ht="87.75" customHeight="1">
      <c r="A35" s="77" t="s">
        <v>238</v>
      </c>
    </row>
    <row r="37" ht="15.75">
      <c r="A37" s="78" t="s">
        <v>213</v>
      </c>
    </row>
    <row r="39" ht="15.75">
      <c r="A39" s="79" t="s">
        <v>874</v>
      </c>
    </row>
    <row r="41" ht="15.75">
      <c r="A41" s="72" t="s">
        <v>279</v>
      </c>
    </row>
    <row r="43" ht="15.75">
      <c r="A43" s="69" t="s">
        <v>280</v>
      </c>
    </row>
    <row r="45" ht="70.5" customHeight="1">
      <c r="A45" s="72" t="s">
        <v>895</v>
      </c>
    </row>
    <row r="46" ht="52.5" customHeight="1">
      <c r="A46" s="80" t="s">
        <v>228</v>
      </c>
    </row>
    <row r="47" ht="9" customHeight="1">
      <c r="A47" s="72"/>
    </row>
    <row r="48" ht="69.75" customHeight="1">
      <c r="A48" s="72" t="s">
        <v>896</v>
      </c>
    </row>
    <row r="49" ht="53.25" customHeight="1">
      <c r="A49" s="72" t="s">
        <v>229</v>
      </c>
    </row>
    <row r="50" ht="102.75" customHeight="1">
      <c r="A50" s="72" t="s">
        <v>271</v>
      </c>
    </row>
    <row r="51" ht="73.5" customHeight="1">
      <c r="A51" s="434" t="s">
        <v>714</v>
      </c>
    </row>
    <row r="52" ht="69.75" customHeight="1">
      <c r="A52" s="435" t="s">
        <v>715</v>
      </c>
    </row>
    <row r="53" ht="69.75" customHeight="1">
      <c r="A53" s="702" t="s">
        <v>176</v>
      </c>
    </row>
    <row r="54" ht="12" customHeight="1">
      <c r="A54" s="72"/>
    </row>
    <row r="55" ht="68.25" customHeight="1">
      <c r="A55" s="72" t="s">
        <v>716</v>
      </c>
    </row>
    <row r="56" ht="68.25" customHeight="1">
      <c r="A56" s="72" t="s">
        <v>717</v>
      </c>
    </row>
    <row r="57" ht="31.5">
      <c r="A57" s="72" t="s">
        <v>718</v>
      </c>
    </row>
    <row r="58" ht="31.5">
      <c r="A58" s="72" t="s">
        <v>719</v>
      </c>
    </row>
    <row r="59" ht="12" customHeight="1"/>
    <row r="60" ht="68.25" customHeight="1">
      <c r="A60" s="72" t="s">
        <v>720</v>
      </c>
    </row>
    <row r="61" ht="128.25" customHeight="1">
      <c r="A61" s="72" t="s">
        <v>721</v>
      </c>
    </row>
    <row r="62" ht="35.25" customHeight="1">
      <c r="A62" s="72" t="s">
        <v>722</v>
      </c>
    </row>
    <row r="63" ht="10.5" customHeight="1">
      <c r="A63" s="72"/>
    </row>
    <row r="64" ht="68.25" customHeight="1">
      <c r="A64" s="72" t="s">
        <v>1053</v>
      </c>
    </row>
    <row r="65" ht="10.5" customHeight="1">
      <c r="A65" s="72"/>
    </row>
    <row r="66" ht="72.75" customHeight="1">
      <c r="A66" s="72" t="s">
        <v>132</v>
      </c>
    </row>
    <row r="67" ht="31.5" customHeight="1">
      <c r="A67" s="72" t="s">
        <v>784</v>
      </c>
    </row>
    <row r="68" ht="82.5" customHeight="1">
      <c r="A68" s="72" t="s">
        <v>785</v>
      </c>
    </row>
    <row r="69" ht="37.5" customHeight="1">
      <c r="A69" s="409" t="s">
        <v>783</v>
      </c>
    </row>
    <row r="70" ht="12" customHeight="1">
      <c r="A70" s="72"/>
    </row>
    <row r="71" ht="54" customHeight="1">
      <c r="A71" s="72" t="s">
        <v>133</v>
      </c>
    </row>
    <row r="72" ht="12" customHeight="1"/>
    <row r="73" s="72" customFormat="1" ht="69" customHeight="1">
      <c r="A73" s="72" t="s">
        <v>134</v>
      </c>
    </row>
    <row r="74" ht="12" customHeight="1"/>
    <row r="75" ht="87" customHeight="1">
      <c r="A75" s="72" t="s">
        <v>135</v>
      </c>
    </row>
    <row r="76" ht="87" customHeight="1">
      <c r="A76" s="536" t="s">
        <v>1054</v>
      </c>
    </row>
    <row r="77" ht="87" customHeight="1">
      <c r="A77" s="536" t="s">
        <v>1055</v>
      </c>
    </row>
    <row r="78" ht="87" customHeight="1">
      <c r="A78" s="536" t="s">
        <v>1056</v>
      </c>
    </row>
    <row r="79" ht="72" customHeight="1">
      <c r="A79" s="72" t="s">
        <v>1057</v>
      </c>
    </row>
    <row r="80" ht="116.25" customHeight="1">
      <c r="A80" s="72" t="s">
        <v>246</v>
      </c>
    </row>
    <row r="81" ht="132.75" customHeight="1">
      <c r="A81" s="72" t="s">
        <v>247</v>
      </c>
    </row>
    <row r="82" ht="84" customHeight="1">
      <c r="A82" s="536" t="s">
        <v>248</v>
      </c>
    </row>
    <row r="83" ht="124.5" customHeight="1">
      <c r="A83" s="72" t="s">
        <v>249</v>
      </c>
    </row>
    <row r="84" ht="38.25" customHeight="1">
      <c r="A84" s="72" t="s">
        <v>250</v>
      </c>
    </row>
    <row r="85" ht="85.5" customHeight="1">
      <c r="A85" s="72" t="s">
        <v>251</v>
      </c>
    </row>
    <row r="86" ht="40.5" customHeight="1">
      <c r="A86" s="72" t="s">
        <v>252</v>
      </c>
    </row>
    <row r="87" ht="140.25" customHeight="1">
      <c r="A87" s="406" t="s">
        <v>253</v>
      </c>
    </row>
    <row r="88" ht="119.25" customHeight="1">
      <c r="A88" s="407" t="s">
        <v>420</v>
      </c>
    </row>
    <row r="89" ht="59.25" customHeight="1">
      <c r="A89" s="408" t="s">
        <v>421</v>
      </c>
    </row>
    <row r="91" ht="154.5" customHeight="1">
      <c r="A91" s="72" t="s">
        <v>136</v>
      </c>
    </row>
    <row r="92" ht="132" customHeight="1">
      <c r="A92" s="72" t="s">
        <v>137</v>
      </c>
    </row>
    <row r="93" ht="54" customHeight="1">
      <c r="A93" s="72" t="s">
        <v>138</v>
      </c>
    </row>
    <row r="94" ht="21.75" customHeight="1">
      <c r="A94" s="72" t="s">
        <v>139</v>
      </c>
    </row>
    <row r="96" ht="52.5" customHeight="1">
      <c r="A96" s="72" t="s">
        <v>778</v>
      </c>
    </row>
    <row r="97" ht="22.5" customHeight="1">
      <c r="A97" s="708" t="s">
        <v>451</v>
      </c>
    </row>
    <row r="98" ht="31.5" customHeight="1">
      <c r="A98" s="536" t="s">
        <v>452</v>
      </c>
    </row>
    <row r="99" ht="109.5" customHeight="1">
      <c r="A99" s="536" t="s">
        <v>313</v>
      </c>
    </row>
    <row r="100" ht="126" customHeight="1">
      <c r="A100" s="536" t="s">
        <v>314</v>
      </c>
    </row>
    <row r="101" ht="71.25" customHeight="1">
      <c r="A101" s="709" t="s">
        <v>315</v>
      </c>
    </row>
    <row r="102" ht="57.75" customHeight="1">
      <c r="A102" s="72" t="s">
        <v>316</v>
      </c>
    </row>
    <row r="103" ht="57.75" customHeight="1">
      <c r="A103" s="72" t="s">
        <v>317</v>
      </c>
    </row>
    <row r="104" ht="10.5" customHeight="1"/>
    <row r="105" ht="57" customHeight="1">
      <c r="A105" s="72" t="s">
        <v>779</v>
      </c>
    </row>
    <row r="106" ht="15.75" customHeight="1"/>
    <row r="107" ht="54" customHeight="1">
      <c r="A107" s="536" t="s">
        <v>897</v>
      </c>
    </row>
    <row r="108" ht="93" customHeight="1">
      <c r="A108" s="536" t="s">
        <v>898</v>
      </c>
    </row>
    <row r="109" ht="104.25" customHeight="1">
      <c r="A109" s="536" t="s">
        <v>899</v>
      </c>
    </row>
  </sheetData>
  <sheetProtection sheet="1"/>
  <printOptions/>
  <pageMargins left="0.5" right="0.5" top="0.5" bottom="0.5" header="0.5" footer="0.5"/>
  <pageSetup blackAndWhite="1" fitToHeight="2" horizontalDpi="300" verticalDpi="300" orientation="portrait" scale="90" r:id="rId1"/>
  <rowBreaks count="1" manualBreakCount="1">
    <brk id="26" max="0" man="1"/>
  </rowBreaks>
</worksheet>
</file>

<file path=xl/worksheets/sheet10.xml><?xml version="1.0" encoding="utf-8"?>
<worksheet xmlns="http://schemas.openxmlformats.org/spreadsheetml/2006/main" xmlns:r="http://schemas.openxmlformats.org/officeDocument/2006/relationships">
  <dimension ref="A1:G48"/>
  <sheetViews>
    <sheetView zoomScalePageLayoutView="0" workbookViewId="0" topLeftCell="A1">
      <selection activeCell="A31" sqref="A31"/>
    </sheetView>
  </sheetViews>
  <sheetFormatPr defaultColWidth="8.796875" defaultRowHeight="15"/>
  <cols>
    <col min="1" max="1" width="70.3984375" style="161" customWidth="1"/>
    <col min="2" max="16384" width="8.8984375" style="161" customWidth="1"/>
  </cols>
  <sheetData>
    <row r="1" spans="1:7" ht="30" customHeight="1">
      <c r="A1" s="480" t="s">
        <v>396</v>
      </c>
      <c r="B1" s="479"/>
      <c r="C1" s="479"/>
      <c r="D1" s="479"/>
      <c r="E1" s="479"/>
      <c r="F1" s="479"/>
      <c r="G1" s="479"/>
    </row>
    <row r="2" ht="15.75" customHeight="1">
      <c r="A2" s="2"/>
    </row>
    <row r="3" ht="54" customHeight="1">
      <c r="A3" s="478" t="s">
        <v>803</v>
      </c>
    </row>
    <row r="4" ht="15.75" customHeight="1">
      <c r="A4" s="2"/>
    </row>
    <row r="5" ht="52.5" customHeight="1">
      <c r="A5" s="478" t="s">
        <v>804</v>
      </c>
    </row>
    <row r="6" ht="15.75" customHeight="1">
      <c r="A6" s="2"/>
    </row>
    <row r="7" s="476" customFormat="1" ht="45.75" customHeight="1">
      <c r="A7" s="477" t="s">
        <v>693</v>
      </c>
    </row>
    <row r="8" ht="15.75" customHeight="1">
      <c r="A8" s="2"/>
    </row>
    <row r="9" ht="46.5" customHeight="1">
      <c r="A9" s="477" t="s">
        <v>694</v>
      </c>
    </row>
    <row r="10" ht="15.75" customHeight="1"/>
    <row r="11" ht="45.75" customHeight="1">
      <c r="A11" s="477" t="s">
        <v>695</v>
      </c>
    </row>
    <row r="12" ht="15.75" customHeight="1">
      <c r="A12" s="2"/>
    </row>
    <row r="13" ht="62.25" customHeight="1">
      <c r="A13" s="477" t="s">
        <v>453</v>
      </c>
    </row>
    <row r="14" ht="15.75" customHeight="1">
      <c r="A14" s="2"/>
    </row>
    <row r="15" ht="32.25" customHeight="1">
      <c r="A15" s="477" t="s">
        <v>454</v>
      </c>
    </row>
    <row r="16" ht="15.75" customHeight="1"/>
    <row r="17" ht="67.5" customHeight="1">
      <c r="A17" s="475" t="s">
        <v>805</v>
      </c>
    </row>
    <row r="18" ht="15.75" customHeight="1"/>
    <row r="19" ht="81" customHeight="1">
      <c r="A19" s="475" t="s">
        <v>455</v>
      </c>
    </row>
    <row r="20" ht="15.75" customHeight="1">
      <c r="A20" s="2"/>
    </row>
    <row r="21" ht="78" customHeight="1">
      <c r="A21" s="477" t="s">
        <v>456</v>
      </c>
    </row>
    <row r="22" ht="15.75" customHeight="1">
      <c r="A22" s="2"/>
    </row>
    <row r="23" ht="44.25" customHeight="1">
      <c r="A23" s="477" t="s">
        <v>457</v>
      </c>
    </row>
    <row r="24" ht="15.75" customHeight="1"/>
    <row r="25" ht="53.25" customHeight="1">
      <c r="A25" s="475" t="s">
        <v>458</v>
      </c>
    </row>
    <row r="26" ht="16.5" customHeight="1">
      <c r="A26" s="2"/>
    </row>
    <row r="27" ht="40.5" customHeight="1">
      <c r="A27" s="478" t="s">
        <v>806</v>
      </c>
    </row>
    <row r="28" ht="16.5" customHeight="1">
      <c r="A28" s="2"/>
    </row>
    <row r="29" ht="69.75" customHeight="1">
      <c r="A29" s="477" t="s">
        <v>459</v>
      </c>
    </row>
    <row r="30" ht="15.75" customHeight="1">
      <c r="A30" s="2"/>
    </row>
    <row r="31" ht="79.5" customHeight="1">
      <c r="A31" s="477" t="s">
        <v>140</v>
      </c>
    </row>
    <row r="32" ht="15.75" customHeight="1">
      <c r="A32" s="2"/>
    </row>
    <row r="33" ht="58.5" customHeight="1">
      <c r="A33" s="477" t="s">
        <v>460</v>
      </c>
    </row>
    <row r="35" ht="60.75" customHeight="1">
      <c r="A35" s="477" t="s">
        <v>461</v>
      </c>
    </row>
    <row r="36" ht="15.75">
      <c r="A36" s="2"/>
    </row>
    <row r="37" ht="82.5" customHeight="1">
      <c r="A37" s="477" t="s">
        <v>462</v>
      </c>
    </row>
    <row r="38" ht="15.75">
      <c r="A38" s="474"/>
    </row>
    <row r="39" ht="15.75">
      <c r="A39" s="474"/>
    </row>
    <row r="41" ht="15.75">
      <c r="A41" s="474"/>
    </row>
    <row r="42" ht="15.75">
      <c r="A42" s="474"/>
    </row>
    <row r="44" ht="15.75">
      <c r="A44" s="2"/>
    </row>
    <row r="45" ht="15.75">
      <c r="A45" s="474"/>
    </row>
    <row r="47" ht="15.75">
      <c r="A47" s="474"/>
    </row>
    <row r="48" ht="15.75">
      <c r="A48" s="474"/>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AC42"/>
  <sheetViews>
    <sheetView zoomScale="75" zoomScaleNormal="75" zoomScalePageLayoutView="0" workbookViewId="0" topLeftCell="A1">
      <selection activeCell="E52" sqref="E52"/>
    </sheetView>
  </sheetViews>
  <sheetFormatPr defaultColWidth="8.796875" defaultRowHeight="15"/>
  <cols>
    <col min="1" max="1" width="5.3984375" style="140" customWidth="1"/>
    <col min="2" max="2" width="20.796875" style="140" customWidth="1"/>
    <col min="3" max="3" width="9.3984375" style="140" customWidth="1"/>
    <col min="4" max="4" width="9.796875" style="140" customWidth="1"/>
    <col min="5" max="5" width="8.796875" style="140" customWidth="1"/>
    <col min="6" max="6" width="12.796875" style="140" customWidth="1"/>
    <col min="7" max="7" width="14" style="140" customWidth="1"/>
    <col min="8" max="13" width="9.796875" style="140" customWidth="1"/>
    <col min="14" max="16384" width="8.8984375" style="140" customWidth="1"/>
  </cols>
  <sheetData>
    <row r="1" spans="2:13" ht="15.75">
      <c r="B1" s="224" t="str">
        <f>inputPrYr!$C$2</f>
        <v>Gove County</v>
      </c>
      <c r="C1" s="82"/>
      <c r="D1" s="82"/>
      <c r="E1" s="82"/>
      <c r="F1" s="82"/>
      <c r="G1" s="82"/>
      <c r="H1" s="82"/>
      <c r="I1" s="82"/>
      <c r="J1" s="82"/>
      <c r="K1" s="82"/>
      <c r="L1" s="82"/>
      <c r="M1" s="251">
        <f>inputPrYr!$C$4</f>
        <v>2014</v>
      </c>
    </row>
    <row r="2" spans="2:13" ht="15.75">
      <c r="B2" s="224"/>
      <c r="C2" s="82"/>
      <c r="D2" s="82"/>
      <c r="E2" s="82"/>
      <c r="F2" s="82"/>
      <c r="G2" s="82"/>
      <c r="H2" s="82"/>
      <c r="I2" s="82"/>
      <c r="J2" s="82"/>
      <c r="K2" s="82"/>
      <c r="L2" s="82"/>
      <c r="M2" s="236"/>
    </row>
    <row r="3" spans="2:13" ht="15.75">
      <c r="B3" s="252" t="s">
        <v>988</v>
      </c>
      <c r="C3" s="90"/>
      <c r="D3" s="90"/>
      <c r="E3" s="90"/>
      <c r="F3" s="90"/>
      <c r="G3" s="90"/>
      <c r="H3" s="90"/>
      <c r="I3" s="90"/>
      <c r="J3" s="90"/>
      <c r="K3" s="90"/>
      <c r="L3" s="90"/>
      <c r="M3" s="90"/>
    </row>
    <row r="4" spans="2:13" ht="15.75">
      <c r="B4" s="82"/>
      <c r="C4" s="253"/>
      <c r="D4" s="253"/>
      <c r="E4" s="253"/>
      <c r="F4" s="253"/>
      <c r="G4" s="253"/>
      <c r="H4" s="253"/>
      <c r="I4" s="253"/>
      <c r="J4" s="253"/>
      <c r="K4" s="253"/>
      <c r="L4" s="253"/>
      <c r="M4" s="253"/>
    </row>
    <row r="5" spans="2:13" ht="15.75">
      <c r="B5" s="254" t="s">
        <v>141</v>
      </c>
      <c r="C5" s="254" t="s">
        <v>957</v>
      </c>
      <c r="D5" s="254" t="s">
        <v>957</v>
      </c>
      <c r="E5" s="254" t="s">
        <v>971</v>
      </c>
      <c r="F5" s="254"/>
      <c r="G5" s="254" t="s">
        <v>386</v>
      </c>
      <c r="H5" s="82"/>
      <c r="I5" s="82"/>
      <c r="J5" s="255" t="s">
        <v>958</v>
      </c>
      <c r="K5" s="256"/>
      <c r="L5" s="255" t="s">
        <v>958</v>
      </c>
      <c r="M5" s="256"/>
    </row>
    <row r="6" spans="2:13" ht="15.75">
      <c r="B6" s="257" t="s">
        <v>959</v>
      </c>
      <c r="C6" s="257" t="s">
        <v>959</v>
      </c>
      <c r="D6" s="257" t="s">
        <v>387</v>
      </c>
      <c r="E6" s="257" t="s">
        <v>960</v>
      </c>
      <c r="F6" s="257" t="s">
        <v>303</v>
      </c>
      <c r="G6" s="257" t="s">
        <v>1034</v>
      </c>
      <c r="H6" s="786" t="s">
        <v>961</v>
      </c>
      <c r="I6" s="787"/>
      <c r="J6" s="788">
        <f>M1-1</f>
        <v>2013</v>
      </c>
      <c r="K6" s="789"/>
      <c r="L6" s="788">
        <f>M1</f>
        <v>2014</v>
      </c>
      <c r="M6" s="789"/>
    </row>
    <row r="7" spans="2:13" ht="15.75">
      <c r="B7" s="260" t="s">
        <v>142</v>
      </c>
      <c r="C7" s="260" t="s">
        <v>962</v>
      </c>
      <c r="D7" s="260" t="s">
        <v>388</v>
      </c>
      <c r="E7" s="260" t="s">
        <v>924</v>
      </c>
      <c r="F7" s="260" t="s">
        <v>963</v>
      </c>
      <c r="G7" s="258" t="str">
        <f>CONCATENATE("Jan 1,",M1-1,"")</f>
        <v>Jan 1,2013</v>
      </c>
      <c r="H7" s="249" t="s">
        <v>971</v>
      </c>
      <c r="I7" s="249" t="s">
        <v>972</v>
      </c>
      <c r="J7" s="249" t="s">
        <v>971</v>
      </c>
      <c r="K7" s="249" t="s">
        <v>972</v>
      </c>
      <c r="L7" s="249" t="s">
        <v>971</v>
      </c>
      <c r="M7" s="249" t="s">
        <v>972</v>
      </c>
    </row>
    <row r="8" spans="2:13" ht="15.75">
      <c r="B8" s="259" t="s">
        <v>964</v>
      </c>
      <c r="C8" s="105"/>
      <c r="D8" s="105"/>
      <c r="E8" s="261"/>
      <c r="F8" s="262"/>
      <c r="G8" s="262"/>
      <c r="H8" s="105"/>
      <c r="I8" s="105"/>
      <c r="J8" s="262"/>
      <c r="K8" s="262"/>
      <c r="L8" s="262"/>
      <c r="M8" s="262"/>
    </row>
    <row r="9" spans="2:13" ht="15.75">
      <c r="B9" s="263" t="s">
        <v>503</v>
      </c>
      <c r="C9" s="442"/>
      <c r="D9" s="442"/>
      <c r="E9" s="264"/>
      <c r="F9" s="265"/>
      <c r="G9" s="266"/>
      <c r="H9" s="267"/>
      <c r="I9" s="267"/>
      <c r="J9" s="266"/>
      <c r="K9" s="266"/>
      <c r="L9" s="266"/>
      <c r="M9" s="266"/>
    </row>
    <row r="10" spans="2:13" ht="15.75">
      <c r="B10" s="263"/>
      <c r="C10" s="442"/>
      <c r="D10" s="442"/>
      <c r="E10" s="264"/>
      <c r="F10" s="265"/>
      <c r="G10" s="266"/>
      <c r="H10" s="267"/>
      <c r="I10" s="267"/>
      <c r="J10" s="266"/>
      <c r="K10" s="266"/>
      <c r="L10" s="266"/>
      <c r="M10" s="266"/>
    </row>
    <row r="11" spans="2:13" ht="15.75">
      <c r="B11" s="263"/>
      <c r="C11" s="442"/>
      <c r="D11" s="442"/>
      <c r="E11" s="264"/>
      <c r="F11" s="265"/>
      <c r="G11" s="266"/>
      <c r="H11" s="267"/>
      <c r="I11" s="267"/>
      <c r="J11" s="266"/>
      <c r="K11" s="266"/>
      <c r="L11" s="266"/>
      <c r="M11" s="266"/>
    </row>
    <row r="12" spans="2:13" ht="15.75">
      <c r="B12" s="263"/>
      <c r="C12" s="442"/>
      <c r="D12" s="442"/>
      <c r="E12" s="264"/>
      <c r="F12" s="265"/>
      <c r="G12" s="266"/>
      <c r="H12" s="267"/>
      <c r="I12" s="267"/>
      <c r="J12" s="266"/>
      <c r="K12" s="266"/>
      <c r="L12" s="266"/>
      <c r="M12" s="266"/>
    </row>
    <row r="13" spans="2:13" ht="15.75">
      <c r="B13" s="263"/>
      <c r="C13" s="442"/>
      <c r="D13" s="442"/>
      <c r="E13" s="264"/>
      <c r="F13" s="265"/>
      <c r="G13" s="266"/>
      <c r="H13" s="267"/>
      <c r="I13" s="267"/>
      <c r="J13" s="266"/>
      <c r="K13" s="266"/>
      <c r="L13" s="266"/>
      <c r="M13" s="266"/>
    </row>
    <row r="14" spans="2:13" ht="15.75">
      <c r="B14" s="263"/>
      <c r="C14" s="442"/>
      <c r="D14" s="442"/>
      <c r="E14" s="264"/>
      <c r="F14" s="265"/>
      <c r="G14" s="266"/>
      <c r="H14" s="267"/>
      <c r="I14" s="267"/>
      <c r="J14" s="266"/>
      <c r="K14" s="266"/>
      <c r="L14" s="266"/>
      <c r="M14" s="266"/>
    </row>
    <row r="15" spans="2:13" ht="15.75">
      <c r="B15" s="263"/>
      <c r="C15" s="442"/>
      <c r="D15" s="442"/>
      <c r="E15" s="264"/>
      <c r="F15" s="265"/>
      <c r="G15" s="266"/>
      <c r="H15" s="267"/>
      <c r="I15" s="267"/>
      <c r="J15" s="266"/>
      <c r="K15" s="266"/>
      <c r="L15" s="266"/>
      <c r="M15" s="266"/>
    </row>
    <row r="16" spans="2:13" ht="15.75">
      <c r="B16" s="263"/>
      <c r="C16" s="442"/>
      <c r="D16" s="442"/>
      <c r="E16" s="264"/>
      <c r="F16" s="265"/>
      <c r="G16" s="266"/>
      <c r="H16" s="267"/>
      <c r="I16" s="267"/>
      <c r="J16" s="266"/>
      <c r="K16" s="266"/>
      <c r="L16" s="266"/>
      <c r="M16" s="266"/>
    </row>
    <row r="17" spans="2:13" ht="15.75">
      <c r="B17" s="263"/>
      <c r="C17" s="442"/>
      <c r="D17" s="442"/>
      <c r="E17" s="264"/>
      <c r="F17" s="265"/>
      <c r="G17" s="266"/>
      <c r="H17" s="267"/>
      <c r="I17" s="267"/>
      <c r="J17" s="266"/>
      <c r="K17" s="266"/>
      <c r="L17" s="266"/>
      <c r="M17" s="266"/>
    </row>
    <row r="18" spans="2:13" ht="15.75">
      <c r="B18" s="263"/>
      <c r="C18" s="442"/>
      <c r="D18" s="442"/>
      <c r="E18" s="264"/>
      <c r="F18" s="265"/>
      <c r="G18" s="266"/>
      <c r="H18" s="267"/>
      <c r="I18" s="267"/>
      <c r="J18" s="266"/>
      <c r="K18" s="266"/>
      <c r="L18" s="266"/>
      <c r="M18" s="266"/>
    </row>
    <row r="19" spans="2:13" ht="15.75">
      <c r="B19" s="268" t="s">
        <v>965</v>
      </c>
      <c r="C19" s="269"/>
      <c r="D19" s="269"/>
      <c r="E19" s="270"/>
      <c r="F19" s="271"/>
      <c r="G19" s="272">
        <f>SUM(G9:G18)</f>
        <v>0</v>
      </c>
      <c r="H19" s="273"/>
      <c r="I19" s="273"/>
      <c r="J19" s="272">
        <f>SUM(J9:J18)</f>
        <v>0</v>
      </c>
      <c r="K19" s="272">
        <f>SUM(K9:K18)</f>
        <v>0</v>
      </c>
      <c r="L19" s="272">
        <f>SUM(L9:L18)</f>
        <v>0</v>
      </c>
      <c r="M19" s="272">
        <f>SUM(M9:M18)</f>
        <v>0</v>
      </c>
    </row>
    <row r="20" spans="2:13" ht="15.75">
      <c r="B20" s="249" t="s">
        <v>966</v>
      </c>
      <c r="C20" s="274"/>
      <c r="D20" s="274"/>
      <c r="E20" s="275"/>
      <c r="F20" s="276"/>
      <c r="G20" s="276"/>
      <c r="H20" s="277"/>
      <c r="I20" s="277"/>
      <c r="J20" s="276"/>
      <c r="K20" s="276"/>
      <c r="L20" s="276"/>
      <c r="M20" s="276"/>
    </row>
    <row r="21" spans="2:13" ht="15.75">
      <c r="B21" s="263" t="s">
        <v>503</v>
      </c>
      <c r="C21" s="442"/>
      <c r="D21" s="442"/>
      <c r="E21" s="264"/>
      <c r="F21" s="265"/>
      <c r="G21" s="266"/>
      <c r="H21" s="267"/>
      <c r="I21" s="267"/>
      <c r="J21" s="266"/>
      <c r="K21" s="266"/>
      <c r="L21" s="266"/>
      <c r="M21" s="266"/>
    </row>
    <row r="22" spans="2:13" ht="15.75">
      <c r="B22" s="263"/>
      <c r="C22" s="442"/>
      <c r="D22" s="442"/>
      <c r="E22" s="264"/>
      <c r="F22" s="265"/>
      <c r="G22" s="266"/>
      <c r="H22" s="267"/>
      <c r="I22" s="267"/>
      <c r="J22" s="266"/>
      <c r="K22" s="266"/>
      <c r="L22" s="266"/>
      <c r="M22" s="266"/>
    </row>
    <row r="23" spans="2:13" ht="15.75">
      <c r="B23" s="263"/>
      <c r="C23" s="442"/>
      <c r="D23" s="442"/>
      <c r="E23" s="264"/>
      <c r="F23" s="265"/>
      <c r="G23" s="266"/>
      <c r="H23" s="267"/>
      <c r="I23" s="267"/>
      <c r="J23" s="266"/>
      <c r="K23" s="266"/>
      <c r="L23" s="266"/>
      <c r="M23" s="266"/>
    </row>
    <row r="24" spans="2:13" ht="15.75">
      <c r="B24" s="263"/>
      <c r="C24" s="442"/>
      <c r="D24" s="442"/>
      <c r="E24" s="264"/>
      <c r="F24" s="265"/>
      <c r="G24" s="266"/>
      <c r="H24" s="267"/>
      <c r="I24" s="267"/>
      <c r="J24" s="266"/>
      <c r="K24" s="266"/>
      <c r="L24" s="266"/>
      <c r="M24" s="266"/>
    </row>
    <row r="25" spans="2:13" ht="15.75">
      <c r="B25" s="263"/>
      <c r="C25" s="442"/>
      <c r="D25" s="442"/>
      <c r="E25" s="264"/>
      <c r="F25" s="265"/>
      <c r="G25" s="266"/>
      <c r="H25" s="267"/>
      <c r="I25" s="267"/>
      <c r="J25" s="266"/>
      <c r="K25" s="266"/>
      <c r="L25" s="266"/>
      <c r="M25" s="266"/>
    </row>
    <row r="26" spans="2:13" ht="15.75">
      <c r="B26" s="263"/>
      <c r="C26" s="442"/>
      <c r="D26" s="442"/>
      <c r="E26" s="264"/>
      <c r="F26" s="265"/>
      <c r="G26" s="266"/>
      <c r="H26" s="267"/>
      <c r="I26" s="267"/>
      <c r="J26" s="266"/>
      <c r="K26" s="266"/>
      <c r="L26" s="266"/>
      <c r="M26" s="266"/>
    </row>
    <row r="27" spans="2:13" ht="15.75">
      <c r="B27" s="268" t="s">
        <v>967</v>
      </c>
      <c r="C27" s="269"/>
      <c r="D27" s="269"/>
      <c r="E27" s="278"/>
      <c r="F27" s="271"/>
      <c r="G27" s="279">
        <f>SUM(G21:G26)</f>
        <v>0</v>
      </c>
      <c r="H27" s="273"/>
      <c r="I27" s="273"/>
      <c r="J27" s="279">
        <f>SUM(J21:J26)</f>
        <v>0</v>
      </c>
      <c r="K27" s="279">
        <f>SUM(K21:K26)</f>
        <v>0</v>
      </c>
      <c r="L27" s="272">
        <f>SUM(L21:L26)</f>
        <v>0</v>
      </c>
      <c r="M27" s="279">
        <f>SUM(M21:M26)</f>
        <v>0</v>
      </c>
    </row>
    <row r="28" spans="2:13" ht="15.75">
      <c r="B28" s="249" t="s">
        <v>968</v>
      </c>
      <c r="C28" s="274"/>
      <c r="D28" s="274"/>
      <c r="E28" s="275"/>
      <c r="F28" s="276"/>
      <c r="G28" s="280"/>
      <c r="H28" s="277"/>
      <c r="I28" s="277"/>
      <c r="J28" s="276"/>
      <c r="K28" s="276"/>
      <c r="L28" s="276"/>
      <c r="M28" s="276"/>
    </row>
    <row r="29" spans="2:13" ht="15.75">
      <c r="B29" s="263" t="s">
        <v>503</v>
      </c>
      <c r="C29" s="442"/>
      <c r="D29" s="442"/>
      <c r="E29" s="264"/>
      <c r="F29" s="265"/>
      <c r="G29" s="266"/>
      <c r="H29" s="267"/>
      <c r="I29" s="267"/>
      <c r="J29" s="266"/>
      <c r="K29" s="266"/>
      <c r="L29" s="266"/>
      <c r="M29" s="266"/>
    </row>
    <row r="30" spans="2:13" ht="15.75">
      <c r="B30" s="263"/>
      <c r="C30" s="442"/>
      <c r="D30" s="442"/>
      <c r="E30" s="264"/>
      <c r="F30" s="265"/>
      <c r="G30" s="266"/>
      <c r="H30" s="267"/>
      <c r="I30" s="267"/>
      <c r="J30" s="266"/>
      <c r="K30" s="266"/>
      <c r="L30" s="266"/>
      <c r="M30" s="266"/>
    </row>
    <row r="31" spans="2:13" ht="15.75">
      <c r="B31" s="263"/>
      <c r="C31" s="442"/>
      <c r="D31" s="442"/>
      <c r="E31" s="264"/>
      <c r="F31" s="265"/>
      <c r="G31" s="266"/>
      <c r="H31" s="267"/>
      <c r="I31" s="267"/>
      <c r="J31" s="266"/>
      <c r="K31" s="266"/>
      <c r="L31" s="266"/>
      <c r="M31" s="266"/>
    </row>
    <row r="32" spans="2:13" ht="15.75">
      <c r="B32" s="263"/>
      <c r="C32" s="442"/>
      <c r="D32" s="442"/>
      <c r="E32" s="264"/>
      <c r="F32" s="265"/>
      <c r="G32" s="266"/>
      <c r="H32" s="267"/>
      <c r="I32" s="267"/>
      <c r="J32" s="266"/>
      <c r="K32" s="266"/>
      <c r="L32" s="266"/>
      <c r="M32" s="266"/>
    </row>
    <row r="33" spans="2:13" ht="15.75">
      <c r="B33" s="263"/>
      <c r="C33" s="442"/>
      <c r="D33" s="442"/>
      <c r="E33" s="264"/>
      <c r="F33" s="265"/>
      <c r="G33" s="266"/>
      <c r="H33" s="267"/>
      <c r="I33" s="267"/>
      <c r="J33" s="266"/>
      <c r="K33" s="266"/>
      <c r="L33" s="266"/>
      <c r="M33" s="266"/>
    </row>
    <row r="34" spans="2:13" ht="15.75">
      <c r="B34" s="263"/>
      <c r="C34" s="442"/>
      <c r="D34" s="442"/>
      <c r="E34" s="264"/>
      <c r="F34" s="265"/>
      <c r="G34" s="266"/>
      <c r="H34" s="267"/>
      <c r="I34" s="267"/>
      <c r="J34" s="266"/>
      <c r="K34" s="266"/>
      <c r="L34" s="266"/>
      <c r="M34" s="266"/>
    </row>
    <row r="35" spans="2:29" ht="15.75">
      <c r="B35" s="263"/>
      <c r="C35" s="442"/>
      <c r="D35" s="442"/>
      <c r="E35" s="264"/>
      <c r="F35" s="265"/>
      <c r="G35" s="266"/>
      <c r="H35" s="267"/>
      <c r="I35" s="267"/>
      <c r="J35" s="266"/>
      <c r="K35" s="266"/>
      <c r="L35" s="266"/>
      <c r="M35" s="266"/>
      <c r="N35" s="70"/>
      <c r="O35" s="70"/>
      <c r="P35" s="70"/>
      <c r="Q35" s="70"/>
      <c r="R35" s="70"/>
      <c r="S35" s="70"/>
      <c r="T35" s="70"/>
      <c r="U35" s="70"/>
      <c r="V35" s="70"/>
      <c r="W35" s="70"/>
      <c r="X35" s="70"/>
      <c r="Y35" s="70"/>
      <c r="Z35" s="70"/>
      <c r="AA35" s="70"/>
      <c r="AB35" s="70"/>
      <c r="AC35" s="70"/>
    </row>
    <row r="36" spans="2:13" ht="15.75">
      <c r="B36" s="268" t="s">
        <v>389</v>
      </c>
      <c r="C36" s="268"/>
      <c r="D36" s="268"/>
      <c r="E36" s="278"/>
      <c r="F36" s="271"/>
      <c r="G36" s="279">
        <f>SUM(G29:G35)</f>
        <v>0</v>
      </c>
      <c r="H36" s="271"/>
      <c r="I36" s="271"/>
      <c r="J36" s="279">
        <f>SUM(J29:J35)</f>
        <v>0</v>
      </c>
      <c r="K36" s="279">
        <f>SUM(K29:K35)</f>
        <v>0</v>
      </c>
      <c r="L36" s="279">
        <f>SUM(L29:L35)</f>
        <v>0</v>
      </c>
      <c r="M36" s="279">
        <f>SUM(M29:M35)</f>
        <v>0</v>
      </c>
    </row>
    <row r="37" spans="2:13" ht="15.75">
      <c r="B37" s="268" t="s">
        <v>969</v>
      </c>
      <c r="C37" s="268"/>
      <c r="D37" s="268"/>
      <c r="E37" s="268"/>
      <c r="F37" s="271"/>
      <c r="G37" s="279">
        <f>SUM(G19+G27+G36)</f>
        <v>0</v>
      </c>
      <c r="H37" s="271"/>
      <c r="I37" s="271"/>
      <c r="J37" s="279">
        <f>SUM(J19+J27+J36)</f>
        <v>0</v>
      </c>
      <c r="K37" s="279">
        <f>SUM(K19+K27+K36)</f>
        <v>0</v>
      </c>
      <c r="L37" s="279">
        <f>SUM(L19+L27+L36)</f>
        <v>0</v>
      </c>
      <c r="M37" s="279">
        <f>SUM(M19+M27+M36)</f>
        <v>0</v>
      </c>
    </row>
    <row r="38" spans="2:13" ht="15.75">
      <c r="B38" s="70"/>
      <c r="C38" s="70"/>
      <c r="D38" s="70"/>
      <c r="E38" s="70"/>
      <c r="F38" s="70"/>
      <c r="G38" s="70"/>
      <c r="H38" s="70"/>
      <c r="I38" s="70"/>
      <c r="J38" s="70"/>
      <c r="K38" s="70"/>
      <c r="L38" s="70"/>
      <c r="M38" s="70"/>
    </row>
    <row r="39" spans="6:13" ht="15.75">
      <c r="F39" s="281"/>
      <c r="G39" s="281"/>
      <c r="J39" s="281"/>
      <c r="K39" s="281"/>
      <c r="L39" s="281"/>
      <c r="M39" s="281"/>
    </row>
    <row r="40" spans="6:14" ht="15.75">
      <c r="F40" s="70"/>
      <c r="H40" s="282"/>
      <c r="N40" s="70"/>
    </row>
    <row r="41" spans="2:13" ht="15.75">
      <c r="B41" s="70"/>
      <c r="C41" s="70"/>
      <c r="D41" s="70"/>
      <c r="E41" s="70"/>
      <c r="F41" s="70"/>
      <c r="G41" s="70"/>
      <c r="H41" s="70"/>
      <c r="I41" s="70"/>
      <c r="J41" s="70"/>
      <c r="K41" s="70"/>
      <c r="L41" s="70"/>
      <c r="M41" s="70"/>
    </row>
    <row r="42" spans="2:13" ht="15.75">
      <c r="B42" s="70"/>
      <c r="C42" s="70"/>
      <c r="D42" s="70"/>
      <c r="E42" s="70"/>
      <c r="F42" s="70"/>
      <c r="G42" s="70"/>
      <c r="H42" s="70"/>
      <c r="I42" s="70"/>
      <c r="J42" s="70"/>
      <c r="K42" s="70"/>
      <c r="L42" s="70"/>
      <c r="M42" s="70"/>
    </row>
  </sheetData>
  <sheetProtection/>
  <mergeCells count="3">
    <mergeCell ref="H6:I6"/>
    <mergeCell ref="J6:K6"/>
    <mergeCell ref="L6:M6"/>
  </mergeCells>
  <printOptions/>
  <pageMargins left="0.38" right="0.5" top="0.78" bottom="0.4" header="0.5" footer="0"/>
  <pageSetup blackAndWhite="1" fitToHeight="1" fitToWidth="1" horizontalDpi="120" verticalDpi="120" orientation="landscape" scale="72" r:id="rId1"/>
  <headerFooter alignWithMargins="0">
    <oddHeader>&amp;RState of Kansas
County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48"/>
  <sheetViews>
    <sheetView zoomScale="75" zoomScaleNormal="75" zoomScalePageLayoutView="0" workbookViewId="0" topLeftCell="A1">
      <selection activeCell="E52" sqref="E52"/>
    </sheetView>
  </sheetViews>
  <sheetFormatPr defaultColWidth="8.796875" defaultRowHeight="15"/>
  <cols>
    <col min="1" max="1" width="4.796875" style="70" customWidth="1"/>
    <col min="2" max="2" width="25.796875" style="70" customWidth="1"/>
    <col min="3" max="5" width="9.796875" style="70" customWidth="1"/>
    <col min="6" max="6" width="17.09765625" style="70" customWidth="1"/>
    <col min="7" max="9" width="15.796875" style="70" customWidth="1"/>
    <col min="10" max="16384" width="8.8984375" style="70" customWidth="1"/>
  </cols>
  <sheetData>
    <row r="1" spans="2:9" ht="15.75">
      <c r="B1" s="224" t="str">
        <f>inputPrYr!$C$2</f>
        <v>Gove County</v>
      </c>
      <c r="C1" s="82"/>
      <c r="D1" s="82"/>
      <c r="E1" s="82"/>
      <c r="F1" s="82"/>
      <c r="G1" s="82"/>
      <c r="H1" s="82"/>
      <c r="I1" s="283">
        <f>inputPrYr!C4</f>
        <v>2014</v>
      </c>
    </row>
    <row r="2" spans="2:9" ht="15.75">
      <c r="B2" s="82"/>
      <c r="C2" s="82"/>
      <c r="D2" s="82"/>
      <c r="E2" s="82"/>
      <c r="F2" s="82"/>
      <c r="G2" s="82"/>
      <c r="H2" s="82"/>
      <c r="I2" s="236"/>
    </row>
    <row r="3" spans="2:9" ht="15.75">
      <c r="B3" s="82"/>
      <c r="C3" s="90"/>
      <c r="D3" s="90"/>
      <c r="E3" s="90"/>
      <c r="F3" s="90"/>
      <c r="G3" s="90"/>
      <c r="H3" s="90"/>
      <c r="I3" s="284"/>
    </row>
    <row r="4" spans="2:9" ht="15.75">
      <c r="B4" s="252" t="s">
        <v>981</v>
      </c>
      <c r="C4" s="90"/>
      <c r="D4" s="90"/>
      <c r="E4" s="90"/>
      <c r="F4" s="90"/>
      <c r="G4" s="90"/>
      <c r="H4" s="90"/>
      <c r="I4" s="90"/>
    </row>
    <row r="5" spans="2:9" ht="15.75">
      <c r="B5" s="111"/>
      <c r="C5" s="253"/>
      <c r="D5" s="253"/>
      <c r="E5" s="253"/>
      <c r="F5" s="253"/>
      <c r="G5" s="253"/>
      <c r="H5" s="253"/>
      <c r="I5" s="253"/>
    </row>
    <row r="6" spans="2:9" ht="15.75">
      <c r="B6" s="285"/>
      <c r="C6" s="286"/>
      <c r="D6" s="286"/>
      <c r="E6" s="286"/>
      <c r="F6" s="254" t="s">
        <v>283</v>
      </c>
      <c r="G6" s="286"/>
      <c r="H6" s="286"/>
      <c r="I6" s="286"/>
    </row>
    <row r="7" spans="2:9" ht="15.75">
      <c r="B7" s="285"/>
      <c r="C7" s="257"/>
      <c r="D7" s="257" t="s">
        <v>970</v>
      </c>
      <c r="E7" s="257" t="s">
        <v>971</v>
      </c>
      <c r="F7" s="257" t="s">
        <v>303</v>
      </c>
      <c r="G7" s="257" t="s">
        <v>972</v>
      </c>
      <c r="H7" s="257" t="s">
        <v>973</v>
      </c>
      <c r="I7" s="257" t="s">
        <v>973</v>
      </c>
    </row>
    <row r="8" spans="2:9" ht="15.75">
      <c r="B8" s="620" t="s">
        <v>144</v>
      </c>
      <c r="C8" s="257" t="s">
        <v>974</v>
      </c>
      <c r="D8" s="257" t="s">
        <v>975</v>
      </c>
      <c r="E8" s="257" t="s">
        <v>960</v>
      </c>
      <c r="F8" s="257" t="s">
        <v>976</v>
      </c>
      <c r="G8" s="257" t="s">
        <v>1015</v>
      </c>
      <c r="H8" s="257" t="s">
        <v>977</v>
      </c>
      <c r="I8" s="257" t="s">
        <v>977</v>
      </c>
    </row>
    <row r="9" spans="2:9" ht="15.75">
      <c r="B9" s="609" t="s">
        <v>143</v>
      </c>
      <c r="C9" s="260" t="s">
        <v>957</v>
      </c>
      <c r="D9" s="288" t="s">
        <v>978</v>
      </c>
      <c r="E9" s="260" t="s">
        <v>924</v>
      </c>
      <c r="F9" s="288" t="s">
        <v>1035</v>
      </c>
      <c r="G9" s="289" t="str">
        <f>CONCATENATE("Jan 1,",I1-1,"")</f>
        <v>Jan 1,2013</v>
      </c>
      <c r="H9" s="260">
        <f>I1-1</f>
        <v>2013</v>
      </c>
      <c r="I9" s="260">
        <f>I1</f>
        <v>2014</v>
      </c>
    </row>
    <row r="10" spans="2:9" ht="15.75">
      <c r="B10" s="290" t="s">
        <v>504</v>
      </c>
      <c r="C10" s="441">
        <v>40385</v>
      </c>
      <c r="D10" s="291">
        <v>36</v>
      </c>
      <c r="E10" s="292">
        <v>4.25</v>
      </c>
      <c r="F10" s="109">
        <v>40000</v>
      </c>
      <c r="G10" s="109">
        <v>13894</v>
      </c>
      <c r="H10" s="109">
        <v>14483</v>
      </c>
      <c r="I10" s="109"/>
    </row>
    <row r="11" spans="2:9" ht="15.75">
      <c r="B11" s="290"/>
      <c r="C11" s="290"/>
      <c r="D11" s="291"/>
      <c r="E11" s="292"/>
      <c r="F11" s="109"/>
      <c r="G11" s="109"/>
      <c r="H11" s="109"/>
      <c r="I11" s="109"/>
    </row>
    <row r="12" spans="2:9" ht="15.75">
      <c r="B12" s="290"/>
      <c r="C12" s="441"/>
      <c r="D12" s="291"/>
      <c r="E12" s="292"/>
      <c r="F12" s="109"/>
      <c r="G12" s="109"/>
      <c r="H12" s="109"/>
      <c r="I12" s="109"/>
    </row>
    <row r="13" spans="2:9" ht="15.75">
      <c r="B13" s="290"/>
      <c r="C13" s="290"/>
      <c r="D13" s="291"/>
      <c r="E13" s="292"/>
      <c r="F13" s="109"/>
      <c r="G13" s="109"/>
      <c r="H13" s="109"/>
      <c r="I13" s="109"/>
    </row>
    <row r="14" spans="2:9" ht="15.75">
      <c r="B14" s="290"/>
      <c r="C14" s="290"/>
      <c r="D14" s="291"/>
      <c r="E14" s="292"/>
      <c r="F14" s="109"/>
      <c r="G14" s="109"/>
      <c r="H14" s="109"/>
      <c r="I14" s="109"/>
    </row>
    <row r="15" spans="2:9" ht="15.75">
      <c r="B15" s="290"/>
      <c r="C15" s="290"/>
      <c r="D15" s="291"/>
      <c r="E15" s="292"/>
      <c r="F15" s="109"/>
      <c r="G15" s="109"/>
      <c r="H15" s="109"/>
      <c r="I15" s="109"/>
    </row>
    <row r="16" spans="2:9" ht="15.75">
      <c r="B16" s="290"/>
      <c r="C16" s="290"/>
      <c r="D16" s="291"/>
      <c r="E16" s="292"/>
      <c r="F16" s="109"/>
      <c r="G16" s="109"/>
      <c r="H16" s="109"/>
      <c r="I16" s="109"/>
    </row>
    <row r="17" spans="2:9" ht="15.75">
      <c r="B17" s="290"/>
      <c r="C17" s="290"/>
      <c r="D17" s="291"/>
      <c r="E17" s="292"/>
      <c r="F17" s="109"/>
      <c r="G17" s="109"/>
      <c r="H17" s="109"/>
      <c r="I17" s="109"/>
    </row>
    <row r="18" spans="2:9" ht="15.75">
      <c r="B18" s="290"/>
      <c r="C18" s="290"/>
      <c r="D18" s="291"/>
      <c r="E18" s="292"/>
      <c r="F18" s="109"/>
      <c r="G18" s="109"/>
      <c r="H18" s="109"/>
      <c r="I18" s="109"/>
    </row>
    <row r="19" spans="2:9" ht="15.75">
      <c r="B19" s="290"/>
      <c r="C19" s="290"/>
      <c r="D19" s="291"/>
      <c r="E19" s="292"/>
      <c r="F19" s="109"/>
      <c r="G19" s="109"/>
      <c r="H19" s="109"/>
      <c r="I19" s="109"/>
    </row>
    <row r="20" spans="2:9" ht="15.75">
      <c r="B20" s="290"/>
      <c r="C20" s="290"/>
      <c r="D20" s="291"/>
      <c r="E20" s="292"/>
      <c r="F20" s="109"/>
      <c r="G20" s="109"/>
      <c r="H20" s="109"/>
      <c r="I20" s="109"/>
    </row>
    <row r="21" spans="2:9" ht="15.75">
      <c r="B21" s="290"/>
      <c r="C21" s="290"/>
      <c r="D21" s="291"/>
      <c r="E21" s="292"/>
      <c r="F21" s="109"/>
      <c r="G21" s="109"/>
      <c r="H21" s="109"/>
      <c r="I21" s="109"/>
    </row>
    <row r="22" spans="2:9" ht="15.75">
      <c r="B22" s="290"/>
      <c r="C22" s="290"/>
      <c r="D22" s="291"/>
      <c r="E22" s="292"/>
      <c r="F22" s="109"/>
      <c r="G22" s="109"/>
      <c r="H22" s="109"/>
      <c r="I22" s="109"/>
    </row>
    <row r="23" spans="2:9" ht="15.75">
      <c r="B23" s="290"/>
      <c r="C23" s="290"/>
      <c r="D23" s="291"/>
      <c r="E23" s="292"/>
      <c r="F23" s="109"/>
      <c r="G23" s="109"/>
      <c r="H23" s="109"/>
      <c r="I23" s="109"/>
    </row>
    <row r="24" spans="2:9" ht="15.75">
      <c r="B24" s="290"/>
      <c r="C24" s="290"/>
      <c r="D24" s="291"/>
      <c r="E24" s="292"/>
      <c r="F24" s="109"/>
      <c r="G24" s="109"/>
      <c r="H24" s="109"/>
      <c r="I24" s="109"/>
    </row>
    <row r="25" spans="2:9" ht="15.75">
      <c r="B25" s="290"/>
      <c r="C25" s="290"/>
      <c r="D25" s="291"/>
      <c r="E25" s="292"/>
      <c r="F25" s="109"/>
      <c r="G25" s="109"/>
      <c r="H25" s="109"/>
      <c r="I25" s="109"/>
    </row>
    <row r="26" spans="2:9" ht="15.75">
      <c r="B26" s="290"/>
      <c r="C26" s="290"/>
      <c r="D26" s="291"/>
      <c r="E26" s="292"/>
      <c r="F26" s="109"/>
      <c r="G26" s="109"/>
      <c r="H26" s="109"/>
      <c r="I26" s="109"/>
    </row>
    <row r="27" spans="2:9" ht="15.75">
      <c r="B27" s="290"/>
      <c r="C27" s="290"/>
      <c r="D27" s="291"/>
      <c r="E27" s="292"/>
      <c r="F27" s="109"/>
      <c r="G27" s="109"/>
      <c r="H27" s="109"/>
      <c r="I27" s="109"/>
    </row>
    <row r="28" spans="2:9" ht="15.75">
      <c r="B28" s="290"/>
      <c r="C28" s="290"/>
      <c r="D28" s="291"/>
      <c r="E28" s="292"/>
      <c r="F28" s="109"/>
      <c r="G28" s="109"/>
      <c r="H28" s="109"/>
      <c r="I28" s="109"/>
    </row>
    <row r="29" spans="2:9" ht="15.75">
      <c r="B29" s="290"/>
      <c r="C29" s="290"/>
      <c r="D29" s="291"/>
      <c r="E29" s="292"/>
      <c r="F29" s="109"/>
      <c r="G29" s="109"/>
      <c r="H29" s="109"/>
      <c r="I29" s="109"/>
    </row>
    <row r="30" spans="2:9" ht="15.75">
      <c r="B30" s="290"/>
      <c r="C30" s="290"/>
      <c r="D30" s="291"/>
      <c r="E30" s="292"/>
      <c r="F30" s="109"/>
      <c r="G30" s="109"/>
      <c r="H30" s="109"/>
      <c r="I30" s="109"/>
    </row>
    <row r="31" spans="2:9" ht="15.75">
      <c r="B31" s="290"/>
      <c r="C31" s="290"/>
      <c r="D31" s="291"/>
      <c r="E31" s="292"/>
      <c r="F31" s="109"/>
      <c r="G31" s="109"/>
      <c r="H31" s="109"/>
      <c r="I31" s="109"/>
    </row>
    <row r="32" spans="2:9" ht="15.75">
      <c r="B32" s="290"/>
      <c r="C32" s="290"/>
      <c r="D32" s="291"/>
      <c r="E32" s="292"/>
      <c r="F32" s="109"/>
      <c r="G32" s="109"/>
      <c r="H32" s="109"/>
      <c r="I32" s="109"/>
    </row>
    <row r="33" spans="2:9" ht="15.75">
      <c r="B33" s="290"/>
      <c r="C33" s="290"/>
      <c r="D33" s="291"/>
      <c r="E33" s="292"/>
      <c r="F33" s="109"/>
      <c r="G33" s="109"/>
      <c r="H33" s="109"/>
      <c r="I33" s="109"/>
    </row>
    <row r="34" spans="2:9" ht="15.75">
      <c r="B34" s="290"/>
      <c r="C34" s="290"/>
      <c r="D34" s="291"/>
      <c r="E34" s="292"/>
      <c r="F34" s="109"/>
      <c r="G34" s="109"/>
      <c r="H34" s="109"/>
      <c r="I34" s="109"/>
    </row>
    <row r="35" spans="2:9" ht="15.75">
      <c r="B35" s="290"/>
      <c r="C35" s="290"/>
      <c r="D35" s="291"/>
      <c r="E35" s="292"/>
      <c r="F35" s="109"/>
      <c r="G35" s="109"/>
      <c r="H35" s="109"/>
      <c r="I35" s="109"/>
    </row>
    <row r="36" spans="2:9" ht="15.75">
      <c r="B36" s="290"/>
      <c r="C36" s="290"/>
      <c r="D36" s="291"/>
      <c r="E36" s="292"/>
      <c r="F36" s="109"/>
      <c r="G36" s="109"/>
      <c r="H36" s="109"/>
      <c r="I36" s="109"/>
    </row>
    <row r="37" spans="2:10" ht="16.5" thickBot="1">
      <c r="B37" s="621"/>
      <c r="C37" s="82"/>
      <c r="D37" s="82"/>
      <c r="E37" s="82"/>
      <c r="F37" s="268" t="s">
        <v>310</v>
      </c>
      <c r="G37" s="293">
        <f>SUM(G10:G36)</f>
        <v>13894</v>
      </c>
      <c r="H37" s="293">
        <f>SUM(H10:H36)</f>
        <v>14483</v>
      </c>
      <c r="I37" s="293">
        <f>SUM(I10:I36)</f>
        <v>0</v>
      </c>
      <c r="J37" s="294"/>
    </row>
    <row r="38" spans="2:9" ht="16.5" thickTop="1">
      <c r="B38" s="82"/>
      <c r="C38" s="82"/>
      <c r="D38" s="82"/>
      <c r="E38" s="82"/>
      <c r="F38" s="82"/>
      <c r="G38" s="82"/>
      <c r="H38" s="224"/>
      <c r="I38" s="224"/>
    </row>
    <row r="39" spans="2:9" ht="15.75">
      <c r="B39" s="295" t="s">
        <v>881</v>
      </c>
      <c r="C39" s="296"/>
      <c r="D39" s="296"/>
      <c r="E39" s="296"/>
      <c r="F39" s="296"/>
      <c r="G39" s="296"/>
      <c r="H39" s="224"/>
      <c r="I39" s="224"/>
    </row>
    <row r="40" spans="2:9" ht="15.75">
      <c r="B40" s="140"/>
      <c r="C40" s="140"/>
      <c r="D40" s="282"/>
      <c r="E40" s="140"/>
      <c r="F40" s="140"/>
      <c r="G40" s="140"/>
      <c r="H40" s="281"/>
      <c r="I40" s="281"/>
    </row>
    <row r="41" spans="2:9" ht="15.75">
      <c r="B41" s="140"/>
      <c r="C41" s="140"/>
      <c r="D41" s="140"/>
      <c r="E41" s="140"/>
      <c r="F41" s="140"/>
      <c r="G41" s="140"/>
      <c r="H41" s="140"/>
      <c r="I41" s="140"/>
    </row>
    <row r="42" spans="2:9" ht="15.75">
      <c r="B42" s="140"/>
      <c r="C42" s="140"/>
      <c r="D42" s="140"/>
      <c r="E42" s="140"/>
      <c r="F42" s="140"/>
      <c r="G42" s="140"/>
      <c r="H42" s="140"/>
      <c r="I42" s="140"/>
    </row>
    <row r="43" spans="2:9" ht="15.75">
      <c r="B43" s="140"/>
      <c r="C43" s="140"/>
      <c r="D43" s="140"/>
      <c r="E43" s="140"/>
      <c r="F43" s="140"/>
      <c r="G43" s="140"/>
      <c r="H43" s="140"/>
      <c r="I43" s="140"/>
    </row>
    <row r="44" spans="2:9" ht="15.75">
      <c r="B44" s="140"/>
      <c r="C44" s="140"/>
      <c r="D44" s="140"/>
      <c r="E44" s="140"/>
      <c r="F44" s="140"/>
      <c r="G44" s="140"/>
      <c r="H44" s="140"/>
      <c r="I44" s="140"/>
    </row>
    <row r="45" spans="2:9" ht="15.75">
      <c r="B45" s="140"/>
      <c r="C45" s="140"/>
      <c r="D45" s="140"/>
      <c r="E45" s="140"/>
      <c r="F45" s="140"/>
      <c r="G45" s="140"/>
      <c r="H45" s="140"/>
      <c r="I45" s="140"/>
    </row>
    <row r="46" spans="2:9" ht="15.75">
      <c r="B46" s="140"/>
      <c r="C46" s="140"/>
      <c r="D46" s="140"/>
      <c r="E46" s="140"/>
      <c r="F46" s="140"/>
      <c r="G46" s="140"/>
      <c r="H46" s="140"/>
      <c r="I46" s="140"/>
    </row>
    <row r="47" spans="2:9" ht="15.75">
      <c r="B47" s="140"/>
      <c r="C47" s="140"/>
      <c r="D47" s="140"/>
      <c r="E47" s="140"/>
      <c r="F47" s="140"/>
      <c r="G47" s="140"/>
      <c r="H47" s="140"/>
      <c r="I47" s="140"/>
    </row>
    <row r="48" spans="2:9" ht="15.75">
      <c r="B48" s="140"/>
      <c r="C48" s="140"/>
      <c r="D48" s="140"/>
      <c r="E48" s="140"/>
      <c r="F48" s="140"/>
      <c r="G48" s="140"/>
      <c r="H48" s="140"/>
      <c r="I48" s="140"/>
    </row>
  </sheetData>
  <sheetProtection/>
  <printOptions/>
  <pageMargins left="0.17" right="0.5" top="0.78" bottom="0.4" header="0.5" footer="0"/>
  <pageSetup blackAndWhite="1" fitToHeight="1" fitToWidth="1" horizontalDpi="120" verticalDpi="120" orientation="landscape" scale="82" r:id="rId1"/>
  <headerFooter alignWithMargins="0">
    <oddHeader>&amp;RState of Kansas
County
</oddHeader>
    <oddFooter>&amp;CPage No. 6</oddFooter>
  </headerFooter>
</worksheet>
</file>

<file path=xl/worksheets/sheet13.xml><?xml version="1.0" encoding="utf-8"?>
<worksheet xmlns="http://schemas.openxmlformats.org/spreadsheetml/2006/main" xmlns:r="http://schemas.openxmlformats.org/officeDocument/2006/relationships">
  <dimension ref="B1:K136"/>
  <sheetViews>
    <sheetView zoomScalePageLayoutView="0" workbookViewId="0" topLeftCell="A1">
      <selection activeCell="E52" sqref="E52"/>
    </sheetView>
  </sheetViews>
  <sheetFormatPr defaultColWidth="8.796875" defaultRowHeight="15"/>
  <cols>
    <col min="1" max="1" width="2.3984375" style="70" customWidth="1"/>
    <col min="2" max="2" width="31.09765625" style="70" customWidth="1"/>
    <col min="3" max="4" width="15.796875" style="70" customWidth="1"/>
    <col min="5" max="5" width="16.19921875" style="70" customWidth="1"/>
    <col min="6" max="6" width="7.3984375" style="70" customWidth="1"/>
    <col min="7" max="7" width="10.19921875" style="70" customWidth="1"/>
    <col min="8" max="8" width="8.8984375" style="70" customWidth="1"/>
    <col min="9" max="9" width="5" style="70" customWidth="1"/>
    <col min="10" max="10" width="10" style="70" customWidth="1"/>
    <col min="11" max="16384" width="8.8984375" style="70" customWidth="1"/>
  </cols>
  <sheetData>
    <row r="1" spans="2:5" ht="15.75">
      <c r="B1" s="224" t="str">
        <f>inputPrYr!C2</f>
        <v>Gove County</v>
      </c>
      <c r="C1" s="82"/>
      <c r="D1" s="82"/>
      <c r="E1" s="283">
        <f>inputPrYr!C4</f>
        <v>2014</v>
      </c>
    </row>
    <row r="2" spans="2:5" ht="15.75">
      <c r="B2" s="82"/>
      <c r="C2" s="82"/>
      <c r="D2" s="82"/>
      <c r="E2" s="236"/>
    </row>
    <row r="3" spans="2:5" ht="15.75">
      <c r="B3" s="149" t="s">
        <v>986</v>
      </c>
      <c r="C3" s="82"/>
      <c r="D3" s="82"/>
      <c r="E3" s="297"/>
    </row>
    <row r="4" spans="2:5" ht="15.75">
      <c r="B4" s="298" t="s">
        <v>312</v>
      </c>
      <c r="C4" s="688" t="s">
        <v>172</v>
      </c>
      <c r="D4" s="689" t="s">
        <v>173</v>
      </c>
      <c r="E4" s="211" t="s">
        <v>174</v>
      </c>
    </row>
    <row r="5" spans="2:5" ht="15.75">
      <c r="B5" s="473" t="str">
        <f>inputPrYr!B16</f>
        <v>General</v>
      </c>
      <c r="C5" s="446" t="str">
        <f>CONCATENATE("Actual for ",E1-2,"")</f>
        <v>Actual for 2012</v>
      </c>
      <c r="D5" s="446" t="str">
        <f>CONCATENATE("Estimate for ",E1-1,"")</f>
        <v>Estimate for 2013</v>
      </c>
      <c r="E5" s="299" t="str">
        <f>CONCATENATE("Year for ",E1,"")</f>
        <v>Year for 2014</v>
      </c>
    </row>
    <row r="6" spans="2:5" ht="15.75">
      <c r="B6" s="300" t="s">
        <v>1028</v>
      </c>
      <c r="C6" s="443">
        <v>749113</v>
      </c>
      <c r="D6" s="447">
        <f>C116</f>
        <v>596123</v>
      </c>
      <c r="E6" s="262">
        <f>D116</f>
        <v>761846</v>
      </c>
    </row>
    <row r="7" spans="2:5" ht="15.75">
      <c r="B7" s="287" t="s">
        <v>1030</v>
      </c>
      <c r="C7" s="302"/>
      <c r="D7" s="302"/>
      <c r="E7" s="124"/>
    </row>
    <row r="8" spans="2:5" ht="15.75">
      <c r="B8" s="300" t="s">
        <v>911</v>
      </c>
      <c r="C8" s="443">
        <v>675848</v>
      </c>
      <c r="D8" s="447">
        <f>IF(inputPrYr!H16&gt;0,inputPrYr!H16,inputPrYr!E16)</f>
        <v>1161864</v>
      </c>
      <c r="E8" s="217" t="s">
        <v>299</v>
      </c>
    </row>
    <row r="9" spans="2:5" ht="15.75">
      <c r="B9" s="300" t="s">
        <v>912</v>
      </c>
      <c r="C9" s="443">
        <v>5050</v>
      </c>
      <c r="D9" s="443">
        <v>6315</v>
      </c>
      <c r="E9" s="303">
        <v>4500</v>
      </c>
    </row>
    <row r="10" spans="2:5" ht="15.75">
      <c r="B10" s="300" t="s">
        <v>913</v>
      </c>
      <c r="C10" s="443">
        <v>60355</v>
      </c>
      <c r="D10" s="443">
        <v>60000</v>
      </c>
      <c r="E10" s="262">
        <f>mvalloc!E7</f>
        <v>50055</v>
      </c>
    </row>
    <row r="11" spans="2:5" ht="15.75">
      <c r="B11" s="300" t="s">
        <v>914</v>
      </c>
      <c r="C11" s="443">
        <v>1692</v>
      </c>
      <c r="D11" s="443">
        <v>1580</v>
      </c>
      <c r="E11" s="262">
        <f>mvalloc!F7</f>
        <v>1746</v>
      </c>
    </row>
    <row r="12" spans="2:5" ht="15.75">
      <c r="B12" s="302" t="s">
        <v>1010</v>
      </c>
      <c r="C12" s="443">
        <v>3360</v>
      </c>
      <c r="D12" s="443">
        <v>6000</v>
      </c>
      <c r="E12" s="262">
        <f>mvalloc!G7</f>
        <v>4192</v>
      </c>
    </row>
    <row r="13" spans="2:5" ht="15.75">
      <c r="B13" s="300" t="s">
        <v>1012</v>
      </c>
      <c r="C13" s="443">
        <v>12926</v>
      </c>
      <c r="D13" s="443">
        <v>12144</v>
      </c>
      <c r="E13" s="262">
        <f>inputOth!E11</f>
        <v>11327</v>
      </c>
    </row>
    <row r="14" spans="2:5" ht="15.75">
      <c r="B14" s="304" t="s">
        <v>916</v>
      </c>
      <c r="C14" s="443">
        <v>81444</v>
      </c>
      <c r="D14" s="443">
        <v>50000</v>
      </c>
      <c r="E14" s="303">
        <v>45000</v>
      </c>
    </row>
    <row r="15" spans="2:5" ht="15.75">
      <c r="B15" s="304" t="s">
        <v>505</v>
      </c>
      <c r="C15" s="443">
        <v>349101</v>
      </c>
      <c r="D15" s="443">
        <v>350000</v>
      </c>
      <c r="E15" s="303">
        <v>355000</v>
      </c>
    </row>
    <row r="16" spans="2:5" ht="15.75">
      <c r="B16" s="304" t="s">
        <v>506</v>
      </c>
      <c r="C16" s="443">
        <v>6668</v>
      </c>
      <c r="D16" s="443">
        <v>9454</v>
      </c>
      <c r="E16" s="303">
        <v>7500</v>
      </c>
    </row>
    <row r="17" spans="2:5" ht="15.75">
      <c r="B17" s="305" t="s">
        <v>915</v>
      </c>
      <c r="C17" s="443">
        <v>99</v>
      </c>
      <c r="D17" s="443">
        <v>100</v>
      </c>
      <c r="E17" s="303">
        <v>100</v>
      </c>
    </row>
    <row r="18" spans="2:5" ht="15.75">
      <c r="B18" s="305"/>
      <c r="C18" s="443"/>
      <c r="D18" s="443"/>
      <c r="E18" s="303"/>
    </row>
    <row r="19" spans="2:5" ht="15.75">
      <c r="B19" s="305" t="s">
        <v>507</v>
      </c>
      <c r="C19" s="443"/>
      <c r="D19" s="443"/>
      <c r="E19" s="303"/>
    </row>
    <row r="20" spans="2:5" ht="15.75">
      <c r="B20" s="304" t="s">
        <v>508</v>
      </c>
      <c r="C20" s="443">
        <v>30296</v>
      </c>
      <c r="D20" s="443">
        <v>80000</v>
      </c>
      <c r="E20" s="303">
        <v>60000</v>
      </c>
    </row>
    <row r="21" spans="2:5" ht="15.75">
      <c r="B21" s="304" t="s">
        <v>509</v>
      </c>
      <c r="C21" s="443">
        <v>99513</v>
      </c>
      <c r="D21" s="443">
        <v>87000</v>
      </c>
      <c r="E21" s="303">
        <v>90000</v>
      </c>
    </row>
    <row r="22" spans="2:5" ht="15.75">
      <c r="B22" s="304" t="s">
        <v>510</v>
      </c>
      <c r="C22" s="443">
        <v>3183</v>
      </c>
      <c r="D22" s="443">
        <v>3000</v>
      </c>
      <c r="E22" s="303">
        <v>7000</v>
      </c>
    </row>
    <row r="23" spans="2:5" ht="15.75">
      <c r="B23" s="304" t="s">
        <v>511</v>
      </c>
      <c r="C23" s="443">
        <v>67850</v>
      </c>
      <c r="D23" s="443">
        <v>84000</v>
      </c>
      <c r="E23" s="303">
        <v>99636</v>
      </c>
    </row>
    <row r="24" spans="2:5" ht="15.75">
      <c r="B24" s="304" t="s">
        <v>512</v>
      </c>
      <c r="C24" s="443">
        <v>1506</v>
      </c>
      <c r="D24" s="443">
        <v>2952</v>
      </c>
      <c r="E24" s="303">
        <v>3115</v>
      </c>
    </row>
    <row r="25" spans="2:5" ht="15.75">
      <c r="B25" s="304" t="s">
        <v>513</v>
      </c>
      <c r="C25" s="443"/>
      <c r="D25" s="443"/>
      <c r="E25" s="303"/>
    </row>
    <row r="26" spans="2:5" ht="15.75">
      <c r="B26" s="304"/>
      <c r="C26" s="443"/>
      <c r="D26" s="443"/>
      <c r="E26" s="303"/>
    </row>
    <row r="27" spans="2:5" ht="15.75">
      <c r="B27" s="304" t="s">
        <v>514</v>
      </c>
      <c r="C27" s="443"/>
      <c r="D27" s="443"/>
      <c r="E27" s="303"/>
    </row>
    <row r="28" spans="2:5" ht="15.75">
      <c r="B28" s="304" t="s">
        <v>515</v>
      </c>
      <c r="C28" s="443">
        <v>10368</v>
      </c>
      <c r="D28" s="443">
        <v>9500</v>
      </c>
      <c r="E28" s="303">
        <v>9800</v>
      </c>
    </row>
    <row r="29" spans="2:5" ht="15.75">
      <c r="B29" s="304" t="s">
        <v>516</v>
      </c>
      <c r="C29" s="443"/>
      <c r="D29" s="443"/>
      <c r="E29" s="303"/>
    </row>
    <row r="30" spans="2:5" ht="15.75">
      <c r="B30" s="304"/>
      <c r="C30" s="443"/>
      <c r="D30" s="443"/>
      <c r="E30" s="303"/>
    </row>
    <row r="31" spans="2:5" ht="15.75">
      <c r="B31" s="304" t="s">
        <v>867</v>
      </c>
      <c r="C31" s="443"/>
      <c r="D31" s="443"/>
      <c r="E31" s="303"/>
    </row>
    <row r="32" spans="2:5" ht="15.75">
      <c r="B32" s="304" t="s">
        <v>517</v>
      </c>
      <c r="C32" s="443">
        <v>298</v>
      </c>
      <c r="D32" s="443"/>
      <c r="E32" s="303"/>
    </row>
    <row r="33" spans="2:5" ht="15.75">
      <c r="B33" s="304" t="s">
        <v>518</v>
      </c>
      <c r="C33" s="443"/>
      <c r="D33" s="443"/>
      <c r="E33" s="303"/>
    </row>
    <row r="34" spans="2:5" ht="15.75">
      <c r="B34" s="304"/>
      <c r="C34" s="443"/>
      <c r="D34" s="443"/>
      <c r="E34" s="303"/>
    </row>
    <row r="35" spans="2:5" ht="15.75">
      <c r="B35" s="304" t="s">
        <v>519</v>
      </c>
      <c r="C35" s="443"/>
      <c r="D35" s="443"/>
      <c r="E35" s="303"/>
    </row>
    <row r="36" spans="2:5" ht="15.75">
      <c r="B36" s="304" t="s">
        <v>520</v>
      </c>
      <c r="C36" s="443">
        <v>11770</v>
      </c>
      <c r="D36" s="443">
        <v>12000</v>
      </c>
      <c r="E36" s="303">
        <v>15000</v>
      </c>
    </row>
    <row r="37" spans="2:5" ht="15.75">
      <c r="B37" s="304" t="s">
        <v>521</v>
      </c>
      <c r="C37" s="443">
        <v>20810</v>
      </c>
      <c r="D37" s="443"/>
      <c r="E37" s="303"/>
    </row>
    <row r="38" spans="2:5" ht="15.75">
      <c r="B38" s="304" t="s">
        <v>522</v>
      </c>
      <c r="C38" s="443">
        <v>7542</v>
      </c>
      <c r="D38" s="443"/>
      <c r="E38" s="303"/>
    </row>
    <row r="39" spans="2:5" ht="15.75">
      <c r="B39" s="304"/>
      <c r="C39" s="443"/>
      <c r="D39" s="443"/>
      <c r="E39" s="303"/>
    </row>
    <row r="40" spans="2:5" ht="15.75">
      <c r="B40" s="304"/>
      <c r="C40" s="443"/>
      <c r="D40" s="443"/>
      <c r="E40" s="303"/>
    </row>
    <row r="41" spans="2:5" ht="15.75">
      <c r="B41" s="304"/>
      <c r="C41" s="443"/>
      <c r="D41" s="443"/>
      <c r="E41" s="303"/>
    </row>
    <row r="42" spans="2:5" ht="15.75">
      <c r="B42" s="304"/>
      <c r="C42" s="443"/>
      <c r="D42" s="443"/>
      <c r="E42" s="303"/>
    </row>
    <row r="43" spans="2:5" ht="15.75">
      <c r="B43" s="304"/>
      <c r="C43" s="443"/>
      <c r="D43" s="443"/>
      <c r="E43" s="303"/>
    </row>
    <row r="44" spans="2:5" ht="15.75">
      <c r="B44" s="306" t="s">
        <v>867</v>
      </c>
      <c r="C44" s="443">
        <v>38605</v>
      </c>
      <c r="D44" s="443"/>
      <c r="E44" s="303"/>
    </row>
    <row r="45" spans="2:5" ht="15.75">
      <c r="B45" s="306" t="s">
        <v>808</v>
      </c>
      <c r="C45" s="444">
        <f>IF(C46*0.1&lt;C44,"Exceed 10% Rule","")</f>
      </c>
      <c r="D45" s="444">
        <f>IF(D46*0.1&lt;D44,"Exceed 10% Rule","")</f>
      </c>
      <c r="E45" s="338">
        <f>IF(E46*0.1+E122&lt;E44,"Exceed 10% Rule","")</f>
      </c>
    </row>
    <row r="46" spans="2:5" ht="15.75">
      <c r="B46" s="308" t="s">
        <v>918</v>
      </c>
      <c r="C46" s="445">
        <f>SUM(C8:C44)</f>
        <v>1488284</v>
      </c>
      <c r="D46" s="445">
        <f>SUM(D8:D44)</f>
        <v>1935909</v>
      </c>
      <c r="E46" s="346">
        <f>SUM(E9:E44)</f>
        <v>763971</v>
      </c>
    </row>
    <row r="47" spans="2:5" ht="15.75">
      <c r="B47" s="308" t="s">
        <v>919</v>
      </c>
      <c r="C47" s="445">
        <f>C6+C46</f>
        <v>2237397</v>
      </c>
      <c r="D47" s="445">
        <f>D6+D46</f>
        <v>2532032</v>
      </c>
      <c r="E47" s="346">
        <f>E6+E46</f>
        <v>1525817</v>
      </c>
    </row>
    <row r="48" spans="2:5" ht="15.75">
      <c r="B48" s="82"/>
      <c r="C48" s="224"/>
      <c r="D48" s="224"/>
      <c r="E48" s="224"/>
    </row>
    <row r="49" spans="2:5" ht="15.75">
      <c r="B49" s="82"/>
      <c r="C49" s="224"/>
      <c r="D49" s="224"/>
      <c r="E49" s="224"/>
    </row>
    <row r="50" spans="2:5" ht="15.75">
      <c r="B50" s="82"/>
      <c r="C50" s="224"/>
      <c r="D50" s="224"/>
      <c r="E50" s="224"/>
    </row>
    <row r="51" spans="2:5" ht="15.75">
      <c r="B51" s="82"/>
      <c r="C51" s="224"/>
      <c r="D51" s="224"/>
      <c r="E51" s="224"/>
    </row>
    <row r="52" spans="2:5" ht="15.75">
      <c r="B52" s="82"/>
      <c r="C52" s="224"/>
      <c r="D52" s="224"/>
      <c r="E52" s="224"/>
    </row>
    <row r="53" spans="2:5" ht="15.75">
      <c r="B53" s="82"/>
      <c r="C53" s="224"/>
      <c r="D53" s="224"/>
      <c r="E53" s="224"/>
    </row>
    <row r="54" spans="2:5" ht="15.75">
      <c r="B54" s="82"/>
      <c r="C54" s="224"/>
      <c r="D54" s="224"/>
      <c r="E54" s="224"/>
    </row>
    <row r="55" spans="2:5" ht="15.75">
      <c r="B55" s="82"/>
      <c r="C55" s="224"/>
      <c r="D55" s="224"/>
      <c r="E55" s="224"/>
    </row>
    <row r="56" spans="2:5" ht="15.75">
      <c r="B56" s="82"/>
      <c r="C56" s="224"/>
      <c r="D56" s="224"/>
      <c r="E56" s="224"/>
    </row>
    <row r="57" spans="2:5" ht="15.75">
      <c r="B57" s="82"/>
      <c r="C57" s="224"/>
      <c r="D57" s="224"/>
      <c r="E57" s="224"/>
    </row>
    <row r="58" spans="2:5" ht="15.75">
      <c r="B58" s="82"/>
      <c r="C58" s="224"/>
      <c r="D58" s="224"/>
      <c r="E58" s="224"/>
    </row>
    <row r="59" spans="2:5" ht="15.75">
      <c r="B59" s="82"/>
      <c r="C59" s="224"/>
      <c r="D59" s="224"/>
      <c r="E59" s="224"/>
    </row>
    <row r="60" spans="2:5" ht="15.75">
      <c r="B60" s="82"/>
      <c r="C60" s="224"/>
      <c r="D60" s="224"/>
      <c r="E60" s="224"/>
    </row>
    <row r="61" spans="2:5" ht="15.75">
      <c r="B61" s="82"/>
      <c r="C61" s="224"/>
      <c r="D61" s="224"/>
      <c r="E61" s="224"/>
    </row>
    <row r="62" spans="2:5" ht="15.75">
      <c r="B62" s="82"/>
      <c r="C62" s="224"/>
      <c r="D62" s="224"/>
      <c r="E62" s="224"/>
    </row>
    <row r="63" spans="2:5" ht="15.75">
      <c r="B63" s="790" t="s">
        <v>1038</v>
      </c>
      <c r="C63" s="790"/>
      <c r="D63" s="790"/>
      <c r="E63" s="790"/>
    </row>
    <row r="64" spans="2:5" ht="15.75">
      <c r="B64" s="224" t="str">
        <f>inputPrYr!C2</f>
        <v>Gove County</v>
      </c>
      <c r="C64" s="224"/>
      <c r="D64" s="224"/>
      <c r="E64" s="283">
        <f>inputPrYr!C4</f>
        <v>2014</v>
      </c>
    </row>
    <row r="65" spans="2:5" ht="15.75">
      <c r="B65" s="82"/>
      <c r="C65" s="224"/>
      <c r="D65" s="224"/>
      <c r="E65" s="236"/>
    </row>
    <row r="66" spans="2:5" ht="15.75">
      <c r="B66" s="310" t="s">
        <v>984</v>
      </c>
      <c r="C66" s="311"/>
      <c r="D66" s="311"/>
      <c r="E66" s="311"/>
    </row>
    <row r="67" spans="2:5" ht="15.75">
      <c r="B67" s="82" t="s">
        <v>312</v>
      </c>
      <c r="C67" s="688" t="s">
        <v>172</v>
      </c>
      <c r="D67" s="689" t="s">
        <v>173</v>
      </c>
      <c r="E67" s="211" t="s">
        <v>174</v>
      </c>
    </row>
    <row r="68" spans="2:5" ht="15.75">
      <c r="B68" s="111" t="s">
        <v>920</v>
      </c>
      <c r="C68" s="446" t="str">
        <f>CONCATENATE("Actual for ",E64-2,"")</f>
        <v>Actual for 2012</v>
      </c>
      <c r="D68" s="446" t="str">
        <f>CONCATENATE("Estimate for ",E64-1,"")</f>
        <v>Estimate for 2013</v>
      </c>
      <c r="E68" s="299" t="str">
        <f>CONCATENATE("Year for ",E64,"")</f>
        <v>Year for 2014</v>
      </c>
    </row>
    <row r="69" spans="2:5" ht="15.75">
      <c r="B69" s="308" t="s">
        <v>919</v>
      </c>
      <c r="C69" s="447">
        <f>C47</f>
        <v>2237397</v>
      </c>
      <c r="D69" s="447">
        <f>D47</f>
        <v>2532032</v>
      </c>
      <c r="E69" s="262">
        <f>E47</f>
        <v>1525817</v>
      </c>
    </row>
    <row r="70" spans="2:5" ht="15.75">
      <c r="B70" s="300" t="s">
        <v>921</v>
      </c>
      <c r="C70" s="447"/>
      <c r="D70" s="447"/>
      <c r="E70" s="262"/>
    </row>
    <row r="71" spans="2:5" ht="15.75">
      <c r="B71" s="302" t="str">
        <f>'gen-detail'!A7</f>
        <v>County Commission</v>
      </c>
      <c r="C71" s="447">
        <f>'gen-detail'!B10</f>
        <v>49429</v>
      </c>
      <c r="D71" s="447">
        <f>'gen-detail'!C10</f>
        <v>50200</v>
      </c>
      <c r="E71" s="262">
        <f>'gen-detail'!D10</f>
        <v>60000</v>
      </c>
    </row>
    <row r="72" spans="2:5" ht="15.75">
      <c r="B72" s="302" t="str">
        <f>'gen-detail'!A11</f>
        <v>County Clerk</v>
      </c>
      <c r="C72" s="447">
        <f>'gen-detail'!B16</f>
        <v>67298</v>
      </c>
      <c r="D72" s="447">
        <f>'gen-detail'!C16</f>
        <v>70428</v>
      </c>
      <c r="E72" s="262">
        <f>'gen-detail'!D16</f>
        <v>72300</v>
      </c>
    </row>
    <row r="73" spans="2:5" ht="15.75">
      <c r="B73" s="302" t="str">
        <f>'gen-detail'!A17</f>
        <v>County Treasurer</v>
      </c>
      <c r="C73" s="447">
        <f>'gen-detail'!B22</f>
        <v>103805</v>
      </c>
      <c r="D73" s="447">
        <f>'gen-detail'!C22</f>
        <v>104100</v>
      </c>
      <c r="E73" s="262">
        <f>'gen-detail'!D22</f>
        <v>125150</v>
      </c>
    </row>
    <row r="74" spans="2:5" ht="15.75">
      <c r="B74" s="302" t="str">
        <f>'gen-detail'!A23</f>
        <v>Register of Deeds</v>
      </c>
      <c r="C74" s="447">
        <f>'gen-detail'!B28</f>
        <v>76610</v>
      </c>
      <c r="D74" s="447">
        <f>'gen-detail'!C28</f>
        <v>72200</v>
      </c>
      <c r="E74" s="262">
        <f>'gen-detail'!D28</f>
        <v>80500</v>
      </c>
    </row>
    <row r="75" spans="2:5" ht="15.75">
      <c r="B75" s="302" t="str">
        <f>'gen-detail'!A29</f>
        <v>County Attorney  </v>
      </c>
      <c r="C75" s="447">
        <f>'gen-detail'!B34</f>
        <v>57667</v>
      </c>
      <c r="D75" s="447">
        <f>'gen-detail'!C34</f>
        <v>54576</v>
      </c>
      <c r="E75" s="262">
        <f>'gen-detail'!D34</f>
        <v>61026</v>
      </c>
    </row>
    <row r="76" spans="2:5" ht="15.75">
      <c r="B76" s="302" t="str">
        <f>'gen-detail'!A35</f>
        <v>Sheriff</v>
      </c>
      <c r="C76" s="447">
        <f>'gen-detail'!B41</f>
        <v>392944</v>
      </c>
      <c r="D76" s="447">
        <f>'gen-detail'!C41</f>
        <v>401500</v>
      </c>
      <c r="E76" s="262">
        <f>'gen-detail'!D41</f>
        <v>422000</v>
      </c>
    </row>
    <row r="77" spans="2:5" ht="15.75">
      <c r="B77" s="302" t="str">
        <f>'gen-detail'!A42</f>
        <v>Unified Court</v>
      </c>
      <c r="C77" s="447">
        <f>'gen-detail'!B47</f>
        <v>24619</v>
      </c>
      <c r="D77" s="447">
        <f>'gen-detail'!C47</f>
        <v>32000</v>
      </c>
      <c r="E77" s="262">
        <f>'gen-detail'!D47</f>
        <v>32000</v>
      </c>
    </row>
    <row r="78" spans="2:5" ht="15.75">
      <c r="B78" s="302" t="str">
        <f>'gen-detail'!A48</f>
        <v>Courthouse-General Expense</v>
      </c>
      <c r="C78" s="447">
        <f>'gen-detail'!B54</f>
        <v>274567</v>
      </c>
      <c r="D78" s="447">
        <f>'gen-detail'!C54</f>
        <v>326859</v>
      </c>
      <c r="E78" s="262">
        <f>'gen-detail'!D54</f>
        <v>1003500</v>
      </c>
    </row>
    <row r="79" spans="2:5" ht="15.75">
      <c r="B79" s="302" t="str">
        <f>'gen-detail'!A71</f>
        <v>Landfill</v>
      </c>
      <c r="C79" s="447">
        <f>'gen-detail'!B76</f>
        <v>149732</v>
      </c>
      <c r="D79" s="447">
        <f>'gen-detail'!C76</f>
        <v>140600</v>
      </c>
      <c r="E79" s="262">
        <f>'gen-detail'!D76</f>
        <v>140600</v>
      </c>
    </row>
    <row r="80" spans="2:5" ht="15.75">
      <c r="B80" s="302" t="str">
        <f>'gen-detail'!A77</f>
        <v>County Health</v>
      </c>
      <c r="C80" s="447">
        <f>'gen-detail'!B85</f>
        <v>152005</v>
      </c>
      <c r="D80" s="447">
        <f>'gen-detail'!C85</f>
        <v>181100</v>
      </c>
      <c r="E80" s="262">
        <f>'gen-detail'!D85</f>
        <v>195235</v>
      </c>
    </row>
    <row r="81" spans="2:5" ht="15.75">
      <c r="B81" s="302" t="str">
        <f>'gen-detail'!A86</f>
        <v>Ambulance</v>
      </c>
      <c r="C81" s="447">
        <f>'gen-detail'!B88</f>
        <v>24000</v>
      </c>
      <c r="D81" s="447">
        <f>'gen-detail'!C88</f>
        <v>80000</v>
      </c>
      <c r="E81" s="262">
        <f>'gen-detail'!D88</f>
        <v>80000</v>
      </c>
    </row>
    <row r="82" spans="2:5" ht="15.75">
      <c r="B82" s="302" t="str">
        <f>'gen-detail'!A89</f>
        <v>4-H Building</v>
      </c>
      <c r="C82" s="447">
        <f>'gen-detail'!B91</f>
        <v>9741</v>
      </c>
      <c r="D82" s="447">
        <f>'gen-detail'!C91</f>
        <v>9000</v>
      </c>
      <c r="E82" s="262">
        <f>'gen-detail'!D91</f>
        <v>9000</v>
      </c>
    </row>
    <row r="83" spans="2:5" ht="15.75">
      <c r="B83" s="302" t="str">
        <f>'gen-detail'!A92</f>
        <v>NWKS Planning &amp; Dev.</v>
      </c>
      <c r="C83" s="447">
        <f>'gen-detail'!B94</f>
        <v>6077</v>
      </c>
      <c r="D83" s="447">
        <f>'gen-detail'!C94</f>
        <v>6923</v>
      </c>
      <c r="E83" s="262">
        <f>'gen-detail'!D94</f>
        <v>5856</v>
      </c>
    </row>
    <row r="84" spans="2:5" ht="15.75">
      <c r="B84" s="302" t="str">
        <f>'gen-detail'!A95</f>
        <v>Employee Benefits</v>
      </c>
      <c r="C84" s="447">
        <f>'gen-detail'!B97</f>
        <v>0</v>
      </c>
      <c r="D84" s="447">
        <f>'gen-detail'!C97</f>
        <v>0</v>
      </c>
      <c r="E84" s="262">
        <f>'gen-detail'!D97</f>
        <v>0</v>
      </c>
    </row>
    <row r="85" spans="2:5" ht="15.75">
      <c r="B85" s="302" t="str">
        <f>'gen-detail'!A98</f>
        <v>Appraiser</v>
      </c>
      <c r="C85" s="447">
        <f>'gen-detail'!B103</f>
        <v>143674</v>
      </c>
      <c r="D85" s="447">
        <f>'gen-detail'!C103</f>
        <v>134750</v>
      </c>
      <c r="E85" s="262">
        <f>'gen-detail'!D103</f>
        <v>150000</v>
      </c>
    </row>
    <row r="86" spans="2:5" ht="15.75">
      <c r="B86" s="302" t="str">
        <f>'gen-detail'!A104</f>
        <v>Prisoner Care</v>
      </c>
      <c r="C86" s="447">
        <f>'gen-detail'!B106</f>
        <v>19877</v>
      </c>
      <c r="D86" s="447">
        <f>'gen-detail'!C106</f>
        <v>25000</v>
      </c>
      <c r="E86" s="262">
        <f>'gen-detail'!D106</f>
        <v>40000</v>
      </c>
    </row>
    <row r="87" spans="2:5" ht="15.75">
      <c r="B87" s="302" t="str">
        <f>'gen-detail'!A107</f>
        <v>Emergency Preparedness</v>
      </c>
      <c r="C87" s="447">
        <f>'gen-detail'!B110</f>
        <v>34001</v>
      </c>
      <c r="D87" s="447">
        <f>'gen-detail'!C110</f>
        <v>35000</v>
      </c>
      <c r="E87" s="262">
        <f>'gen-detail'!D110</f>
        <v>35000</v>
      </c>
    </row>
    <row r="88" spans="2:5" ht="15.75">
      <c r="B88" s="302" t="str">
        <f>'gen-detail'!A111</f>
        <v>Juvenile Detention</v>
      </c>
      <c r="C88" s="447">
        <f>'gen-detail'!B113</f>
        <v>290</v>
      </c>
      <c r="D88" s="447">
        <f>'gen-detail'!C113</f>
        <v>2000</v>
      </c>
      <c r="E88" s="262">
        <f>'gen-detail'!D113</f>
        <v>9000</v>
      </c>
    </row>
    <row r="89" spans="2:5" ht="15.75">
      <c r="B89" s="302" t="str">
        <f>'gen-detail'!A114</f>
        <v>Area Agency Aging</v>
      </c>
      <c r="C89" s="447">
        <f>'gen-detail'!B116</f>
        <v>2500</v>
      </c>
      <c r="D89" s="447">
        <f>'gen-detail'!C116</f>
        <v>2500</v>
      </c>
      <c r="E89" s="262">
        <f>'gen-detail'!D116</f>
        <v>2500</v>
      </c>
    </row>
    <row r="90" spans="2:5" ht="15.75">
      <c r="B90" s="302" t="str">
        <f>'gen-detail'!A133</f>
        <v>Election</v>
      </c>
      <c r="C90" s="447">
        <f>'gen-detail'!B137</f>
        <v>21505</v>
      </c>
      <c r="D90" s="447">
        <f>'gen-detail'!C137</f>
        <v>9800</v>
      </c>
      <c r="E90" s="262">
        <f>'gen-detail'!D137</f>
        <v>28150</v>
      </c>
    </row>
    <row r="91" spans="2:5" ht="15.75">
      <c r="B91" s="302" t="str">
        <f>'gen-detail'!A138</f>
        <v>Soil Conservation</v>
      </c>
      <c r="C91" s="447">
        <f>'gen-detail'!B140</f>
        <v>20000</v>
      </c>
      <c r="D91" s="447">
        <f>'gen-detail'!C140</f>
        <v>20000</v>
      </c>
      <c r="E91" s="262">
        <f>'gen-detail'!D140</f>
        <v>20000</v>
      </c>
    </row>
    <row r="92" spans="2:5" ht="15.75">
      <c r="B92" s="302" t="str">
        <f>'gen-detail'!A141</f>
        <v>Senior Companion</v>
      </c>
      <c r="C92" s="447">
        <f>'gen-detail'!B143</f>
        <v>4500</v>
      </c>
      <c r="D92" s="447">
        <f>'gen-detail'!C143</f>
        <v>5000</v>
      </c>
      <c r="E92" s="262">
        <f>'gen-detail'!D143</f>
        <v>5000</v>
      </c>
    </row>
    <row r="93" spans="2:5" ht="15.75">
      <c r="B93" s="302" t="str">
        <f>'gen-detail'!A144</f>
        <v>Domestic/Sexual Violence</v>
      </c>
      <c r="C93" s="447">
        <f>'gen-detail'!B146</f>
        <v>0</v>
      </c>
      <c r="D93" s="447">
        <f>'gen-detail'!C146</f>
        <v>0</v>
      </c>
      <c r="E93" s="262">
        <f>'gen-detail'!D146</f>
        <v>0</v>
      </c>
    </row>
    <row r="94" spans="2:5" ht="15.75">
      <c r="B94" s="302" t="str">
        <f>'gen-detail'!A147</f>
        <v>Healthy Start</v>
      </c>
      <c r="C94" s="447">
        <f>'gen-detail'!B152</f>
        <v>3939</v>
      </c>
      <c r="D94" s="447">
        <f>'gen-detail'!C152</f>
        <v>5050</v>
      </c>
      <c r="E94" s="262">
        <f>'gen-detail'!D152</f>
        <v>4300</v>
      </c>
    </row>
    <row r="95" spans="2:5" ht="15.75">
      <c r="B95" s="302" t="str">
        <f>'gen-detail'!A153</f>
        <v>Options Hays</v>
      </c>
      <c r="C95" s="447">
        <f>'gen-detail'!B155</f>
        <v>500</v>
      </c>
      <c r="D95" s="447">
        <f>'gen-detail'!C155</f>
        <v>500</v>
      </c>
      <c r="E95" s="262">
        <f>'gen-detail'!D155</f>
        <v>500</v>
      </c>
    </row>
    <row r="96" spans="2:5" ht="15.75">
      <c r="B96" s="302" t="str">
        <f>'gen-detail'!A156</f>
        <v>Foster Grandparents</v>
      </c>
      <c r="C96" s="447">
        <f>'gen-detail'!B158</f>
        <v>0</v>
      </c>
      <c r="D96" s="447">
        <f>'gen-detail'!C158</f>
        <v>0</v>
      </c>
      <c r="E96" s="262">
        <f>'gen-detail'!D158</f>
        <v>1000</v>
      </c>
    </row>
    <row r="97" spans="2:5" ht="15.75">
      <c r="B97" s="302" t="str">
        <f>'gen-detail'!A159</f>
        <v>NWKS Environmental Protection</v>
      </c>
      <c r="C97" s="447">
        <f>'gen-detail'!B161</f>
        <v>1994</v>
      </c>
      <c r="D97" s="447">
        <f>'gen-detail'!C161</f>
        <v>1100</v>
      </c>
      <c r="E97" s="262">
        <f>'gen-detail'!D161</f>
        <v>1100</v>
      </c>
    </row>
    <row r="98" spans="2:5" ht="15.75">
      <c r="B98" s="302" t="str">
        <f>'gen-detail'!A162</f>
        <v>Western KS Child Advocacy</v>
      </c>
      <c r="C98" s="447">
        <f>'gen-detail'!B164</f>
        <v>0</v>
      </c>
      <c r="D98" s="447">
        <f>'gen-detail'!C164</f>
        <v>0</v>
      </c>
      <c r="E98" s="262">
        <f>'gen-detail'!D164</f>
        <v>0</v>
      </c>
    </row>
    <row r="99" spans="2:5" ht="15.75">
      <c r="B99" s="302"/>
      <c r="C99" s="447"/>
      <c r="D99" s="447"/>
      <c r="E99" s="262"/>
    </row>
    <row r="100" spans="2:5" ht="15.75">
      <c r="B100" s="302" t="str">
        <f>'gen-detail'!A165</f>
        <v>Transfer to:</v>
      </c>
      <c r="C100" s="447"/>
      <c r="D100" s="447"/>
      <c r="E100" s="262"/>
    </row>
    <row r="101" spans="2:5" ht="15.75">
      <c r="B101" s="302" t="str">
        <f>'gen-detail'!A166</f>
        <v>   </v>
      </c>
      <c r="C101" s="447">
        <f>'gen-detail'!B167</f>
        <v>0</v>
      </c>
      <c r="D101" s="447">
        <f>'gen-detail'!C167</f>
        <v>0</v>
      </c>
      <c r="E101" s="262">
        <f>'gen-detail'!D167</f>
        <v>0</v>
      </c>
    </row>
    <row r="102" spans="2:5" ht="15.75">
      <c r="B102" s="302"/>
      <c r="C102" s="447"/>
      <c r="D102" s="447"/>
      <c r="E102" s="262"/>
    </row>
    <row r="103" spans="2:5" ht="15.75">
      <c r="B103" s="302"/>
      <c r="C103" s="447"/>
      <c r="D103" s="447"/>
      <c r="E103" s="262"/>
    </row>
    <row r="104" spans="2:5" ht="15.75">
      <c r="B104" s="302"/>
      <c r="C104" s="447"/>
      <c r="D104" s="447"/>
      <c r="E104" s="262"/>
    </row>
    <row r="105" spans="2:5" ht="15.75">
      <c r="B105" s="302"/>
      <c r="C105" s="447"/>
      <c r="D105" s="447"/>
      <c r="E105" s="262"/>
    </row>
    <row r="106" spans="2:5" ht="15.75">
      <c r="B106" s="313"/>
      <c r="C106" s="443"/>
      <c r="D106" s="443"/>
      <c r="E106" s="109"/>
    </row>
    <row r="107" spans="2:10" ht="15.75">
      <c r="B107" s="313"/>
      <c r="C107" s="443"/>
      <c r="D107" s="443"/>
      <c r="E107" s="109"/>
      <c r="G107" s="793" t="str">
        <f>CONCATENATE("Desired Carryover Into ",E1+1,"")</f>
        <v>Desired Carryover Into 2015</v>
      </c>
      <c r="H107" s="794"/>
      <c r="I107" s="794"/>
      <c r="J107" s="795"/>
    </row>
    <row r="108" spans="2:10" ht="15.75">
      <c r="B108" s="313"/>
      <c r="C108" s="443"/>
      <c r="D108" s="443"/>
      <c r="E108" s="109"/>
      <c r="G108" s="636"/>
      <c r="H108" s="637"/>
      <c r="I108" s="638"/>
      <c r="J108" s="639"/>
    </row>
    <row r="109" spans="2:10" ht="15.75">
      <c r="B109" s="313"/>
      <c r="C109" s="443"/>
      <c r="D109" s="443"/>
      <c r="E109" s="109"/>
      <c r="G109" s="640" t="s">
        <v>813</v>
      </c>
      <c r="H109" s="638"/>
      <c r="I109" s="638"/>
      <c r="J109" s="641">
        <v>0</v>
      </c>
    </row>
    <row r="110" spans="2:10" ht="15.75">
      <c r="B110" s="313"/>
      <c r="C110" s="443"/>
      <c r="D110" s="443"/>
      <c r="E110" s="109"/>
      <c r="G110" s="636" t="s">
        <v>814</v>
      </c>
      <c r="H110" s="637"/>
      <c r="I110" s="637"/>
      <c r="J110" s="642">
        <f>IF(J109=0,"",ROUND((J109+E122-G122)/inputOth!E6*1000,3)-G127)</f>
      </c>
    </row>
    <row r="111" spans="2:10" ht="15.75">
      <c r="B111" s="313"/>
      <c r="C111" s="443"/>
      <c r="D111" s="443"/>
      <c r="E111" s="109"/>
      <c r="G111" s="643" t="str">
        <f>CONCATENATE("",E1," Tot Exp/Non-Appr Must Be:")</f>
        <v>2014 Tot Exp/Non-Appr Must Be:</v>
      </c>
      <c r="H111" s="644"/>
      <c r="I111" s="645"/>
      <c r="J111" s="646">
        <f>IF(J109&gt;0,IF(E119&lt;E47,IF(J109=G122,E119,((J109-G122)*(1-D121))+E47),E119+(J109-G122)),0)</f>
        <v>0</v>
      </c>
    </row>
    <row r="112" spans="2:10" ht="15.75">
      <c r="B112" s="306" t="s">
        <v>869</v>
      </c>
      <c r="C112" s="443"/>
      <c r="D112" s="443"/>
      <c r="E112" s="117">
        <f>Nhood!$E6</f>
      </c>
      <c r="G112" s="647" t="s">
        <v>170</v>
      </c>
      <c r="H112" s="648"/>
      <c r="I112" s="648"/>
      <c r="J112" s="649">
        <f>IF(J109&gt;0,J111-E119,0)</f>
        <v>0</v>
      </c>
    </row>
    <row r="113" spans="2:5" ht="15.75">
      <c r="B113" s="306" t="s">
        <v>867</v>
      </c>
      <c r="C113" s="443"/>
      <c r="D113" s="443"/>
      <c r="E113" s="109"/>
    </row>
    <row r="114" spans="2:10" ht="15.75">
      <c r="B114" s="306" t="s">
        <v>807</v>
      </c>
      <c r="C114" s="444">
        <f>IF(C115*0.1&lt;C113,"Exceed 10% Rule","")</f>
      </c>
      <c r="D114" s="444">
        <f>IF(D115*0.1&lt;D113,"Exceed 10% Rule","")</f>
      </c>
      <c r="E114" s="338">
        <f>IF(E115*0.1&lt;E113,"Exceed 10% Rule","")</f>
      </c>
      <c r="G114" s="803" t="str">
        <f>CONCATENATE("Projected Carryover Into ",E1+1,"")</f>
        <v>Projected Carryover Into 2015</v>
      </c>
      <c r="H114" s="804"/>
      <c r="I114" s="804"/>
      <c r="J114" s="805"/>
    </row>
    <row r="115" spans="2:10" ht="15.75">
      <c r="B115" s="308" t="s">
        <v>922</v>
      </c>
      <c r="C115" s="445">
        <f>SUM(C71:C113)</f>
        <v>1641274</v>
      </c>
      <c r="D115" s="445">
        <f>SUM(D71:D113)</f>
        <v>1770186</v>
      </c>
      <c r="E115" s="346">
        <f>SUM(E71:E113)</f>
        <v>2583717</v>
      </c>
      <c r="G115" s="505"/>
      <c r="H115" s="504"/>
      <c r="I115" s="504"/>
      <c r="J115" s="506"/>
    </row>
    <row r="116" spans="2:10" ht="15.75">
      <c r="B116" s="145" t="s">
        <v>1029</v>
      </c>
      <c r="C116" s="448">
        <f>C47-C115</f>
        <v>596123</v>
      </c>
      <c r="D116" s="448">
        <f>D47-D115</f>
        <v>761846</v>
      </c>
      <c r="E116" s="217" t="s">
        <v>299</v>
      </c>
      <c r="G116" s="491">
        <f>D116</f>
        <v>761846</v>
      </c>
      <c r="H116" s="489" t="str">
        <f>CONCATENATE("",E1-1," Ending Cash Balance (est.)")</f>
        <v>2013 Ending Cash Balance (est.)</v>
      </c>
      <c r="I116" s="488"/>
      <c r="J116" s="506"/>
    </row>
    <row r="117" spans="2:10" ht="15.75">
      <c r="B117" s="284" t="str">
        <f>CONCATENATE("",E$1-2,"/",E$1-1," Budget Authority Amount:")</f>
        <v>2012/2013 Budget Authority Amount:</v>
      </c>
      <c r="C117" s="276">
        <f>inputOth!$B30</f>
        <v>2081650</v>
      </c>
      <c r="D117" s="276">
        <f>inputPrYr!$D16</f>
        <v>2456879</v>
      </c>
      <c r="E117" s="217" t="s">
        <v>299</v>
      </c>
      <c r="F117" s="315"/>
      <c r="G117" s="491">
        <f>E46</f>
        <v>763971</v>
      </c>
      <c r="H117" s="487" t="str">
        <f>CONCATENATE("",E1," Non-AV Receipts (est.)")</f>
        <v>2014 Non-AV Receipts (est.)</v>
      </c>
      <c r="I117" s="488"/>
      <c r="J117" s="506"/>
    </row>
    <row r="118" spans="2:11" ht="15.75">
      <c r="B118" s="284"/>
      <c r="C118" s="799" t="s">
        <v>810</v>
      </c>
      <c r="D118" s="800"/>
      <c r="E118" s="109"/>
      <c r="F118" s="490">
        <f>IF(E115/0.95-E115&lt;E118,"Exceeds 5%","")</f>
      </c>
      <c r="G118" s="486">
        <f>IF(E121&gt;0,E120,E122)</f>
        <v>1057900</v>
      </c>
      <c r="H118" s="487" t="str">
        <f>CONCATENATE("",E1," Ad Valorem Tax (est.)")</f>
        <v>2014 Ad Valorem Tax (est.)</v>
      </c>
      <c r="I118" s="488"/>
      <c r="J118" s="506"/>
      <c r="K118" s="652" t="str">
        <f>IF(G118=E122,"","Note: Does not include Delinquent Taxes")</f>
        <v>Note: Does not include Delinquent Taxes</v>
      </c>
    </row>
    <row r="119" spans="2:10" ht="15.75">
      <c r="B119" s="494" t="str">
        <f>CONCATENATE(C135,"     ",D135)</f>
        <v>     </v>
      </c>
      <c r="C119" s="801" t="s">
        <v>811</v>
      </c>
      <c r="D119" s="802"/>
      <c r="E119" s="262">
        <f>E115+E118</f>
        <v>2583717</v>
      </c>
      <c r="G119" s="491">
        <f>SUM(G116:G118)</f>
        <v>2583717</v>
      </c>
      <c r="H119" s="487" t="str">
        <f>CONCATENATE("Total ",E1," Resources Available")</f>
        <v>Total 2014 Resources Available</v>
      </c>
      <c r="I119" s="488"/>
      <c r="J119" s="506"/>
    </row>
    <row r="120" spans="2:10" ht="15.75">
      <c r="B120" s="494" t="str">
        <f>CONCATENATE(C136,"     ",D136)</f>
        <v>     </v>
      </c>
      <c r="C120" s="316"/>
      <c r="D120" s="236" t="s">
        <v>923</v>
      </c>
      <c r="E120" s="117">
        <f>IF(E119-E47&gt;0,E119-E47,0)</f>
        <v>1057900</v>
      </c>
      <c r="G120" s="485"/>
      <c r="H120" s="487"/>
      <c r="I120" s="487"/>
      <c r="J120" s="506"/>
    </row>
    <row r="121" spans="2:10" ht="15.75">
      <c r="B121" s="284"/>
      <c r="C121" s="492" t="s">
        <v>812</v>
      </c>
      <c r="D121" s="635">
        <f>inputOth!$E$23</f>
        <v>0.01</v>
      </c>
      <c r="E121" s="262">
        <f>IF(D121&gt;0,(E120*D121),0)</f>
        <v>10579</v>
      </c>
      <c r="G121" s="486">
        <f>C115*0.05+C115</f>
        <v>1723337.7</v>
      </c>
      <c r="H121" s="487" t="str">
        <f>CONCATENATE("Less ",E1-2," Expenditures + 5%")</f>
        <v>Less 2012 Expenditures + 5%</v>
      </c>
      <c r="I121" s="488"/>
      <c r="J121" s="506"/>
    </row>
    <row r="122" spans="2:10" ht="15.75">
      <c r="B122" s="82"/>
      <c r="C122" s="791" t="str">
        <f>CONCATENATE("Amount of  ",$E$1-1," Ad Valorem Tax")</f>
        <v>Amount of  2013 Ad Valorem Tax</v>
      </c>
      <c r="D122" s="792"/>
      <c r="E122" s="342">
        <f>E120+E121</f>
        <v>1068479</v>
      </c>
      <c r="G122" s="484">
        <f>G119-G121</f>
        <v>860379.3</v>
      </c>
      <c r="H122" s="483" t="str">
        <f>CONCATENATE("Projected ",E1," Carryover (est.)")</f>
        <v>Projected 2014 Carryover (est.)</v>
      </c>
      <c r="I122" s="465"/>
      <c r="J122" s="464"/>
    </row>
    <row r="123" spans="2:10" ht="15.75">
      <c r="B123" s="82"/>
      <c r="C123" s="82"/>
      <c r="D123" s="82"/>
      <c r="E123" s="82"/>
      <c r="G123" s="501"/>
      <c r="H123" s="501"/>
      <c r="I123" s="501"/>
      <c r="J123" s="501"/>
    </row>
    <row r="124" spans="2:10" ht="15.75">
      <c r="B124" s="82"/>
      <c r="C124" s="82"/>
      <c r="D124" s="82"/>
      <c r="E124" s="82"/>
      <c r="G124" s="796" t="s">
        <v>171</v>
      </c>
      <c r="H124" s="797"/>
      <c r="I124" s="797"/>
      <c r="J124" s="798"/>
    </row>
    <row r="125" spans="2:10" ht="15.75">
      <c r="B125" s="790" t="s">
        <v>1039</v>
      </c>
      <c r="C125" s="790"/>
      <c r="D125" s="790"/>
      <c r="E125" s="790"/>
      <c r="G125" s="654"/>
      <c r="H125" s="655"/>
      <c r="I125" s="656"/>
      <c r="J125" s="657"/>
    </row>
    <row r="126" spans="7:10" ht="15.75">
      <c r="G126" s="658">
        <f>summ!H16</f>
        <v>18.247</v>
      </c>
      <c r="H126" s="655" t="str">
        <f>CONCATENATE("",E1," Fund Mill Rate")</f>
        <v>2014 Fund Mill Rate</v>
      </c>
      <c r="I126" s="656"/>
      <c r="J126" s="657"/>
    </row>
    <row r="127" spans="7:10" ht="15.75">
      <c r="G127" s="659">
        <f>summ!E16</f>
        <v>16.768</v>
      </c>
      <c r="H127" s="655" t="str">
        <f>CONCATENATE("",E1-1," Fund Mill Rate")</f>
        <v>2013 Fund Mill Rate</v>
      </c>
      <c r="I127" s="656"/>
      <c r="J127" s="657"/>
    </row>
    <row r="128" spans="7:10" ht="15.75">
      <c r="G128" s="660">
        <f>summ!H43</f>
        <v>68.735</v>
      </c>
      <c r="H128" s="655" t="str">
        <f>CONCATENATE("Total ",E1," Mill Rate")</f>
        <v>Total 2014 Mill Rate</v>
      </c>
      <c r="I128" s="656"/>
      <c r="J128" s="657"/>
    </row>
    <row r="129" spans="7:10" ht="15.75">
      <c r="G129" s="659">
        <f>summ!E43</f>
        <v>57.134</v>
      </c>
      <c r="H129" s="661" t="str">
        <f>CONCATENATE("Total ",E1-1," Mill Rate")</f>
        <v>Total 2013 Mill Rate</v>
      </c>
      <c r="I129" s="662"/>
      <c r="J129" s="663"/>
    </row>
    <row r="130" spans="7:10" ht="15.75">
      <c r="G130" s="693"/>
      <c r="H130" s="507"/>
      <c r="I130" s="691"/>
      <c r="J130" s="692"/>
    </row>
    <row r="131" spans="7:9" ht="15.75">
      <c r="G131" s="715" t="s">
        <v>318</v>
      </c>
      <c r="H131" s="714"/>
      <c r="I131" s="713" t="str">
        <f>cert!E51</f>
        <v>Yes</v>
      </c>
    </row>
    <row r="134" ht="15.75" hidden="1"/>
    <row r="135" spans="3:4" ht="15.75" hidden="1">
      <c r="C135" s="70">
        <f>IF(C115&gt;C117,"See Tab A","")</f>
      </c>
      <c r="D135" s="70">
        <f>IF(D115&gt;D117,"See Tab C","")</f>
      </c>
    </row>
    <row r="136" spans="3:4" ht="15.75">
      <c r="C136" s="70">
        <f>IF(C116&lt;0,"See Tab B","")</f>
      </c>
      <c r="D136" s="70">
        <f>IF(D116&lt;0,"See Tab D","")</f>
      </c>
    </row>
  </sheetData>
  <sheetProtection/>
  <mergeCells count="8">
    <mergeCell ref="B63:E63"/>
    <mergeCell ref="B125:E125"/>
    <mergeCell ref="C122:D122"/>
    <mergeCell ref="G107:J107"/>
    <mergeCell ref="G124:J124"/>
    <mergeCell ref="C118:D118"/>
    <mergeCell ref="C119:D119"/>
    <mergeCell ref="G114:J114"/>
  </mergeCells>
  <conditionalFormatting sqref="E113">
    <cfRule type="cellIs" priority="2" dxfId="154" operator="greaterThan" stopIfTrue="1">
      <formula>$E$115*0.1</formula>
    </cfRule>
  </conditionalFormatting>
  <conditionalFormatting sqref="E118">
    <cfRule type="cellIs" priority="3" dxfId="154" operator="greaterThan" stopIfTrue="1">
      <formula>$E$115/0.95-$E$115</formula>
    </cfRule>
  </conditionalFormatting>
  <conditionalFormatting sqref="D113">
    <cfRule type="cellIs" priority="4" dxfId="2" operator="greaterThan" stopIfTrue="1">
      <formula>$D$115*0.1</formula>
    </cfRule>
  </conditionalFormatting>
  <conditionalFormatting sqref="C113">
    <cfRule type="cellIs" priority="5" dxfId="2" operator="greaterThan" stopIfTrue="1">
      <formula>$C$115*0.1</formula>
    </cfRule>
  </conditionalFormatting>
  <conditionalFormatting sqref="C116">
    <cfRule type="cellIs" priority="6" dxfId="2" operator="lessThan" stopIfTrue="1">
      <formula>0</formula>
    </cfRule>
  </conditionalFormatting>
  <conditionalFormatting sqref="D115">
    <cfRule type="cellIs" priority="7" dxfId="2" operator="greaterThan" stopIfTrue="1">
      <formula>$D$117</formula>
    </cfRule>
  </conditionalFormatting>
  <conditionalFormatting sqref="C115">
    <cfRule type="cellIs" priority="8" dxfId="2" operator="greaterThan" stopIfTrue="1">
      <formula>$C$117</formula>
    </cfRule>
  </conditionalFormatting>
  <conditionalFormatting sqref="D44">
    <cfRule type="cellIs" priority="9" dxfId="2" operator="greaterThan" stopIfTrue="1">
      <formula>$D$46*0.1</formula>
    </cfRule>
  </conditionalFormatting>
  <conditionalFormatting sqref="C44">
    <cfRule type="cellIs" priority="10" dxfId="2" operator="greaterThan" stopIfTrue="1">
      <formula>$C$46*0.1</formula>
    </cfRule>
  </conditionalFormatting>
  <conditionalFormatting sqref="E44">
    <cfRule type="cellIs" priority="11" dxfId="154" operator="greaterThan" stopIfTrue="1">
      <formula>$E$46*0.1+E122</formula>
    </cfRule>
  </conditionalFormatting>
  <conditionalFormatting sqref="D116">
    <cfRule type="cellIs" priority="1" dxfId="0" operator="lessThan" stopIfTrue="1">
      <formula>0</formula>
    </cfRule>
  </conditionalFormatting>
  <printOptions/>
  <pageMargins left="0.52" right="0.5" top="0.81" bottom="0.36" header="0.5" footer="0"/>
  <pageSetup blackAndWhite="1" fitToHeight="2" horizontalDpi="120" verticalDpi="120" orientation="portrait" scale="80" r:id="rId1"/>
  <headerFooter alignWithMargins="0">
    <oddHeader>&amp;RState of Kansas
County
</oddHeader>
  </headerFooter>
  <rowBreaks count="1" manualBreakCount="1">
    <brk id="63" max="255" man="1"/>
  </rowBreaks>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D289"/>
  <sheetViews>
    <sheetView zoomScalePageLayoutView="0" workbookViewId="0" topLeftCell="A1">
      <selection activeCell="E52" sqref="E52"/>
    </sheetView>
  </sheetViews>
  <sheetFormatPr defaultColWidth="8.796875" defaultRowHeight="15"/>
  <cols>
    <col min="1" max="1" width="30.796875" style="70" customWidth="1"/>
    <col min="2" max="3" width="15.796875" style="70" customWidth="1"/>
    <col min="4" max="4" width="16.09765625" style="70" customWidth="1"/>
    <col min="5" max="16384" width="8.8984375" style="70" customWidth="1"/>
  </cols>
  <sheetData>
    <row r="1" spans="1:4" ht="15.75">
      <c r="A1" s="224" t="str">
        <f>inputPrYr!C2</f>
        <v>Gove County</v>
      </c>
      <c r="B1" s="82"/>
      <c r="C1" s="298"/>
      <c r="D1" s="82">
        <f>inputPrYr!C4</f>
        <v>2014</v>
      </c>
    </row>
    <row r="2" spans="1:4" ht="15.75">
      <c r="A2" s="82"/>
      <c r="B2" s="82"/>
      <c r="C2" s="82"/>
      <c r="D2" s="298"/>
    </row>
    <row r="3" spans="1:4" ht="15.75">
      <c r="A3" s="149" t="s">
        <v>985</v>
      </c>
      <c r="B3" s="311"/>
      <c r="C3" s="311"/>
      <c r="D3" s="311"/>
    </row>
    <row r="4" spans="1:4" ht="15.75">
      <c r="A4" s="298" t="s">
        <v>312</v>
      </c>
      <c r="B4" s="688" t="s">
        <v>172</v>
      </c>
      <c r="C4" s="689" t="s">
        <v>173</v>
      </c>
      <c r="D4" s="211" t="s">
        <v>174</v>
      </c>
    </row>
    <row r="5" spans="1:4" ht="15.75">
      <c r="A5" s="471" t="s">
        <v>809</v>
      </c>
      <c r="B5" s="446" t="str">
        <f>CONCATENATE("Actual for ",D1-2,"")</f>
        <v>Actual for 2012</v>
      </c>
      <c r="C5" s="446" t="str">
        <f>CONCATENATE("Estimate for ",D1-1,"")</f>
        <v>Estimate for 2013</v>
      </c>
      <c r="D5" s="299" t="str">
        <f>CONCATENATE("Year for ",D1,"")</f>
        <v>Year for 2014</v>
      </c>
    </row>
    <row r="6" spans="1:4" ht="15.75">
      <c r="A6" s="259" t="s">
        <v>921</v>
      </c>
      <c r="B6" s="124"/>
      <c r="C6" s="124"/>
      <c r="D6" s="124"/>
    </row>
    <row r="7" spans="1:4" ht="15.75">
      <c r="A7" s="319" t="s">
        <v>931</v>
      </c>
      <c r="B7" s="124"/>
      <c r="C7" s="124"/>
      <c r="D7" s="124"/>
    </row>
    <row r="8" spans="1:4" ht="15.75">
      <c r="A8" s="107" t="s">
        <v>926</v>
      </c>
      <c r="B8" s="303">
        <v>41712</v>
      </c>
      <c r="C8" s="303">
        <v>41000</v>
      </c>
      <c r="D8" s="303">
        <v>41000</v>
      </c>
    </row>
    <row r="9" spans="1:4" ht="15.75">
      <c r="A9" s="107" t="s">
        <v>927</v>
      </c>
      <c r="B9" s="303">
        <v>7717</v>
      </c>
      <c r="C9" s="303">
        <v>9200</v>
      </c>
      <c r="D9" s="303">
        <v>19000</v>
      </c>
    </row>
    <row r="10" spans="1:4" ht="15.75">
      <c r="A10" s="298" t="s">
        <v>283</v>
      </c>
      <c r="B10" s="320">
        <f>SUM(B8:B9)</f>
        <v>49429</v>
      </c>
      <c r="C10" s="320">
        <f>SUM(C8:C9)</f>
        <v>50200</v>
      </c>
      <c r="D10" s="320">
        <f>SUM(D8:D9)</f>
        <v>60000</v>
      </c>
    </row>
    <row r="11" spans="1:4" ht="15.75">
      <c r="A11" s="319" t="s">
        <v>302</v>
      </c>
      <c r="B11" s="124"/>
      <c r="C11" s="124"/>
      <c r="D11" s="124"/>
    </row>
    <row r="12" spans="1:4" ht="15.75">
      <c r="A12" s="107" t="s">
        <v>926</v>
      </c>
      <c r="B12" s="303">
        <v>64491</v>
      </c>
      <c r="C12" s="303">
        <v>62000</v>
      </c>
      <c r="D12" s="303">
        <v>62000</v>
      </c>
    </row>
    <row r="13" spans="1:4" ht="15.75">
      <c r="A13" s="107" t="s">
        <v>927</v>
      </c>
      <c r="B13" s="303">
        <v>2081</v>
      </c>
      <c r="C13" s="303">
        <v>3500</v>
      </c>
      <c r="D13" s="303">
        <v>5000</v>
      </c>
    </row>
    <row r="14" spans="1:4" ht="15.75">
      <c r="A14" s="107" t="s">
        <v>928</v>
      </c>
      <c r="B14" s="720">
        <v>326</v>
      </c>
      <c r="C14" s="720">
        <v>800</v>
      </c>
      <c r="D14" s="720">
        <v>800</v>
      </c>
    </row>
    <row r="15" spans="1:4" ht="15.75">
      <c r="A15" s="107" t="s">
        <v>929</v>
      </c>
      <c r="B15" s="720">
        <v>400</v>
      </c>
      <c r="C15" s="720">
        <v>4128</v>
      </c>
      <c r="D15" s="720">
        <v>4500</v>
      </c>
    </row>
    <row r="16" spans="1:4" ht="15.75">
      <c r="A16" s="298" t="s">
        <v>283</v>
      </c>
      <c r="B16" s="320">
        <f>SUM(B12:B15)</f>
        <v>67298</v>
      </c>
      <c r="C16" s="320">
        <f>SUM(C12:C15)</f>
        <v>70428</v>
      </c>
      <c r="D16" s="320">
        <f>SUM(D12:D15)</f>
        <v>72300</v>
      </c>
    </row>
    <row r="17" spans="1:4" ht="15.75">
      <c r="A17" s="319" t="s">
        <v>932</v>
      </c>
      <c r="B17" s="124"/>
      <c r="C17" s="124"/>
      <c r="D17" s="124"/>
    </row>
    <row r="18" spans="1:4" ht="15.75">
      <c r="A18" s="107" t="s">
        <v>926</v>
      </c>
      <c r="B18" s="303">
        <v>89913</v>
      </c>
      <c r="C18" s="303">
        <v>96500</v>
      </c>
      <c r="D18" s="303">
        <v>116000</v>
      </c>
    </row>
    <row r="19" spans="1:4" ht="15.75">
      <c r="A19" s="107" t="s">
        <v>927</v>
      </c>
      <c r="B19" s="303">
        <v>12499</v>
      </c>
      <c r="C19" s="303">
        <v>5900</v>
      </c>
      <c r="D19" s="303">
        <v>5900</v>
      </c>
    </row>
    <row r="20" spans="1:4" ht="15.75">
      <c r="A20" s="107" t="s">
        <v>928</v>
      </c>
      <c r="B20" s="303">
        <v>1288</v>
      </c>
      <c r="C20" s="303">
        <v>1500</v>
      </c>
      <c r="D20" s="303">
        <v>2000</v>
      </c>
    </row>
    <row r="21" spans="1:4" ht="15.75">
      <c r="A21" s="107" t="s">
        <v>929</v>
      </c>
      <c r="B21" s="303">
        <v>105</v>
      </c>
      <c r="C21" s="303">
        <v>200</v>
      </c>
      <c r="D21" s="303">
        <v>1250</v>
      </c>
    </row>
    <row r="22" spans="1:4" ht="15.75">
      <c r="A22" s="298" t="s">
        <v>283</v>
      </c>
      <c r="B22" s="320">
        <f>SUM(B18:B21)</f>
        <v>103805</v>
      </c>
      <c r="C22" s="320">
        <f>SUM(C18:C21)</f>
        <v>104100</v>
      </c>
      <c r="D22" s="320">
        <f>SUM(D18:D21)</f>
        <v>125150</v>
      </c>
    </row>
    <row r="23" spans="1:4" ht="15.75">
      <c r="A23" s="319" t="s">
        <v>935</v>
      </c>
      <c r="B23" s="124"/>
      <c r="C23" s="124"/>
      <c r="D23" s="124"/>
    </row>
    <row r="24" spans="1:4" ht="15.75">
      <c r="A24" s="107" t="s">
        <v>926</v>
      </c>
      <c r="B24" s="303">
        <v>63161</v>
      </c>
      <c r="C24" s="303">
        <v>60000</v>
      </c>
      <c r="D24" s="303">
        <v>64000</v>
      </c>
    </row>
    <row r="25" spans="1:4" ht="15.75">
      <c r="A25" s="107" t="s">
        <v>927</v>
      </c>
      <c r="B25" s="303">
        <v>12609</v>
      </c>
      <c r="C25" s="303">
        <v>10500</v>
      </c>
      <c r="D25" s="303">
        <v>14500</v>
      </c>
    </row>
    <row r="26" spans="1:4" ht="15.75">
      <c r="A26" s="107" t="s">
        <v>928</v>
      </c>
      <c r="B26" s="303">
        <v>458</v>
      </c>
      <c r="C26" s="303">
        <v>1200</v>
      </c>
      <c r="D26" s="303">
        <v>1500</v>
      </c>
    </row>
    <row r="27" spans="1:4" ht="15.75">
      <c r="A27" s="107" t="s">
        <v>929</v>
      </c>
      <c r="B27" s="303">
        <v>382</v>
      </c>
      <c r="C27" s="303">
        <v>500</v>
      </c>
      <c r="D27" s="303">
        <v>500</v>
      </c>
    </row>
    <row r="28" spans="1:4" ht="15.75">
      <c r="A28" s="298" t="s">
        <v>283</v>
      </c>
      <c r="B28" s="320">
        <f>SUM(B24:B27)</f>
        <v>76610</v>
      </c>
      <c r="C28" s="320">
        <f>SUM(C24:C27)</f>
        <v>72200</v>
      </c>
      <c r="D28" s="320">
        <f>SUM(D24:D27)</f>
        <v>80500</v>
      </c>
    </row>
    <row r="29" spans="1:4" ht="15.75">
      <c r="A29" s="319" t="s">
        <v>523</v>
      </c>
      <c r="B29" s="124"/>
      <c r="C29" s="124"/>
      <c r="D29" s="124"/>
    </row>
    <row r="30" spans="1:4" ht="15.75">
      <c r="A30" s="107" t="s">
        <v>926</v>
      </c>
      <c r="B30" s="303">
        <v>55755</v>
      </c>
      <c r="C30" s="303">
        <v>50026</v>
      </c>
      <c r="D30" s="303">
        <v>50026</v>
      </c>
    </row>
    <row r="31" spans="1:4" ht="15.75">
      <c r="A31" s="107" t="s">
        <v>927</v>
      </c>
      <c r="B31" s="303">
        <v>1608</v>
      </c>
      <c r="C31" s="303">
        <v>3500</v>
      </c>
      <c r="D31" s="303">
        <v>7800</v>
      </c>
    </row>
    <row r="32" spans="1:4" ht="15.75">
      <c r="A32" s="107" t="s">
        <v>928</v>
      </c>
      <c r="B32" s="303">
        <v>229</v>
      </c>
      <c r="C32" s="303">
        <v>300</v>
      </c>
      <c r="D32" s="303">
        <v>1350</v>
      </c>
    </row>
    <row r="33" spans="1:4" ht="15.75">
      <c r="A33" s="305" t="s">
        <v>929</v>
      </c>
      <c r="B33" s="303">
        <v>75</v>
      </c>
      <c r="C33" s="303">
        <v>750</v>
      </c>
      <c r="D33" s="303">
        <v>1850</v>
      </c>
    </row>
    <row r="34" spans="1:4" ht="15.75">
      <c r="A34" s="298" t="s">
        <v>283</v>
      </c>
      <c r="B34" s="320">
        <f>SUM(B30:B33)</f>
        <v>57667</v>
      </c>
      <c r="C34" s="320">
        <f>SUM(C30:C33)</f>
        <v>54576</v>
      </c>
      <c r="D34" s="320">
        <f>SUM(D30:D33)</f>
        <v>61026</v>
      </c>
    </row>
    <row r="35" spans="1:4" ht="15.75">
      <c r="A35" s="319" t="s">
        <v>524</v>
      </c>
      <c r="B35" s="124"/>
      <c r="C35" s="124"/>
      <c r="D35" s="124"/>
    </row>
    <row r="36" spans="1:4" ht="15.75">
      <c r="A36" s="107" t="s">
        <v>926</v>
      </c>
      <c r="B36" s="303">
        <v>202026</v>
      </c>
      <c r="C36" s="303">
        <v>200000</v>
      </c>
      <c r="D36" s="303">
        <v>200000</v>
      </c>
    </row>
    <row r="37" spans="1:4" ht="15.75">
      <c r="A37" s="107" t="s">
        <v>927</v>
      </c>
      <c r="B37" s="303">
        <v>89462</v>
      </c>
      <c r="C37" s="303">
        <v>93000</v>
      </c>
      <c r="D37" s="303">
        <v>95600</v>
      </c>
    </row>
    <row r="38" spans="1:4" ht="15.75">
      <c r="A38" s="107" t="s">
        <v>928</v>
      </c>
      <c r="B38" s="303">
        <v>55235</v>
      </c>
      <c r="C38" s="303">
        <v>59000</v>
      </c>
      <c r="D38" s="303">
        <v>59400</v>
      </c>
    </row>
    <row r="39" spans="1:4" ht="15.75">
      <c r="A39" s="107" t="s">
        <v>929</v>
      </c>
      <c r="B39" s="303">
        <v>39754</v>
      </c>
      <c r="C39" s="303">
        <v>42000</v>
      </c>
      <c r="D39" s="303">
        <v>44500</v>
      </c>
    </row>
    <row r="40" spans="1:4" ht="15.75">
      <c r="A40" s="107" t="s">
        <v>525</v>
      </c>
      <c r="B40" s="303">
        <v>6467</v>
      </c>
      <c r="C40" s="303">
        <v>7500</v>
      </c>
      <c r="D40" s="303">
        <v>22500</v>
      </c>
    </row>
    <row r="41" spans="1:4" ht="15.75">
      <c r="A41" s="298" t="s">
        <v>283</v>
      </c>
      <c r="B41" s="320">
        <f>SUM(B36:B40)</f>
        <v>392944</v>
      </c>
      <c r="C41" s="320">
        <f>SUM(C36:C40)</f>
        <v>401500</v>
      </c>
      <c r="D41" s="320">
        <f>SUM(D36:D40)</f>
        <v>422000</v>
      </c>
    </row>
    <row r="42" spans="1:4" ht="15.75">
      <c r="A42" s="319" t="s">
        <v>526</v>
      </c>
      <c r="B42" s="124"/>
      <c r="C42" s="124"/>
      <c r="D42" s="124"/>
    </row>
    <row r="43" spans="1:4" ht="15.75">
      <c r="A43" s="107" t="s">
        <v>927</v>
      </c>
      <c r="B43" s="303">
        <v>16319</v>
      </c>
      <c r="C43" s="303">
        <v>18800</v>
      </c>
      <c r="D43" s="303">
        <v>27200</v>
      </c>
    </row>
    <row r="44" spans="1:4" ht="15.75">
      <c r="A44" s="107" t="s">
        <v>928</v>
      </c>
      <c r="B44" s="303">
        <v>6303</v>
      </c>
      <c r="C44" s="303">
        <v>2500</v>
      </c>
      <c r="D44" s="303">
        <v>1800</v>
      </c>
    </row>
    <row r="45" spans="1:4" ht="15.75">
      <c r="A45" s="107" t="s">
        <v>929</v>
      </c>
      <c r="B45" s="303">
        <v>1649</v>
      </c>
      <c r="C45" s="303">
        <v>10000</v>
      </c>
      <c r="D45" s="303">
        <v>2000</v>
      </c>
    </row>
    <row r="46" spans="1:4" ht="15.75">
      <c r="A46" s="107" t="s">
        <v>527</v>
      </c>
      <c r="B46" s="303">
        <v>348</v>
      </c>
      <c r="C46" s="303">
        <v>700</v>
      </c>
      <c r="D46" s="303">
        <v>1000</v>
      </c>
    </row>
    <row r="47" spans="1:4" ht="15.75">
      <c r="A47" s="298" t="s">
        <v>283</v>
      </c>
      <c r="B47" s="320">
        <f>SUM(B43:B46)</f>
        <v>24619</v>
      </c>
      <c r="C47" s="320">
        <f>SUM(C43:C46)</f>
        <v>32000</v>
      </c>
      <c r="D47" s="320">
        <f>SUM(D43:D46)</f>
        <v>32000</v>
      </c>
    </row>
    <row r="48" spans="1:4" ht="15.75">
      <c r="A48" s="319" t="s">
        <v>528</v>
      </c>
      <c r="B48" s="124"/>
      <c r="C48" s="124"/>
      <c r="D48" s="124"/>
    </row>
    <row r="49" spans="1:4" ht="15.75">
      <c r="A49" s="107" t="s">
        <v>926</v>
      </c>
      <c r="B49" s="303">
        <v>41888</v>
      </c>
      <c r="C49" s="303">
        <v>38500</v>
      </c>
      <c r="D49" s="303">
        <v>38500</v>
      </c>
    </row>
    <row r="50" spans="1:4" ht="15.75">
      <c r="A50" s="107" t="s">
        <v>927</v>
      </c>
      <c r="B50" s="303">
        <v>183379</v>
      </c>
      <c r="C50" s="303">
        <v>197486</v>
      </c>
      <c r="D50" s="303">
        <v>243000</v>
      </c>
    </row>
    <row r="51" spans="1:4" ht="15.75">
      <c r="A51" s="107" t="s">
        <v>928</v>
      </c>
      <c r="B51" s="303">
        <v>15224</v>
      </c>
      <c r="C51" s="303">
        <v>35298</v>
      </c>
      <c r="D51" s="303">
        <v>45000</v>
      </c>
    </row>
    <row r="52" spans="1:4" ht="15.75">
      <c r="A52" s="107" t="s">
        <v>929</v>
      </c>
      <c r="B52" s="303">
        <v>33676</v>
      </c>
      <c r="C52" s="303">
        <v>55000</v>
      </c>
      <c r="D52" s="303">
        <v>675000</v>
      </c>
    </row>
    <row r="53" spans="1:4" ht="15.75">
      <c r="A53" s="107" t="s">
        <v>529</v>
      </c>
      <c r="B53" s="303">
        <v>400</v>
      </c>
      <c r="C53" s="303">
        <v>575</v>
      </c>
      <c r="D53" s="303">
        <v>2000</v>
      </c>
    </row>
    <row r="54" spans="1:4" ht="15.75">
      <c r="A54" s="298" t="s">
        <v>283</v>
      </c>
      <c r="B54" s="314">
        <f>SUM(B49:B53)</f>
        <v>274567</v>
      </c>
      <c r="C54" s="314">
        <f>SUM(C49:C53)</f>
        <v>326859</v>
      </c>
      <c r="D54" s="314">
        <f>SUM(D49:D53)</f>
        <v>1003500</v>
      </c>
    </row>
    <row r="55" spans="1:4" ht="15.75">
      <c r="A55" s="82"/>
      <c r="B55" s="124"/>
      <c r="C55" s="124"/>
      <c r="D55" s="124"/>
    </row>
    <row r="56" spans="1:4" ht="15.75">
      <c r="A56" s="298" t="s">
        <v>354</v>
      </c>
      <c r="B56" s="309">
        <f>B10+B16+B22+B28+B34+B41+B47+B54</f>
        <v>1046939</v>
      </c>
      <c r="C56" s="309">
        <f>C10+C16+C22+C28+C34+C41+C47+C54</f>
        <v>1111863</v>
      </c>
      <c r="D56" s="309">
        <f>D10+D16+D22+D28+D34+D41+D47+D54</f>
        <v>1856476</v>
      </c>
    </row>
    <row r="57" spans="1:4" ht="15.75">
      <c r="A57" s="82"/>
      <c r="B57" s="224"/>
      <c r="C57" s="224"/>
      <c r="D57" s="224"/>
    </row>
    <row r="58" spans="1:4" ht="15.75">
      <c r="A58" s="82"/>
      <c r="B58" s="224"/>
      <c r="C58" s="224"/>
      <c r="D58" s="224"/>
    </row>
    <row r="59" spans="1:4" ht="15.75">
      <c r="A59" s="82"/>
      <c r="B59" s="224"/>
      <c r="C59" s="224"/>
      <c r="D59" s="224"/>
    </row>
    <row r="60" spans="1:4" ht="15.75">
      <c r="A60" s="82"/>
      <c r="B60" s="224"/>
      <c r="C60" s="224"/>
      <c r="D60" s="224"/>
    </row>
    <row r="61" spans="1:4" ht="15.75">
      <c r="A61" s="82"/>
      <c r="B61" s="224"/>
      <c r="C61" s="224"/>
      <c r="D61" s="224"/>
    </row>
    <row r="62" spans="1:4" ht="15.75">
      <c r="A62" s="82"/>
      <c r="B62" s="224"/>
      <c r="C62" s="224"/>
      <c r="D62" s="224"/>
    </row>
    <row r="63" spans="1:4" ht="15.75">
      <c r="A63" s="806" t="s">
        <v>1040</v>
      </c>
      <c r="B63" s="806"/>
      <c r="C63" s="806"/>
      <c r="D63" s="806"/>
    </row>
    <row r="64" spans="1:4" ht="15.75">
      <c r="A64" s="82"/>
      <c r="B64" s="224"/>
      <c r="C64" s="224"/>
      <c r="D64" s="224"/>
    </row>
    <row r="65" spans="1:4" ht="15.75">
      <c r="A65" s="224" t="str">
        <f>inputPrYr!C2</f>
        <v>Gove County</v>
      </c>
      <c r="B65" s="224"/>
      <c r="C65" s="81"/>
      <c r="D65" s="321">
        <f>D1</f>
        <v>2014</v>
      </c>
    </row>
    <row r="66" spans="1:4" ht="15.75">
      <c r="A66" s="82"/>
      <c r="B66" s="224"/>
      <c r="C66" s="224"/>
      <c r="D66" s="81"/>
    </row>
    <row r="67" spans="1:4" ht="15.75">
      <c r="A67" s="310" t="s">
        <v>984</v>
      </c>
      <c r="B67" s="322"/>
      <c r="C67" s="322"/>
      <c r="D67" s="322"/>
    </row>
    <row r="68" spans="1:4" ht="15.75">
      <c r="A68" s="82" t="s">
        <v>312</v>
      </c>
      <c r="B68" s="318" t="str">
        <f aca="true" t="shared" si="0" ref="B68:D69">B4</f>
        <v>Prior Year </v>
      </c>
      <c r="C68" s="211" t="str">
        <f t="shared" si="0"/>
        <v>Current Year </v>
      </c>
      <c r="D68" s="211" t="str">
        <f t="shared" si="0"/>
        <v>Proposed Budget </v>
      </c>
    </row>
    <row r="69" spans="1:4" ht="15.75">
      <c r="A69" s="111" t="s">
        <v>925</v>
      </c>
      <c r="B69" s="312" t="str">
        <f t="shared" si="0"/>
        <v>Actual for 2012</v>
      </c>
      <c r="C69" s="312" t="str">
        <f t="shared" si="0"/>
        <v>Estimate for 2013</v>
      </c>
      <c r="D69" s="312" t="str">
        <f t="shared" si="0"/>
        <v>Year for 2014</v>
      </c>
    </row>
    <row r="70" spans="1:4" ht="15.75">
      <c r="A70" s="259" t="s">
        <v>921</v>
      </c>
      <c r="B70" s="124"/>
      <c r="C70" s="124"/>
      <c r="D70" s="124"/>
    </row>
    <row r="71" spans="1:4" ht="15.75">
      <c r="A71" s="319" t="s">
        <v>530</v>
      </c>
      <c r="B71" s="124"/>
      <c r="C71" s="124"/>
      <c r="D71" s="124"/>
    </row>
    <row r="72" spans="1:4" ht="15.75">
      <c r="A72" s="107" t="s">
        <v>926</v>
      </c>
      <c r="B72" s="303">
        <v>81859</v>
      </c>
      <c r="C72" s="303">
        <v>73100</v>
      </c>
      <c r="D72" s="303">
        <v>73100</v>
      </c>
    </row>
    <row r="73" spans="1:4" ht="15.75">
      <c r="A73" s="107" t="s">
        <v>927</v>
      </c>
      <c r="B73" s="303">
        <v>38546</v>
      </c>
      <c r="C73" s="303">
        <v>36000</v>
      </c>
      <c r="D73" s="303">
        <v>36000</v>
      </c>
    </row>
    <row r="74" spans="1:4" ht="15.75">
      <c r="A74" s="107" t="s">
        <v>928</v>
      </c>
      <c r="B74" s="303">
        <v>28977</v>
      </c>
      <c r="C74" s="303">
        <v>30000</v>
      </c>
      <c r="D74" s="303">
        <v>30000</v>
      </c>
    </row>
    <row r="75" spans="1:4" ht="15.75">
      <c r="A75" s="107" t="s">
        <v>929</v>
      </c>
      <c r="B75" s="303">
        <v>350</v>
      </c>
      <c r="C75" s="303">
        <v>1500</v>
      </c>
      <c r="D75" s="303">
        <v>1500</v>
      </c>
    </row>
    <row r="76" spans="1:4" ht="15.75">
      <c r="A76" s="323" t="s">
        <v>283</v>
      </c>
      <c r="B76" s="320">
        <f>SUM(B72:B75)</f>
        <v>149732</v>
      </c>
      <c r="C76" s="320">
        <f>SUM(C72:C75)</f>
        <v>140600</v>
      </c>
      <c r="D76" s="320">
        <f>SUM(D72:D75)</f>
        <v>140600</v>
      </c>
    </row>
    <row r="77" spans="1:4" ht="15.75">
      <c r="A77" s="319" t="s">
        <v>531</v>
      </c>
      <c r="B77" s="124"/>
      <c r="C77" s="124"/>
      <c r="D77" s="124"/>
    </row>
    <row r="78" spans="1:4" ht="15.75">
      <c r="A78" s="107" t="s">
        <v>926</v>
      </c>
      <c r="B78" s="303">
        <v>68505</v>
      </c>
      <c r="C78" s="303">
        <v>95000</v>
      </c>
      <c r="D78" s="303">
        <v>115960</v>
      </c>
    </row>
    <row r="79" spans="1:4" ht="15.75">
      <c r="A79" s="107" t="s">
        <v>927</v>
      </c>
      <c r="B79" s="303">
        <v>32001</v>
      </c>
      <c r="C79" s="303">
        <v>29000</v>
      </c>
      <c r="D79" s="303">
        <v>22000</v>
      </c>
    </row>
    <row r="80" spans="1:4" ht="15.75">
      <c r="A80" s="107" t="s">
        <v>928</v>
      </c>
      <c r="B80" s="303">
        <v>49019</v>
      </c>
      <c r="C80" s="303">
        <v>53000</v>
      </c>
      <c r="D80" s="303">
        <v>50000</v>
      </c>
    </row>
    <row r="81" spans="1:4" ht="15.75">
      <c r="A81" s="107" t="s">
        <v>929</v>
      </c>
      <c r="B81" s="303">
        <v>2255</v>
      </c>
      <c r="C81" s="303">
        <v>500</v>
      </c>
      <c r="D81" s="303">
        <v>1500</v>
      </c>
    </row>
    <row r="82" spans="1:4" ht="15.75">
      <c r="A82" s="107" t="s">
        <v>532</v>
      </c>
      <c r="B82" s="303">
        <v>225</v>
      </c>
      <c r="C82" s="303">
        <v>250</v>
      </c>
      <c r="D82" s="303">
        <v>850</v>
      </c>
    </row>
    <row r="83" spans="1:4" ht="15.75">
      <c r="A83" s="107" t="s">
        <v>533</v>
      </c>
      <c r="B83" s="303"/>
      <c r="C83" s="303">
        <v>3000</v>
      </c>
      <c r="D83" s="303">
        <v>4575</v>
      </c>
    </row>
    <row r="84" spans="1:4" ht="15.75">
      <c r="A84" s="107" t="s">
        <v>534</v>
      </c>
      <c r="B84" s="303"/>
      <c r="C84" s="303">
        <v>350</v>
      </c>
      <c r="D84" s="303">
        <v>350</v>
      </c>
    </row>
    <row r="85" spans="1:4" ht="15.75">
      <c r="A85" s="298" t="s">
        <v>283</v>
      </c>
      <c r="B85" s="314">
        <f>SUM(B78:B84)</f>
        <v>152005</v>
      </c>
      <c r="C85" s="314">
        <f>SUM(C78:C84)</f>
        <v>181100</v>
      </c>
      <c r="D85" s="314">
        <f>SUM(D78:D84)</f>
        <v>195235</v>
      </c>
    </row>
    <row r="86" spans="1:4" ht="15.75">
      <c r="A86" s="319" t="s">
        <v>930</v>
      </c>
      <c r="B86" s="124"/>
      <c r="C86" s="124"/>
      <c r="D86" s="124"/>
    </row>
    <row r="87" spans="1:4" ht="15.75">
      <c r="A87" s="107" t="s">
        <v>927</v>
      </c>
      <c r="B87" s="303">
        <v>24000</v>
      </c>
      <c r="C87" s="303">
        <v>80000</v>
      </c>
      <c r="D87" s="303">
        <v>80000</v>
      </c>
    </row>
    <row r="88" spans="1:4" ht="15.75">
      <c r="A88" s="298" t="s">
        <v>283</v>
      </c>
      <c r="B88" s="314">
        <f>SUM(B87:B87)</f>
        <v>24000</v>
      </c>
      <c r="C88" s="314">
        <f>SUM(C87:C87)</f>
        <v>80000</v>
      </c>
      <c r="D88" s="314">
        <f>SUM(D87:D87)</f>
        <v>80000</v>
      </c>
    </row>
    <row r="89" spans="1:4" ht="15.75">
      <c r="A89" s="319" t="s">
        <v>535</v>
      </c>
      <c r="B89" s="124"/>
      <c r="C89" s="124"/>
      <c r="D89" s="124"/>
    </row>
    <row r="90" spans="1:4" ht="15.75">
      <c r="A90" s="290" t="s">
        <v>927</v>
      </c>
      <c r="B90" s="303">
        <v>9741</v>
      </c>
      <c r="C90" s="303">
        <v>9000</v>
      </c>
      <c r="D90" s="303">
        <v>9000</v>
      </c>
    </row>
    <row r="91" spans="1:4" ht="15.75">
      <c r="A91" s="298" t="s">
        <v>283</v>
      </c>
      <c r="B91" s="314">
        <f>SUM(B90:B90)</f>
        <v>9741</v>
      </c>
      <c r="C91" s="314">
        <f>SUM(C90:C90)</f>
        <v>9000</v>
      </c>
      <c r="D91" s="314">
        <f>SUM(D90:D90)</f>
        <v>9000</v>
      </c>
    </row>
    <row r="92" spans="1:4" ht="15.75">
      <c r="A92" s="319" t="s">
        <v>536</v>
      </c>
      <c r="B92" s="124"/>
      <c r="C92" s="124"/>
      <c r="D92" s="124"/>
    </row>
    <row r="93" spans="1:4" ht="15.75">
      <c r="A93" s="107" t="s">
        <v>927</v>
      </c>
      <c r="B93" s="303">
        <v>6077</v>
      </c>
      <c r="C93" s="303">
        <v>6923</v>
      </c>
      <c r="D93" s="303">
        <v>5856</v>
      </c>
    </row>
    <row r="94" spans="1:4" ht="15.75">
      <c r="A94" s="298" t="s">
        <v>283</v>
      </c>
      <c r="B94" s="314">
        <f>SUM(B93:B93)</f>
        <v>6077</v>
      </c>
      <c r="C94" s="314">
        <f>SUM(C93:C93)</f>
        <v>6923</v>
      </c>
      <c r="D94" s="314">
        <f>SUM(D93:D93)</f>
        <v>5856</v>
      </c>
    </row>
    <row r="95" spans="1:4" ht="15.75">
      <c r="A95" s="319" t="s">
        <v>934</v>
      </c>
      <c r="B95" s="124"/>
      <c r="C95" s="124"/>
      <c r="D95" s="124"/>
    </row>
    <row r="96" spans="1:4" ht="15.75">
      <c r="A96" s="107" t="s">
        <v>537</v>
      </c>
      <c r="B96" s="303"/>
      <c r="C96" s="303"/>
      <c r="D96" s="303"/>
    </row>
    <row r="97" spans="1:4" ht="15.75">
      <c r="A97" s="298" t="s">
        <v>283</v>
      </c>
      <c r="B97" s="314">
        <f>SUM(B96:B96)</f>
        <v>0</v>
      </c>
      <c r="C97" s="314">
        <f>SUM(C96:C96)</f>
        <v>0</v>
      </c>
      <c r="D97" s="314">
        <f>SUM(D96:D96)</f>
        <v>0</v>
      </c>
    </row>
    <row r="98" spans="1:4" ht="15.75">
      <c r="A98" s="319" t="s">
        <v>538</v>
      </c>
      <c r="B98" s="124"/>
      <c r="C98" s="124"/>
      <c r="D98" s="124"/>
    </row>
    <row r="99" spans="1:4" ht="15.75">
      <c r="A99" s="107" t="s">
        <v>926</v>
      </c>
      <c r="B99" s="303">
        <v>60886</v>
      </c>
      <c r="C99" s="303">
        <v>55000</v>
      </c>
      <c r="D99" s="303">
        <v>55000</v>
      </c>
    </row>
    <row r="100" spans="1:4" ht="15.75">
      <c r="A100" s="107" t="s">
        <v>927</v>
      </c>
      <c r="B100" s="303">
        <v>78448</v>
      </c>
      <c r="C100" s="303">
        <v>75000</v>
      </c>
      <c r="D100" s="303">
        <v>80000</v>
      </c>
    </row>
    <row r="101" spans="1:4" ht="15.75">
      <c r="A101" s="107" t="s">
        <v>928</v>
      </c>
      <c r="B101" s="303">
        <v>572</v>
      </c>
      <c r="C101" s="303">
        <v>750</v>
      </c>
      <c r="D101" s="303">
        <v>2500</v>
      </c>
    </row>
    <row r="102" spans="1:4" ht="15.75">
      <c r="A102" s="107" t="s">
        <v>929</v>
      </c>
      <c r="B102" s="303">
        <v>3768</v>
      </c>
      <c r="C102" s="303">
        <v>4000</v>
      </c>
      <c r="D102" s="303">
        <v>12500</v>
      </c>
    </row>
    <row r="103" spans="1:4" ht="15.75">
      <c r="A103" s="298" t="s">
        <v>283</v>
      </c>
      <c r="B103" s="314">
        <f>SUM(B99:B102)</f>
        <v>143674</v>
      </c>
      <c r="C103" s="314">
        <f>SUM(C99:C102)</f>
        <v>134750</v>
      </c>
      <c r="D103" s="314">
        <f>SUM(D99:D102)</f>
        <v>150000</v>
      </c>
    </row>
    <row r="104" spans="1:4" ht="15.75">
      <c r="A104" s="319" t="s">
        <v>539</v>
      </c>
      <c r="B104" s="124"/>
      <c r="C104" s="124"/>
      <c r="D104" s="124"/>
    </row>
    <row r="105" spans="1:4" ht="15.75">
      <c r="A105" s="107" t="s">
        <v>927</v>
      </c>
      <c r="B105" s="303">
        <v>19877</v>
      </c>
      <c r="C105" s="303">
        <v>25000</v>
      </c>
      <c r="D105" s="303">
        <v>40000</v>
      </c>
    </row>
    <row r="106" spans="1:4" ht="15.75">
      <c r="A106" s="298" t="s">
        <v>283</v>
      </c>
      <c r="B106" s="314">
        <f>SUM(B105:B105)</f>
        <v>19877</v>
      </c>
      <c r="C106" s="314">
        <f>SUM(C105:C105)</f>
        <v>25000</v>
      </c>
      <c r="D106" s="314">
        <f>SUM(D105:D105)</f>
        <v>40000</v>
      </c>
    </row>
    <row r="107" spans="1:4" ht="15.75">
      <c r="A107" s="319" t="s">
        <v>540</v>
      </c>
      <c r="B107" s="124"/>
      <c r="C107" s="124"/>
      <c r="D107" s="124"/>
    </row>
    <row r="108" spans="1:4" ht="15.75">
      <c r="A108" s="107" t="s">
        <v>927</v>
      </c>
      <c r="B108" s="303">
        <v>34001</v>
      </c>
      <c r="C108" s="303">
        <v>35000</v>
      </c>
      <c r="D108" s="303">
        <v>35000</v>
      </c>
    </row>
    <row r="109" spans="1:4" ht="15.75">
      <c r="A109" s="107" t="s">
        <v>541</v>
      </c>
      <c r="B109" s="303"/>
      <c r="C109" s="303"/>
      <c r="D109" s="303"/>
    </row>
    <row r="110" spans="1:4" ht="15.75">
      <c r="A110" s="298" t="s">
        <v>283</v>
      </c>
      <c r="B110" s="314">
        <f>SUM(B108:B109)</f>
        <v>34001</v>
      </c>
      <c r="C110" s="314">
        <f>SUM(C108:C109)</f>
        <v>35000</v>
      </c>
      <c r="D110" s="314">
        <f>SUM(D108:D109)</f>
        <v>35000</v>
      </c>
    </row>
    <row r="111" spans="1:4" ht="15.75">
      <c r="A111" s="319" t="s">
        <v>311</v>
      </c>
      <c r="B111" s="124"/>
      <c r="C111" s="124"/>
      <c r="D111" s="124"/>
    </row>
    <row r="112" spans="1:4" ht="15.75">
      <c r="A112" s="107" t="s">
        <v>927</v>
      </c>
      <c r="B112" s="303">
        <v>290</v>
      </c>
      <c r="C112" s="303">
        <v>2000</v>
      </c>
      <c r="D112" s="303">
        <v>9000</v>
      </c>
    </row>
    <row r="113" spans="1:4" ht="15.75">
      <c r="A113" s="298" t="s">
        <v>283</v>
      </c>
      <c r="B113" s="314">
        <f>SUM(B112:B112)</f>
        <v>290</v>
      </c>
      <c r="C113" s="314">
        <f>SUM(C112:C112)</f>
        <v>2000</v>
      </c>
      <c r="D113" s="314">
        <f>SUM(D112:D112)</f>
        <v>9000</v>
      </c>
    </row>
    <row r="114" spans="1:4" ht="15.75">
      <c r="A114" s="319" t="s">
        <v>542</v>
      </c>
      <c r="B114" s="124"/>
      <c r="C114" s="124"/>
      <c r="D114" s="124"/>
    </row>
    <row r="115" spans="1:4" ht="15.75">
      <c r="A115" s="107" t="s">
        <v>927</v>
      </c>
      <c r="B115" s="303">
        <v>2500</v>
      </c>
      <c r="C115" s="303">
        <v>2500</v>
      </c>
      <c r="D115" s="303">
        <v>2500</v>
      </c>
    </row>
    <row r="116" spans="1:4" ht="15.75">
      <c r="A116" s="298" t="s">
        <v>283</v>
      </c>
      <c r="B116" s="314">
        <f>SUM(B115:B115)</f>
        <v>2500</v>
      </c>
      <c r="C116" s="314">
        <f>SUM(C115:C115)</f>
        <v>2500</v>
      </c>
      <c r="D116" s="314">
        <f>SUM(D115:D115)</f>
        <v>2500</v>
      </c>
    </row>
    <row r="117" spans="1:4" ht="15.75">
      <c r="A117" s="82"/>
      <c r="B117" s="124"/>
      <c r="C117" s="124"/>
      <c r="D117" s="124"/>
    </row>
    <row r="118" spans="1:4" ht="15.75">
      <c r="A118" s="298" t="s">
        <v>355</v>
      </c>
      <c r="B118" s="309">
        <f>B76+B85+B88+B91+B94+B97+B103+B106+B110+B113+B116</f>
        <v>541897</v>
      </c>
      <c r="C118" s="309">
        <f>C76+C85+C88+C91+C94+C97+C103+C106+C110+C113+C116</f>
        <v>616873</v>
      </c>
      <c r="D118" s="309">
        <f>D76+D85+D88+D91+D94+D97+D103+D106+D110+D113+D116</f>
        <v>667191</v>
      </c>
    </row>
    <row r="119" spans="1:4" ht="15.75">
      <c r="A119" s="82"/>
      <c r="B119" s="224"/>
      <c r="C119" s="224"/>
      <c r="D119" s="224"/>
    </row>
    <row r="120" spans="1:4" ht="15.75">
      <c r="A120" s="82"/>
      <c r="B120" s="224"/>
      <c r="C120" s="224"/>
      <c r="D120" s="224"/>
    </row>
    <row r="121" spans="1:4" ht="15.75">
      <c r="A121" s="82"/>
      <c r="B121" s="224"/>
      <c r="C121" s="224"/>
      <c r="D121" s="224"/>
    </row>
    <row r="122" spans="1:4" ht="15.75">
      <c r="A122" s="82"/>
      <c r="B122" s="224"/>
      <c r="C122" s="224"/>
      <c r="D122" s="224"/>
    </row>
    <row r="123" spans="1:4" ht="15.75">
      <c r="A123" s="82"/>
      <c r="B123" s="224"/>
      <c r="C123" s="224"/>
      <c r="D123" s="224"/>
    </row>
    <row r="124" spans="1:4" ht="15.75">
      <c r="A124" s="82"/>
      <c r="B124" s="224"/>
      <c r="C124" s="224"/>
      <c r="D124" s="224"/>
    </row>
    <row r="125" spans="1:4" ht="15.75">
      <c r="A125" s="82"/>
      <c r="B125" s="224"/>
      <c r="C125" s="224"/>
      <c r="D125" s="224"/>
    </row>
    <row r="126" spans="1:4" ht="15.75">
      <c r="A126" s="806" t="s">
        <v>1041</v>
      </c>
      <c r="B126" s="806"/>
      <c r="C126" s="806"/>
      <c r="D126" s="806"/>
    </row>
    <row r="127" spans="1:4" ht="15.75">
      <c r="A127" s="224" t="str">
        <f>inputPrYr!C2</f>
        <v>Gove County</v>
      </c>
      <c r="B127" s="224"/>
      <c r="C127" s="81"/>
      <c r="D127" s="321">
        <f>D1</f>
        <v>2014</v>
      </c>
    </row>
    <row r="128" spans="1:4" ht="15.75">
      <c r="A128" s="82"/>
      <c r="B128" s="224"/>
      <c r="C128" s="224"/>
      <c r="D128" s="81"/>
    </row>
    <row r="129" spans="1:4" ht="15.75">
      <c r="A129" s="310" t="s">
        <v>984</v>
      </c>
      <c r="B129" s="322"/>
      <c r="C129" s="322"/>
      <c r="D129" s="322"/>
    </row>
    <row r="130" spans="1:4" ht="15.75">
      <c r="A130" s="82" t="s">
        <v>312</v>
      </c>
      <c r="B130" s="318" t="str">
        <f aca="true" t="shared" si="1" ref="B130:D131">B4</f>
        <v>Prior Year </v>
      </c>
      <c r="C130" s="211" t="str">
        <f t="shared" si="1"/>
        <v>Current Year </v>
      </c>
      <c r="D130" s="211" t="str">
        <f t="shared" si="1"/>
        <v>Proposed Budget </v>
      </c>
    </row>
    <row r="131" spans="1:4" ht="15.75">
      <c r="A131" s="111" t="s">
        <v>925</v>
      </c>
      <c r="B131" s="312" t="str">
        <f t="shared" si="1"/>
        <v>Actual for 2012</v>
      </c>
      <c r="C131" s="312" t="str">
        <f t="shared" si="1"/>
        <v>Estimate for 2013</v>
      </c>
      <c r="D131" s="312" t="str">
        <f t="shared" si="1"/>
        <v>Year for 2014</v>
      </c>
    </row>
    <row r="132" spans="1:4" ht="15.75">
      <c r="A132" s="259" t="s">
        <v>921</v>
      </c>
      <c r="B132" s="124"/>
      <c r="C132" s="124"/>
      <c r="D132" s="124"/>
    </row>
    <row r="133" spans="1:4" ht="15.75">
      <c r="A133" s="319" t="s">
        <v>933</v>
      </c>
      <c r="B133" s="124"/>
      <c r="C133" s="124"/>
      <c r="D133" s="124"/>
    </row>
    <row r="134" spans="1:4" ht="15.75">
      <c r="A134" s="107" t="s">
        <v>927</v>
      </c>
      <c r="B134" s="303">
        <v>19721</v>
      </c>
      <c r="C134" s="303">
        <v>6300</v>
      </c>
      <c r="D134" s="303">
        <v>23000</v>
      </c>
    </row>
    <row r="135" spans="1:4" ht="15.75">
      <c r="A135" s="107" t="s">
        <v>928</v>
      </c>
      <c r="B135" s="303">
        <v>1613</v>
      </c>
      <c r="C135" s="303">
        <v>3500</v>
      </c>
      <c r="D135" s="303">
        <v>3800</v>
      </c>
    </row>
    <row r="136" spans="1:4" ht="15.75">
      <c r="A136" s="107" t="s">
        <v>929</v>
      </c>
      <c r="B136" s="303">
        <v>171</v>
      </c>
      <c r="C136" s="303"/>
      <c r="D136" s="303">
        <v>1350</v>
      </c>
    </row>
    <row r="137" spans="1:4" ht="15.75">
      <c r="A137" s="298" t="s">
        <v>283</v>
      </c>
      <c r="B137" s="314">
        <f>SUM(B134:B136)</f>
        <v>21505</v>
      </c>
      <c r="C137" s="314">
        <f>SUM(C134:C136)</f>
        <v>9800</v>
      </c>
      <c r="D137" s="314">
        <f>SUM(D134:D136)</f>
        <v>28150</v>
      </c>
    </row>
    <row r="138" spans="1:4" ht="15.75">
      <c r="A138" s="319" t="s">
        <v>937</v>
      </c>
      <c r="B138" s="124"/>
      <c r="C138" s="124"/>
      <c r="D138" s="124"/>
    </row>
    <row r="139" spans="1:4" ht="15.75">
      <c r="A139" s="107" t="s">
        <v>927</v>
      </c>
      <c r="B139" s="303">
        <v>20000</v>
      </c>
      <c r="C139" s="303">
        <v>20000</v>
      </c>
      <c r="D139" s="303">
        <v>20000</v>
      </c>
    </row>
    <row r="140" spans="1:4" ht="15.75">
      <c r="A140" s="298" t="s">
        <v>283</v>
      </c>
      <c r="B140" s="314">
        <f>SUM(B139:B139)</f>
        <v>20000</v>
      </c>
      <c r="C140" s="314">
        <f>SUM(C139:C139)</f>
        <v>20000</v>
      </c>
      <c r="D140" s="314">
        <f>SUM(D139:D139)</f>
        <v>20000</v>
      </c>
    </row>
    <row r="141" spans="1:4" ht="15.75">
      <c r="A141" s="319" t="s">
        <v>543</v>
      </c>
      <c r="B141" s="124"/>
      <c r="C141" s="124"/>
      <c r="D141" s="124"/>
    </row>
    <row r="142" spans="1:4" ht="15.75">
      <c r="A142" s="107" t="s">
        <v>927</v>
      </c>
      <c r="B142" s="303">
        <v>4500</v>
      </c>
      <c r="C142" s="303">
        <v>5000</v>
      </c>
      <c r="D142" s="303">
        <v>5000</v>
      </c>
    </row>
    <row r="143" spans="1:4" ht="15.75">
      <c r="A143" s="298" t="s">
        <v>283</v>
      </c>
      <c r="B143" s="314">
        <f>SUM(B142:B142)</f>
        <v>4500</v>
      </c>
      <c r="C143" s="314">
        <f>SUM(C142:C142)</f>
        <v>5000</v>
      </c>
      <c r="D143" s="314">
        <f>SUM(D142:D142)</f>
        <v>5000</v>
      </c>
    </row>
    <row r="144" spans="1:4" ht="15.75">
      <c r="A144" s="319" t="s">
        <v>544</v>
      </c>
      <c r="B144" s="124"/>
      <c r="C144" s="124"/>
      <c r="D144" s="124"/>
    </row>
    <row r="145" spans="1:4" ht="15.75">
      <c r="A145" s="107" t="s">
        <v>927</v>
      </c>
      <c r="B145" s="303"/>
      <c r="C145" s="303"/>
      <c r="D145" s="303"/>
    </row>
    <row r="146" spans="1:4" ht="15.75">
      <c r="A146" s="298" t="s">
        <v>283</v>
      </c>
      <c r="B146" s="314">
        <f>SUM(B145:B145)</f>
        <v>0</v>
      </c>
      <c r="C146" s="314">
        <f>SUM(C145:C145)</f>
        <v>0</v>
      </c>
      <c r="D146" s="314">
        <f>SUM(D145:D145)</f>
        <v>0</v>
      </c>
    </row>
    <row r="147" spans="1:4" ht="15.75">
      <c r="A147" s="319" t="s">
        <v>545</v>
      </c>
      <c r="B147" s="124"/>
      <c r="C147" s="124"/>
      <c r="D147" s="124"/>
    </row>
    <row r="148" spans="1:4" ht="15.75">
      <c r="A148" s="107" t="s">
        <v>926</v>
      </c>
      <c r="B148" s="303">
        <v>3066</v>
      </c>
      <c r="C148" s="303">
        <v>3300</v>
      </c>
      <c r="D148" s="303">
        <v>3250</v>
      </c>
    </row>
    <row r="149" spans="1:4" ht="15.75">
      <c r="A149" s="107" t="s">
        <v>927</v>
      </c>
      <c r="B149" s="303">
        <v>873</v>
      </c>
      <c r="C149" s="303">
        <v>1600</v>
      </c>
      <c r="D149" s="303">
        <v>900</v>
      </c>
    </row>
    <row r="150" spans="1:4" ht="15.75">
      <c r="A150" s="107" t="s">
        <v>928</v>
      </c>
      <c r="B150" s="303"/>
      <c r="C150" s="303">
        <v>150</v>
      </c>
      <c r="D150" s="303">
        <v>150</v>
      </c>
    </row>
    <row r="151" spans="1:4" ht="15.75">
      <c r="A151" s="107" t="s">
        <v>929</v>
      </c>
      <c r="B151" s="303"/>
      <c r="C151" s="303"/>
      <c r="D151" s="303"/>
    </row>
    <row r="152" spans="1:4" ht="15.75">
      <c r="A152" s="298" t="s">
        <v>283</v>
      </c>
      <c r="B152" s="314">
        <f>SUM(B148:B151)</f>
        <v>3939</v>
      </c>
      <c r="C152" s="314">
        <f>SUM(C148:C151)</f>
        <v>5050</v>
      </c>
      <c r="D152" s="314">
        <f>SUM(D148:D151)</f>
        <v>4300</v>
      </c>
    </row>
    <row r="153" spans="1:4" ht="15.75">
      <c r="A153" s="319" t="s">
        <v>548</v>
      </c>
      <c r="B153" s="124"/>
      <c r="C153" s="124"/>
      <c r="D153" s="124"/>
    </row>
    <row r="154" spans="1:4" ht="15.75">
      <c r="A154" s="107" t="s">
        <v>927</v>
      </c>
      <c r="B154" s="303">
        <v>500</v>
      </c>
      <c r="C154" s="303">
        <v>500</v>
      </c>
      <c r="D154" s="303">
        <v>500</v>
      </c>
    </row>
    <row r="155" spans="1:4" ht="15.75">
      <c r="A155" s="298" t="s">
        <v>283</v>
      </c>
      <c r="B155" s="314">
        <f>SUM(B154:B154)</f>
        <v>500</v>
      </c>
      <c r="C155" s="314">
        <f>SUM(C154:C154)</f>
        <v>500</v>
      </c>
      <c r="D155" s="314">
        <f>SUM(D154:D154)</f>
        <v>500</v>
      </c>
    </row>
    <row r="156" spans="1:4" ht="15.75">
      <c r="A156" s="319" t="s">
        <v>546</v>
      </c>
      <c r="B156" s="124"/>
      <c r="C156" s="124"/>
      <c r="D156" s="124"/>
    </row>
    <row r="157" spans="1:4" ht="15.75">
      <c r="A157" s="107" t="s">
        <v>927</v>
      </c>
      <c r="B157" s="303"/>
      <c r="C157" s="303"/>
      <c r="D157" s="303">
        <v>1000</v>
      </c>
    </row>
    <row r="158" spans="1:4" ht="15.75">
      <c r="A158" s="298" t="s">
        <v>283</v>
      </c>
      <c r="B158" s="314">
        <f>SUM(B157:B157)</f>
        <v>0</v>
      </c>
      <c r="C158" s="314">
        <f>SUM(C157:C157)</f>
        <v>0</v>
      </c>
      <c r="D158" s="314">
        <f>SUM(D157:D157)</f>
        <v>1000</v>
      </c>
    </row>
    <row r="159" spans="1:4" ht="15.75">
      <c r="A159" s="319" t="s">
        <v>547</v>
      </c>
      <c r="B159" s="124"/>
      <c r="C159" s="124"/>
      <c r="D159" s="124"/>
    </row>
    <row r="160" spans="1:4" ht="15.75">
      <c r="A160" s="107" t="s">
        <v>927</v>
      </c>
      <c r="B160" s="303">
        <v>1994</v>
      </c>
      <c r="C160" s="303">
        <v>1100</v>
      </c>
      <c r="D160" s="303">
        <v>1100</v>
      </c>
    </row>
    <row r="161" spans="1:4" ht="15.75">
      <c r="A161" s="298" t="s">
        <v>283</v>
      </c>
      <c r="B161" s="314">
        <f>SUM(B160:B160)</f>
        <v>1994</v>
      </c>
      <c r="C161" s="314">
        <f>SUM(C160:C160)</f>
        <v>1100</v>
      </c>
      <c r="D161" s="314">
        <f>SUM(D160:D160)</f>
        <v>1100</v>
      </c>
    </row>
    <row r="162" spans="1:4" ht="15.75">
      <c r="A162" s="319" t="s">
        <v>549</v>
      </c>
      <c r="B162" s="124"/>
      <c r="C162" s="124"/>
      <c r="D162" s="124"/>
    </row>
    <row r="163" spans="1:4" ht="15.75">
      <c r="A163" s="107" t="s">
        <v>927</v>
      </c>
      <c r="B163" s="303"/>
      <c r="C163" s="303"/>
      <c r="D163" s="303"/>
    </row>
    <row r="164" spans="1:4" ht="15.75">
      <c r="A164" s="298" t="s">
        <v>283</v>
      </c>
      <c r="B164" s="314">
        <f>SUM(B163:B163)</f>
        <v>0</v>
      </c>
      <c r="C164" s="314">
        <f>SUM(C163:C163)</f>
        <v>0</v>
      </c>
      <c r="D164" s="314">
        <f>SUM(D163:D163)</f>
        <v>0</v>
      </c>
    </row>
    <row r="165" spans="1:4" ht="15.75">
      <c r="A165" s="319" t="s">
        <v>596</v>
      </c>
      <c r="B165" s="124"/>
      <c r="C165" s="124"/>
      <c r="D165" s="124"/>
    </row>
    <row r="166" spans="1:4" ht="15.75">
      <c r="A166" s="107" t="s">
        <v>612</v>
      </c>
      <c r="B166" s="303">
        <v>0</v>
      </c>
      <c r="C166" s="303"/>
      <c r="D166" s="303"/>
    </row>
    <row r="167" spans="1:4" ht="15.75">
      <c r="A167" s="298" t="s">
        <v>283</v>
      </c>
      <c r="B167" s="314">
        <f>SUM(B166:B166)</f>
        <v>0</v>
      </c>
      <c r="C167" s="314">
        <f>SUM(C166:C166)</f>
        <v>0</v>
      </c>
      <c r="D167" s="314">
        <f>SUM(D166:D166)</f>
        <v>0</v>
      </c>
    </row>
    <row r="168" spans="1:4" ht="15.75">
      <c r="A168" s="298"/>
      <c r="B168" s="124"/>
      <c r="C168" s="124"/>
      <c r="D168" s="124"/>
    </row>
    <row r="169" spans="1:4" ht="15.75">
      <c r="A169" s="298" t="s">
        <v>356</v>
      </c>
      <c r="B169" s="309">
        <f>B137+B140+B143+B146+B152+B155+B158+B161+B164+B167</f>
        <v>52438</v>
      </c>
      <c r="C169" s="309">
        <f>C137+C140+C143+C146+C152+C155+C158+C161+C164+C167</f>
        <v>41450</v>
      </c>
      <c r="D169" s="309">
        <f>D137+D140+D143+D146+D152+D155+D158+D161+D164+D167</f>
        <v>60050</v>
      </c>
    </row>
    <row r="170" spans="1:4" ht="15.75">
      <c r="A170" s="82"/>
      <c r="B170" s="224"/>
      <c r="C170" s="224"/>
      <c r="D170" s="224"/>
    </row>
    <row r="171" spans="1:4" ht="15.75">
      <c r="A171" s="82"/>
      <c r="B171" s="224"/>
      <c r="C171" s="224"/>
      <c r="D171" s="224"/>
    </row>
    <row r="172" spans="1:4" ht="15.75">
      <c r="A172" s="82"/>
      <c r="B172" s="224"/>
      <c r="C172" s="224"/>
      <c r="D172" s="224"/>
    </row>
    <row r="173" spans="1:4" ht="15.75">
      <c r="A173" s="82"/>
      <c r="B173" s="224"/>
      <c r="C173" s="224"/>
      <c r="D173" s="224"/>
    </row>
    <row r="174" spans="1:4" ht="15.75">
      <c r="A174" s="806"/>
      <c r="B174" s="806"/>
      <c r="C174" s="806"/>
      <c r="D174" s="806"/>
    </row>
    <row r="175" spans="1:4" ht="15.75">
      <c r="A175" s="298" t="s">
        <v>357</v>
      </c>
      <c r="B175" s="314">
        <f>B56</f>
        <v>1046939</v>
      </c>
      <c r="C175" s="314">
        <f>C56</f>
        <v>1111863</v>
      </c>
      <c r="D175" s="314">
        <f>D56</f>
        <v>1856476</v>
      </c>
    </row>
    <row r="176" spans="1:4" ht="15.75">
      <c r="A176" s="82"/>
      <c r="B176" s="124"/>
      <c r="C176" s="124"/>
      <c r="D176" s="124"/>
    </row>
    <row r="177" spans="1:4" ht="15.75">
      <c r="A177" s="298" t="s">
        <v>358</v>
      </c>
      <c r="B177" s="314">
        <f>B118</f>
        <v>541897</v>
      </c>
      <c r="C177" s="314">
        <f>C118</f>
        <v>616873</v>
      </c>
      <c r="D177" s="314">
        <f>D118</f>
        <v>667191</v>
      </c>
    </row>
    <row r="178" spans="1:4" ht="15.75">
      <c r="A178" s="82"/>
      <c r="B178" s="124"/>
      <c r="C178" s="124"/>
      <c r="D178" s="124"/>
    </row>
    <row r="179" spans="1:4" ht="15.75">
      <c r="A179" s="298" t="s">
        <v>356</v>
      </c>
      <c r="B179" s="314">
        <f>B169</f>
        <v>52438</v>
      </c>
      <c r="C179" s="314">
        <f>C169</f>
        <v>41450</v>
      </c>
      <c r="D179" s="314">
        <f>D169</f>
        <v>60050</v>
      </c>
    </row>
    <row r="180" spans="1:4" ht="15.75">
      <c r="A180" s="82"/>
      <c r="B180" s="124"/>
      <c r="C180" s="124"/>
      <c r="D180" s="124"/>
    </row>
    <row r="181" spans="1:4" ht="15.75">
      <c r="A181" s="82"/>
      <c r="B181" s="124"/>
      <c r="C181" s="124"/>
      <c r="D181" s="124"/>
    </row>
    <row r="182" spans="1:4" ht="16.5" thickBot="1">
      <c r="A182" s="259" t="s">
        <v>206</v>
      </c>
      <c r="B182" s="324">
        <f>SUM(B175:B181)</f>
        <v>1641274</v>
      </c>
      <c r="C182" s="324">
        <f>SUM(C175:C181)</f>
        <v>1770186</v>
      </c>
      <c r="D182" s="324">
        <f>SUM(D175:D181)</f>
        <v>2583717</v>
      </c>
    </row>
    <row r="183" spans="1:4" ht="16.5" thickTop="1">
      <c r="A183" s="325" t="s">
        <v>207</v>
      </c>
      <c r="B183" s="326"/>
      <c r="C183" s="326"/>
      <c r="D183" s="326"/>
    </row>
    <row r="185" spans="2:4" ht="15.75">
      <c r="B185" s="327"/>
      <c r="C185" s="327"/>
      <c r="D185" s="327"/>
    </row>
    <row r="186" spans="2:4" ht="15.75">
      <c r="B186" s="327"/>
      <c r="C186" s="327"/>
      <c r="D186" s="327"/>
    </row>
    <row r="187" spans="2:4" ht="15.75">
      <c r="B187" s="327"/>
      <c r="C187" s="327"/>
      <c r="D187" s="327"/>
    </row>
    <row r="188" spans="2:4" ht="15.75">
      <c r="B188" s="327"/>
      <c r="C188" s="327"/>
      <c r="D188" s="327"/>
    </row>
    <row r="189" spans="2:4" ht="15.75">
      <c r="B189" s="327"/>
      <c r="C189" s="327"/>
      <c r="D189" s="327"/>
    </row>
    <row r="190" spans="1:4" ht="15.75">
      <c r="A190" s="806" t="s">
        <v>1042</v>
      </c>
      <c r="B190" s="806"/>
      <c r="C190" s="806"/>
      <c r="D190" s="806"/>
    </row>
    <row r="191" spans="2:4" ht="15.75">
      <c r="B191" s="327"/>
      <c r="C191" s="327"/>
      <c r="D191" s="327"/>
    </row>
    <row r="192" spans="2:4" ht="15.75">
      <c r="B192" s="327"/>
      <c r="C192" s="327"/>
      <c r="D192" s="327"/>
    </row>
    <row r="193" spans="2:4" ht="15.75">
      <c r="B193" s="327"/>
      <c r="C193" s="327"/>
      <c r="D193" s="327"/>
    </row>
    <row r="194" spans="2:4" ht="15.75">
      <c r="B194" s="327"/>
      <c r="C194" s="327"/>
      <c r="D194" s="327"/>
    </row>
    <row r="195" spans="2:4" ht="15.75">
      <c r="B195" s="327"/>
      <c r="C195" s="327"/>
      <c r="D195" s="327"/>
    </row>
    <row r="196" spans="2:4" ht="15.75">
      <c r="B196" s="327"/>
      <c r="C196" s="327"/>
      <c r="D196" s="327"/>
    </row>
    <row r="197" spans="2:4" ht="15.75">
      <c r="B197" s="327"/>
      <c r="C197" s="327"/>
      <c r="D197" s="327"/>
    </row>
    <row r="198" spans="2:4" ht="15.75">
      <c r="B198" s="327"/>
      <c r="C198" s="327"/>
      <c r="D198" s="327"/>
    </row>
    <row r="199" spans="2:4" ht="15.75">
      <c r="B199" s="327"/>
      <c r="C199" s="327"/>
      <c r="D199" s="327"/>
    </row>
    <row r="200" spans="2:4" ht="15.75">
      <c r="B200" s="327"/>
      <c r="C200" s="327"/>
      <c r="D200" s="327"/>
    </row>
    <row r="201" spans="2:4" ht="15.75">
      <c r="B201" s="327"/>
      <c r="C201" s="327"/>
      <c r="D201" s="327"/>
    </row>
    <row r="202" spans="2:4" ht="15.75">
      <c r="B202" s="327"/>
      <c r="C202" s="327"/>
      <c r="D202" s="327"/>
    </row>
    <row r="203" spans="2:4" ht="15.75">
      <c r="B203" s="327"/>
      <c r="C203" s="327"/>
      <c r="D203" s="327"/>
    </row>
    <row r="204" spans="2:4" ht="15.75">
      <c r="B204" s="327"/>
      <c r="C204" s="327"/>
      <c r="D204" s="327"/>
    </row>
    <row r="205" spans="2:4" ht="15.75">
      <c r="B205" s="327"/>
      <c r="C205" s="327"/>
      <c r="D205" s="327"/>
    </row>
    <row r="206" spans="2:4" ht="15.75">
      <c r="B206" s="327"/>
      <c r="C206" s="327"/>
      <c r="D206" s="327"/>
    </row>
    <row r="207" spans="2:4" ht="15.75">
      <c r="B207" s="327"/>
      <c r="C207" s="327"/>
      <c r="D207" s="327"/>
    </row>
    <row r="208" spans="2:4" ht="15.75">
      <c r="B208" s="327"/>
      <c r="C208" s="327"/>
      <c r="D208" s="327"/>
    </row>
    <row r="209" spans="2:4" ht="15.75">
      <c r="B209" s="327"/>
      <c r="C209" s="327"/>
      <c r="D209" s="327"/>
    </row>
    <row r="210" spans="2:4" ht="15.75">
      <c r="B210" s="327"/>
      <c r="C210" s="327"/>
      <c r="D210" s="327"/>
    </row>
    <row r="211" spans="2:4" ht="15.75">
      <c r="B211" s="327"/>
      <c r="C211" s="327"/>
      <c r="D211" s="327"/>
    </row>
    <row r="212" spans="2:4" ht="15.75">
      <c r="B212" s="327"/>
      <c r="C212" s="327"/>
      <c r="D212" s="327"/>
    </row>
    <row r="213" spans="2:4" ht="15.75">
      <c r="B213" s="327"/>
      <c r="C213" s="327"/>
      <c r="D213" s="327"/>
    </row>
    <row r="214" spans="2:4" ht="15.75">
      <c r="B214" s="327"/>
      <c r="C214" s="327"/>
      <c r="D214" s="327"/>
    </row>
    <row r="215" spans="2:4" ht="15.75">
      <c r="B215" s="327"/>
      <c r="C215" s="327"/>
      <c r="D215" s="327"/>
    </row>
    <row r="216" spans="2:4" ht="15.75">
      <c r="B216" s="327"/>
      <c r="C216" s="327"/>
      <c r="D216" s="327"/>
    </row>
    <row r="217" spans="2:4" ht="15.75">
      <c r="B217" s="327"/>
      <c r="C217" s="327"/>
      <c r="D217" s="327"/>
    </row>
    <row r="218" spans="2:4" ht="15.75">
      <c r="B218" s="327"/>
      <c r="C218" s="327"/>
      <c r="D218" s="327"/>
    </row>
    <row r="219" spans="2:4" ht="15.75">
      <c r="B219" s="327"/>
      <c r="C219" s="327"/>
      <c r="D219" s="327"/>
    </row>
    <row r="220" spans="2:4" ht="15.75">
      <c r="B220" s="327"/>
      <c r="C220" s="327"/>
      <c r="D220" s="327"/>
    </row>
    <row r="221" spans="2:4" ht="15.75">
      <c r="B221" s="327"/>
      <c r="C221" s="327"/>
      <c r="D221" s="327"/>
    </row>
    <row r="222" spans="2:4" ht="15.75">
      <c r="B222" s="327"/>
      <c r="C222" s="327"/>
      <c r="D222" s="327"/>
    </row>
    <row r="223" spans="2:4" ht="15.75">
      <c r="B223" s="327"/>
      <c r="C223" s="327"/>
      <c r="D223" s="327"/>
    </row>
    <row r="224" spans="2:4" ht="15.75">
      <c r="B224" s="327"/>
      <c r="C224" s="327"/>
      <c r="D224" s="327"/>
    </row>
    <row r="225" spans="2:4" ht="15.75">
      <c r="B225" s="327"/>
      <c r="C225" s="327"/>
      <c r="D225" s="327"/>
    </row>
    <row r="226" spans="2:4" ht="15.75">
      <c r="B226" s="327"/>
      <c r="C226" s="327"/>
      <c r="D226" s="327"/>
    </row>
    <row r="227" spans="2:4" ht="15.75">
      <c r="B227" s="327"/>
      <c r="C227" s="327"/>
      <c r="D227" s="327"/>
    </row>
    <row r="228" spans="2:4" ht="15.75">
      <c r="B228" s="327"/>
      <c r="C228" s="327"/>
      <c r="D228" s="327"/>
    </row>
    <row r="229" spans="2:4" ht="15.75">
      <c r="B229" s="327"/>
      <c r="C229" s="327"/>
      <c r="D229" s="327"/>
    </row>
    <row r="230" spans="2:4" ht="15.75">
      <c r="B230" s="327"/>
      <c r="C230" s="327"/>
      <c r="D230" s="327"/>
    </row>
    <row r="231" spans="2:4" ht="15.75">
      <c r="B231" s="327"/>
      <c r="C231" s="327"/>
      <c r="D231" s="327"/>
    </row>
    <row r="232" spans="2:4" ht="15.75">
      <c r="B232" s="327"/>
      <c r="C232" s="327"/>
      <c r="D232" s="327"/>
    </row>
    <row r="233" spans="2:4" ht="15.75">
      <c r="B233" s="327"/>
      <c r="C233" s="327"/>
      <c r="D233" s="327"/>
    </row>
    <row r="234" spans="2:4" ht="15.75">
      <c r="B234" s="327"/>
      <c r="C234" s="327"/>
      <c r="D234" s="327"/>
    </row>
    <row r="235" spans="2:4" ht="15.75">
      <c r="B235" s="327"/>
      <c r="C235" s="327"/>
      <c r="D235" s="327"/>
    </row>
    <row r="236" spans="2:4" ht="15.75">
      <c r="B236" s="327"/>
      <c r="C236" s="327"/>
      <c r="D236" s="327"/>
    </row>
    <row r="237" spans="2:4" ht="15.75">
      <c r="B237" s="327"/>
      <c r="C237" s="327"/>
      <c r="D237" s="327"/>
    </row>
    <row r="238" spans="2:4" ht="15.75">
      <c r="B238" s="327"/>
      <c r="C238" s="327"/>
      <c r="D238" s="327"/>
    </row>
    <row r="239" spans="2:4" ht="15.75">
      <c r="B239" s="327"/>
      <c r="C239" s="327"/>
      <c r="D239" s="327"/>
    </row>
    <row r="240" spans="2:4" ht="15.75">
      <c r="B240" s="327"/>
      <c r="C240" s="327"/>
      <c r="D240" s="327"/>
    </row>
    <row r="241" spans="2:4" ht="15.75">
      <c r="B241" s="327"/>
      <c r="C241" s="327"/>
      <c r="D241" s="327"/>
    </row>
    <row r="242" spans="2:4" ht="15.75">
      <c r="B242" s="327"/>
      <c r="C242" s="327"/>
      <c r="D242" s="327"/>
    </row>
    <row r="243" spans="2:4" ht="15.75">
      <c r="B243" s="327"/>
      <c r="C243" s="327"/>
      <c r="D243" s="327"/>
    </row>
    <row r="244" spans="2:4" ht="15.75">
      <c r="B244" s="327"/>
      <c r="C244" s="327"/>
      <c r="D244" s="327"/>
    </row>
    <row r="245" spans="2:4" ht="15.75">
      <c r="B245" s="327"/>
      <c r="C245" s="327"/>
      <c r="D245" s="327"/>
    </row>
    <row r="246" spans="2:4" ht="15.75">
      <c r="B246" s="327"/>
      <c r="C246" s="327"/>
      <c r="D246" s="327"/>
    </row>
    <row r="247" spans="2:4" ht="15.75">
      <c r="B247" s="327"/>
      <c r="C247" s="327"/>
      <c r="D247" s="327"/>
    </row>
    <row r="248" spans="2:4" ht="15.75">
      <c r="B248" s="327"/>
      <c r="C248" s="327"/>
      <c r="D248" s="327"/>
    </row>
    <row r="249" spans="2:4" ht="15.75">
      <c r="B249" s="327"/>
      <c r="C249" s="327"/>
      <c r="D249" s="327"/>
    </row>
    <row r="250" spans="2:4" ht="15.75">
      <c r="B250" s="327"/>
      <c r="C250" s="327"/>
      <c r="D250" s="327"/>
    </row>
    <row r="251" spans="2:4" ht="15.75">
      <c r="B251" s="327"/>
      <c r="C251" s="327"/>
      <c r="D251" s="327"/>
    </row>
    <row r="252" spans="2:4" ht="15.75">
      <c r="B252" s="327"/>
      <c r="C252" s="327"/>
      <c r="D252" s="327"/>
    </row>
    <row r="253" spans="2:4" ht="15.75">
      <c r="B253" s="327"/>
      <c r="C253" s="327"/>
      <c r="D253" s="327"/>
    </row>
    <row r="254" spans="2:4" ht="15.75">
      <c r="B254" s="327"/>
      <c r="C254" s="327"/>
      <c r="D254" s="327"/>
    </row>
    <row r="255" spans="2:4" ht="15.75">
      <c r="B255" s="327"/>
      <c r="C255" s="327"/>
      <c r="D255" s="327"/>
    </row>
    <row r="256" spans="2:4" ht="15.75">
      <c r="B256" s="327"/>
      <c r="C256" s="327"/>
      <c r="D256" s="327"/>
    </row>
    <row r="257" spans="2:4" ht="15.75">
      <c r="B257" s="327"/>
      <c r="C257" s="327"/>
      <c r="D257" s="327"/>
    </row>
    <row r="258" spans="2:4" ht="15.75">
      <c r="B258" s="327"/>
      <c r="C258" s="327"/>
      <c r="D258" s="327"/>
    </row>
    <row r="259" spans="2:4" ht="15.75">
      <c r="B259" s="327"/>
      <c r="C259" s="327"/>
      <c r="D259" s="327"/>
    </row>
    <row r="260" spans="2:4" ht="15.75">
      <c r="B260" s="327"/>
      <c r="C260" s="327"/>
      <c r="D260" s="327"/>
    </row>
    <row r="261" spans="2:4" ht="15.75">
      <c r="B261" s="327"/>
      <c r="C261" s="327"/>
      <c r="D261" s="327"/>
    </row>
    <row r="262" spans="2:4" ht="15.75">
      <c r="B262" s="327"/>
      <c r="C262" s="327"/>
      <c r="D262" s="327"/>
    </row>
    <row r="263" spans="2:4" ht="15.75">
      <c r="B263" s="327"/>
      <c r="C263" s="327"/>
      <c r="D263" s="327"/>
    </row>
    <row r="264" spans="2:4" ht="15.75">
      <c r="B264" s="327"/>
      <c r="C264" s="327"/>
      <c r="D264" s="327"/>
    </row>
    <row r="265" spans="2:4" ht="15.75">
      <c r="B265" s="327"/>
      <c r="C265" s="327"/>
      <c r="D265" s="327"/>
    </row>
    <row r="266" spans="2:4" ht="15.75">
      <c r="B266" s="327"/>
      <c r="C266" s="327"/>
      <c r="D266" s="327"/>
    </row>
    <row r="267" spans="2:4" ht="15.75">
      <c r="B267" s="327"/>
      <c r="C267" s="327"/>
      <c r="D267" s="327"/>
    </row>
    <row r="268" spans="2:4" ht="15.75">
      <c r="B268" s="327"/>
      <c r="C268" s="327"/>
      <c r="D268" s="327"/>
    </row>
    <row r="269" spans="2:4" ht="15.75">
      <c r="B269" s="327"/>
      <c r="C269" s="327"/>
      <c r="D269" s="327"/>
    </row>
    <row r="270" spans="2:4" ht="15.75">
      <c r="B270" s="327"/>
      <c r="C270" s="327"/>
      <c r="D270" s="327"/>
    </row>
    <row r="271" spans="2:4" ht="15.75">
      <c r="B271" s="327"/>
      <c r="C271" s="327"/>
      <c r="D271" s="327"/>
    </row>
    <row r="272" spans="2:4" ht="15.75">
      <c r="B272" s="327"/>
      <c r="C272" s="327"/>
      <c r="D272" s="327"/>
    </row>
    <row r="273" spans="2:4" ht="15.75">
      <c r="B273" s="327"/>
      <c r="C273" s="327"/>
      <c r="D273" s="327"/>
    </row>
    <row r="274" spans="2:4" ht="15.75">
      <c r="B274" s="327"/>
      <c r="C274" s="327"/>
      <c r="D274" s="327"/>
    </row>
    <row r="275" spans="2:4" ht="15.75">
      <c r="B275" s="327"/>
      <c r="C275" s="327"/>
      <c r="D275" s="327"/>
    </row>
    <row r="276" spans="2:4" ht="15.75">
      <c r="B276" s="327"/>
      <c r="C276" s="327"/>
      <c r="D276" s="327"/>
    </row>
    <row r="277" spans="2:4" ht="15.75">
      <c r="B277" s="327"/>
      <c r="C277" s="327"/>
      <c r="D277" s="327"/>
    </row>
    <row r="278" spans="2:4" ht="15.75">
      <c r="B278" s="327"/>
      <c r="C278" s="327"/>
      <c r="D278" s="327"/>
    </row>
    <row r="279" spans="2:4" ht="15.75">
      <c r="B279" s="327"/>
      <c r="C279" s="327"/>
      <c r="D279" s="327"/>
    </row>
    <row r="280" spans="2:4" ht="15.75">
      <c r="B280" s="327"/>
      <c r="C280" s="327"/>
      <c r="D280" s="327"/>
    </row>
    <row r="281" spans="2:4" ht="15.75">
      <c r="B281" s="327"/>
      <c r="C281" s="327"/>
      <c r="D281" s="327"/>
    </row>
    <row r="282" spans="2:4" ht="15.75">
      <c r="B282" s="327"/>
      <c r="C282" s="327"/>
      <c r="D282" s="327"/>
    </row>
    <row r="283" spans="2:4" ht="15.75">
      <c r="B283" s="327"/>
      <c r="C283" s="327"/>
      <c r="D283" s="327"/>
    </row>
    <row r="284" spans="2:4" ht="15.75">
      <c r="B284" s="327"/>
      <c r="C284" s="327"/>
      <c r="D284" s="327"/>
    </row>
    <row r="285" spans="2:4" ht="15.75">
      <c r="B285" s="327"/>
      <c r="C285" s="327"/>
      <c r="D285" s="327"/>
    </row>
    <row r="286" spans="2:4" ht="15.75">
      <c r="B286" s="327"/>
      <c r="C286" s="327"/>
      <c r="D286" s="327"/>
    </row>
    <row r="287" spans="2:4" ht="15.75">
      <c r="B287" s="327"/>
      <c r="C287" s="327"/>
      <c r="D287" s="327"/>
    </row>
    <row r="288" spans="2:4" ht="15.75">
      <c r="B288" s="327"/>
      <c r="C288" s="327"/>
      <c r="D288" s="327"/>
    </row>
    <row r="289" spans="2:4" ht="15.75">
      <c r="B289" s="327"/>
      <c r="C289" s="327"/>
      <c r="D289" s="327"/>
    </row>
  </sheetData>
  <sheetProtection/>
  <mergeCells count="4">
    <mergeCell ref="A190:D190"/>
    <mergeCell ref="A63:D63"/>
    <mergeCell ref="A126:D126"/>
    <mergeCell ref="A174:D174"/>
  </mergeCells>
  <printOptions/>
  <pageMargins left="1.12" right="0.5" top="0.74" bottom="0.34" header="0.5" footer="0"/>
  <pageSetup blackAndWhite="1" horizontalDpi="120" verticalDpi="120" orientation="portrait" scale="80" r:id="rId1"/>
  <headerFooter alignWithMargins="0">
    <oddHeader>&amp;RState of Kansas
County
</oddHeader>
  </headerFooter>
  <rowBreaks count="2" manualBreakCount="2">
    <brk id="63" max="255" man="1"/>
    <brk id="126" max="3" man="1"/>
  </rowBreaks>
</worksheet>
</file>

<file path=xl/worksheets/sheet15.xml><?xml version="1.0" encoding="utf-8"?>
<worksheet xmlns="http://schemas.openxmlformats.org/spreadsheetml/2006/main" xmlns:r="http://schemas.openxmlformats.org/officeDocument/2006/relationships">
  <sheetPr>
    <pageSetUpPr fitToPage="1"/>
  </sheetPr>
  <dimension ref="B1:K62"/>
  <sheetViews>
    <sheetView zoomScalePageLayoutView="0" workbookViewId="0" topLeftCell="A1">
      <selection activeCell="E52" sqref="E52"/>
    </sheetView>
  </sheetViews>
  <sheetFormatPr defaultColWidth="8.796875" defaultRowHeight="15"/>
  <cols>
    <col min="1" max="1" width="2.3984375" style="140" customWidth="1"/>
    <col min="2" max="2" width="31.09765625" style="140" customWidth="1"/>
    <col min="3" max="4" width="16.19921875" style="140" customWidth="1"/>
    <col min="5" max="5" width="16.296875" style="140" customWidth="1"/>
    <col min="6" max="6" width="7.3984375" style="140" customWidth="1"/>
    <col min="7" max="7" width="10.19921875" style="140" customWidth="1"/>
    <col min="8" max="8" width="8.8984375" style="140" customWidth="1"/>
    <col min="9" max="9" width="5" style="140" customWidth="1"/>
    <col min="10" max="10" width="10" style="140" customWidth="1"/>
    <col min="11" max="16384" width="8.8984375" style="140" customWidth="1"/>
  </cols>
  <sheetData>
    <row r="1" spans="2:5" ht="15.75">
      <c r="B1" s="224" t="str">
        <f>inputPrYr!C2</f>
        <v>Gove County</v>
      </c>
      <c r="C1" s="82"/>
      <c r="D1" s="82"/>
      <c r="E1" s="251">
        <f>inputPrYr!$C$4</f>
        <v>2014</v>
      </c>
    </row>
    <row r="2" spans="2:5" ht="15.75">
      <c r="B2" s="82"/>
      <c r="C2" s="82"/>
      <c r="D2" s="82"/>
      <c r="E2" s="236"/>
    </row>
    <row r="3" spans="2:5" ht="15.75">
      <c r="B3" s="149" t="s">
        <v>986</v>
      </c>
      <c r="C3" s="328"/>
      <c r="D3" s="328"/>
      <c r="E3" s="329"/>
    </row>
    <row r="4" spans="2:5" ht="15.75">
      <c r="B4" s="82"/>
      <c r="C4" s="322"/>
      <c r="D4" s="322"/>
      <c r="E4" s="322"/>
    </row>
    <row r="5" spans="2:5" ht="15.75">
      <c r="B5" s="81" t="s">
        <v>312</v>
      </c>
      <c r="C5" s="688" t="s">
        <v>172</v>
      </c>
      <c r="D5" s="689" t="s">
        <v>173</v>
      </c>
      <c r="E5" s="211" t="s">
        <v>174</v>
      </c>
    </row>
    <row r="6" spans="2:5" ht="15.75">
      <c r="B6" s="473" t="str">
        <f>inputPrYr!B17</f>
        <v>Bond &amp; Interest</v>
      </c>
      <c r="C6" s="446" t="str">
        <f>CONCATENATE("Actual for ",E1-2,"")</f>
        <v>Actual for 2012</v>
      </c>
      <c r="D6" s="446" t="str">
        <f>CONCATENATE("Estimate for ",E1-1,"")</f>
        <v>Estimate for 2013</v>
      </c>
      <c r="E6" s="299" t="str">
        <f>CONCATENATE("Year for ",E1,"")</f>
        <v>Year for 2014</v>
      </c>
    </row>
    <row r="7" spans="2:5" ht="15.75">
      <c r="B7" s="145" t="s">
        <v>1028</v>
      </c>
      <c r="C7" s="450">
        <v>9177</v>
      </c>
      <c r="D7" s="452">
        <f>C42</f>
        <v>0</v>
      </c>
      <c r="E7" s="330">
        <f>D42</f>
        <v>0</v>
      </c>
    </row>
    <row r="8" spans="2:5" ht="15.75">
      <c r="B8" s="331" t="s">
        <v>1030</v>
      </c>
      <c r="C8" s="451"/>
      <c r="D8" s="452"/>
      <c r="E8" s="330"/>
    </row>
    <row r="9" spans="2:5" ht="15.75">
      <c r="B9" s="145" t="s">
        <v>911</v>
      </c>
      <c r="C9" s="443">
        <v>-3604</v>
      </c>
      <c r="D9" s="449">
        <f>IF(inputPrYr!H17&gt;0,inputPrYr!H17,inputPrYr!E17)</f>
        <v>0</v>
      </c>
      <c r="E9" s="332" t="s">
        <v>299</v>
      </c>
    </row>
    <row r="10" spans="2:5" ht="15.75">
      <c r="B10" s="145" t="s">
        <v>912</v>
      </c>
      <c r="C10" s="443">
        <v>891</v>
      </c>
      <c r="D10" s="443"/>
      <c r="E10" s="333"/>
    </row>
    <row r="11" spans="2:5" ht="15.75">
      <c r="B11" s="145" t="s">
        <v>913</v>
      </c>
      <c r="C11" s="443">
        <v>13973</v>
      </c>
      <c r="D11" s="443"/>
      <c r="E11" s="334" t="str">
        <f>mvalloc!E8</f>
        <v> </v>
      </c>
    </row>
    <row r="12" spans="2:10" ht="15.75">
      <c r="B12" s="145" t="s">
        <v>914</v>
      </c>
      <c r="C12" s="443">
        <v>373</v>
      </c>
      <c r="D12" s="443"/>
      <c r="E12" s="334" t="str">
        <f>mvalloc!F8</f>
        <v> </v>
      </c>
      <c r="G12" s="793" t="str">
        <f>CONCATENATE("Desired Carryover Into ",E1+1,"")</f>
        <v>Desired Carryover Into 2015</v>
      </c>
      <c r="H12" s="794"/>
      <c r="I12" s="794"/>
      <c r="J12" s="795"/>
    </row>
    <row r="13" spans="2:10" ht="15.75">
      <c r="B13" s="335" t="s">
        <v>1010</v>
      </c>
      <c r="C13" s="443"/>
      <c r="D13" s="443"/>
      <c r="E13" s="334" t="str">
        <f>mvalloc!G8</f>
        <v> </v>
      </c>
      <c r="G13" s="636"/>
      <c r="H13" s="637"/>
      <c r="I13" s="638"/>
      <c r="J13" s="639"/>
    </row>
    <row r="14" spans="2:10" ht="15.75">
      <c r="B14" s="336" t="s">
        <v>373</v>
      </c>
      <c r="C14" s="443"/>
      <c r="D14" s="443"/>
      <c r="E14" s="337"/>
      <c r="G14" s="640" t="s">
        <v>813</v>
      </c>
      <c r="H14" s="638"/>
      <c r="I14" s="638"/>
      <c r="J14" s="641">
        <v>0</v>
      </c>
    </row>
    <row r="15" spans="2:10" ht="15.75">
      <c r="B15" s="336"/>
      <c r="C15" s="443"/>
      <c r="D15" s="443"/>
      <c r="E15" s="333"/>
      <c r="G15" s="636" t="s">
        <v>814</v>
      </c>
      <c r="H15" s="637"/>
      <c r="I15" s="637"/>
      <c r="J15" s="642">
        <f>IF(J14=0,"",ROUND((J14+E48-G27)/inputOth!E6*1000,3)-G32)</f>
      </c>
    </row>
    <row r="16" spans="2:10" ht="15.75">
      <c r="B16" s="336"/>
      <c r="C16" s="443"/>
      <c r="D16" s="443"/>
      <c r="E16" s="333"/>
      <c r="G16" s="643" t="str">
        <f>CONCATENATE("",E1," Tot Exp/Non-Appr Must Be:")</f>
        <v>2014 Tot Exp/Non-Appr Must Be:</v>
      </c>
      <c r="H16" s="644"/>
      <c r="I16" s="645"/>
      <c r="J16" s="646">
        <f>IF(J14&gt;0,IF(E45&lt;E22,IF(J14=G27,E45,((J14-G27)*(1-D47))+E22),E45+(J14-G27)),0)</f>
        <v>0</v>
      </c>
    </row>
    <row r="17" spans="2:10" ht="15.75">
      <c r="B17" s="336"/>
      <c r="C17" s="443"/>
      <c r="D17" s="443"/>
      <c r="E17" s="333"/>
      <c r="G17" s="647" t="s">
        <v>170</v>
      </c>
      <c r="H17" s="648"/>
      <c r="I17" s="648"/>
      <c r="J17" s="649">
        <f>IF(J14&gt;0,J16-E45,0)</f>
        <v>0</v>
      </c>
    </row>
    <row r="18" spans="2:5" ht="15.75">
      <c r="B18" s="336"/>
      <c r="C18" s="443"/>
      <c r="D18" s="443"/>
      <c r="E18" s="333"/>
    </row>
    <row r="19" spans="2:10" ht="15.75">
      <c r="B19" s="306" t="s">
        <v>867</v>
      </c>
      <c r="C19" s="443"/>
      <c r="D19" s="443"/>
      <c r="E19" s="333"/>
      <c r="G19" s="803" t="str">
        <f>CONCATENATE("Projected Carryover Into ",E1+1,"")</f>
        <v>Projected Carryover Into 2015</v>
      </c>
      <c r="H19" s="794"/>
      <c r="I19" s="794"/>
      <c r="J19" s="795"/>
    </row>
    <row r="20" spans="2:10" ht="15.75">
      <c r="B20" s="306" t="s">
        <v>868</v>
      </c>
      <c r="C20" s="444">
        <f>IF(C21*0.1&lt;C19,"Exceed 10% Rule","")</f>
      </c>
      <c r="D20" s="444">
        <f>IF(D21*0.1&lt;D19,"Exceed 10% Rule","")</f>
      </c>
      <c r="E20" s="338">
        <f>IF(E21*0.1+E48&lt;E19,"Exceed 10% Rule","")</f>
      </c>
      <c r="G20" s="463"/>
      <c r="H20" s="487"/>
      <c r="I20" s="487"/>
      <c r="J20" s="650"/>
    </row>
    <row r="21" spans="2:10" ht="15.75">
      <c r="B21" s="308" t="s">
        <v>918</v>
      </c>
      <c r="C21" s="453">
        <f>SUM(C9:C19)</f>
        <v>11633</v>
      </c>
      <c r="D21" s="454">
        <f>SUM(D9:D19)</f>
        <v>0</v>
      </c>
      <c r="E21" s="339">
        <f>SUM(E9:E19)</f>
        <v>0</v>
      </c>
      <c r="G21" s="491">
        <f>D42</f>
        <v>0</v>
      </c>
      <c r="H21" s="489" t="str">
        <f>CONCATENATE("",E1-1," Ending Cash Balance (est.)")</f>
        <v>2013 Ending Cash Balance (est.)</v>
      </c>
      <c r="I21" s="488"/>
      <c r="J21" s="651"/>
    </row>
    <row r="22" spans="2:10" ht="15.75">
      <c r="B22" s="308" t="s">
        <v>919</v>
      </c>
      <c r="C22" s="454">
        <f>C7+C21</f>
        <v>20810</v>
      </c>
      <c r="D22" s="454">
        <f>D7+D21</f>
        <v>0</v>
      </c>
      <c r="E22" s="340">
        <f>E7+E21</f>
        <v>0</v>
      </c>
      <c r="F22" s="341"/>
      <c r="G22" s="491">
        <f>E21</f>
        <v>0</v>
      </c>
      <c r="H22" s="487" t="str">
        <f>CONCATENATE("",E1," Non-AV Receipts (est.)")</f>
        <v>2014 Non-AV Receipts (est.)</v>
      </c>
      <c r="I22" s="487"/>
      <c r="J22" s="650"/>
    </row>
    <row r="23" spans="2:10" ht="15.75">
      <c r="B23" s="331" t="s">
        <v>921</v>
      </c>
      <c r="C23" s="451"/>
      <c r="D23" s="451"/>
      <c r="E23" s="334"/>
      <c r="F23" s="461">
        <f>IF(E41/0.95-E41&lt;E44,"Exceeds 5%","")</f>
      </c>
      <c r="G23" s="486">
        <f>IF(E47&gt;0,E46,E48)</f>
        <v>0</v>
      </c>
      <c r="H23" s="487" t="str">
        <f>CONCATENATE("",E1," Ad Valorem Tax (est.)")</f>
        <v>2014 Ad Valorem Tax (est.)</v>
      </c>
      <c r="I23" s="487"/>
      <c r="J23" s="650"/>
    </row>
    <row r="24" spans="2:10" ht="15.75">
      <c r="B24" s="313" t="s">
        <v>972</v>
      </c>
      <c r="C24" s="443"/>
      <c r="D24" s="443"/>
      <c r="E24" s="333"/>
      <c r="G24" s="491">
        <f>SUM(G21:G23)</f>
        <v>0</v>
      </c>
      <c r="H24" s="487" t="str">
        <f>CONCATENATE("Total ",E1," Resources Available")</f>
        <v>Total 2014 Resources Available</v>
      </c>
      <c r="I24" s="488"/>
      <c r="J24" s="651"/>
    </row>
    <row r="25" spans="2:10" ht="15.75">
      <c r="B25" s="313" t="s">
        <v>971</v>
      </c>
      <c r="C25" s="443"/>
      <c r="D25" s="443"/>
      <c r="E25" s="333"/>
      <c r="G25" s="485"/>
      <c r="H25" s="487"/>
      <c r="I25" s="487"/>
      <c r="J25" s="650"/>
    </row>
    <row r="26" spans="2:10" ht="15.75">
      <c r="B26" s="313" t="s">
        <v>550</v>
      </c>
      <c r="C26" s="443"/>
      <c r="D26" s="443"/>
      <c r="E26" s="333"/>
      <c r="G26" s="486">
        <f>C41</f>
        <v>20810</v>
      </c>
      <c r="H26" s="487" t="str">
        <f>CONCATENATE("Less ",E1-2," Expenditures")</f>
        <v>Less 2012 Expenditures</v>
      </c>
      <c r="I26" s="487"/>
      <c r="J26" s="650"/>
    </row>
    <row r="27" spans="2:10" ht="15.75">
      <c r="B27" s="313" t="s">
        <v>551</v>
      </c>
      <c r="C27" s="443"/>
      <c r="D27" s="443"/>
      <c r="E27" s="333"/>
      <c r="G27" s="685">
        <f>G24-G26</f>
        <v>-20810</v>
      </c>
      <c r="H27" s="462" t="str">
        <f>CONCATENATE("Projected ",E1+1," carryover (est.)")</f>
        <v>Projected 2015 carryover (est.)</v>
      </c>
      <c r="I27" s="465"/>
      <c r="J27" s="653"/>
    </row>
    <row r="28" spans="2:5" ht="15.75">
      <c r="B28" s="313"/>
      <c r="C28" s="443"/>
      <c r="D28" s="443"/>
      <c r="E28" s="333"/>
    </row>
    <row r="29" spans="2:10" ht="15.75">
      <c r="B29" s="313" t="s">
        <v>552</v>
      </c>
      <c r="C29" s="443">
        <v>20810</v>
      </c>
      <c r="D29" s="443"/>
      <c r="E29" s="333"/>
      <c r="G29" s="796" t="s">
        <v>171</v>
      </c>
      <c r="H29" s="797"/>
      <c r="I29" s="797"/>
      <c r="J29" s="798"/>
    </row>
    <row r="30" spans="2:10" ht="15.75">
      <c r="B30" s="313"/>
      <c r="C30" s="443"/>
      <c r="D30" s="443"/>
      <c r="E30" s="333"/>
      <c r="G30" s="654"/>
      <c r="H30" s="655"/>
      <c r="I30" s="656"/>
      <c r="J30" s="657"/>
    </row>
    <row r="31" spans="2:10" ht="15.75">
      <c r="B31" s="313"/>
      <c r="C31" s="443"/>
      <c r="D31" s="443"/>
      <c r="E31" s="333"/>
      <c r="G31" s="658" t="str">
        <f>summ!H17</f>
        <v>  </v>
      </c>
      <c r="H31" s="655" t="str">
        <f>CONCATENATE("",E1," Fund Mill Rate")</f>
        <v>2014 Fund Mill Rate</v>
      </c>
      <c r="I31" s="656"/>
      <c r="J31" s="657"/>
    </row>
    <row r="32" spans="2:10" ht="15.75">
      <c r="B32" s="313"/>
      <c r="C32" s="443"/>
      <c r="D32" s="443"/>
      <c r="E32" s="333"/>
      <c r="G32" s="659" t="str">
        <f>summ!E17</f>
        <v>  </v>
      </c>
      <c r="H32" s="655" t="str">
        <f>CONCATENATE("",E1-1," Fund Mill Rate")</f>
        <v>2013 Fund Mill Rate</v>
      </c>
      <c r="I32" s="656"/>
      <c r="J32" s="657"/>
    </row>
    <row r="33" spans="2:10" ht="15.75">
      <c r="B33" s="313"/>
      <c r="C33" s="443"/>
      <c r="D33" s="443"/>
      <c r="E33" s="333"/>
      <c r="G33" s="660">
        <f>summ!H43</f>
        <v>68.735</v>
      </c>
      <c r="H33" s="655" t="str">
        <f>CONCATENATE("Total ",E1," Mill Rate")</f>
        <v>Total 2014 Mill Rate</v>
      </c>
      <c r="I33" s="656"/>
      <c r="J33" s="657"/>
    </row>
    <row r="34" spans="2:10" ht="15.75">
      <c r="B34" s="313"/>
      <c r="C34" s="443"/>
      <c r="D34" s="443"/>
      <c r="E34" s="333"/>
      <c r="G34" s="659">
        <f>summ!E43</f>
        <v>57.134</v>
      </c>
      <c r="H34" s="661" t="str">
        <f>CONCATENATE("Total ",E1-1," Mill Rate")</f>
        <v>Total 2013 Mill Rate</v>
      </c>
      <c r="I34" s="662"/>
      <c r="J34" s="663"/>
    </row>
    <row r="35" spans="2:5" ht="15.75">
      <c r="B35" s="313"/>
      <c r="C35" s="443"/>
      <c r="D35" s="443"/>
      <c r="E35" s="333"/>
    </row>
    <row r="36" spans="2:9" ht="15.75">
      <c r="B36" s="313"/>
      <c r="C36" s="443"/>
      <c r="D36" s="443"/>
      <c r="E36" s="333"/>
      <c r="G36" s="712" t="s">
        <v>318</v>
      </c>
      <c r="H36" s="711"/>
      <c r="I36" s="710" t="str">
        <f>cert!E51</f>
        <v>Yes</v>
      </c>
    </row>
    <row r="37" spans="2:5" ht="15.75">
      <c r="B37" s="313"/>
      <c r="C37" s="443"/>
      <c r="D37" s="443"/>
      <c r="E37" s="333"/>
    </row>
    <row r="38" spans="2:5" ht="15.75">
      <c r="B38" s="306" t="s">
        <v>869</v>
      </c>
      <c r="C38" s="443"/>
      <c r="D38" s="443"/>
      <c r="E38" s="314">
        <f>Nhood!E7</f>
      </c>
    </row>
    <row r="39" spans="2:5" ht="15.75">
      <c r="B39" s="306" t="s">
        <v>867</v>
      </c>
      <c r="C39" s="443"/>
      <c r="D39" s="443"/>
      <c r="E39" s="333"/>
    </row>
    <row r="40" spans="2:5" ht="15.75">
      <c r="B40" s="306" t="s">
        <v>870</v>
      </c>
      <c r="C40" s="444">
        <f>IF(C41*0.1&lt;C39,"Exceed 10% Rule","")</f>
      </c>
      <c r="D40" s="444">
        <f>IF(D41*0.1&lt;D39,"Exceed 10% Rule","")</f>
      </c>
      <c r="E40" s="338">
        <f>IF(E41*0.1&lt;E39,"Exceed 10% Rule","")</f>
      </c>
    </row>
    <row r="41" spans="2:5" ht="15.75">
      <c r="B41" s="308" t="s">
        <v>922</v>
      </c>
      <c r="C41" s="453">
        <f>SUM(C24:C39)</f>
        <v>20810</v>
      </c>
      <c r="D41" s="454">
        <f>SUM(D24:D39)</f>
        <v>0</v>
      </c>
      <c r="E41" s="339">
        <f>SUM(E24:E39)</f>
        <v>0</v>
      </c>
    </row>
    <row r="42" spans="2:5" ht="15.75">
      <c r="B42" s="145" t="s">
        <v>1029</v>
      </c>
      <c r="C42" s="455">
        <f>C22-C41</f>
        <v>0</v>
      </c>
      <c r="D42" s="455">
        <f>D22-D41</f>
        <v>0</v>
      </c>
      <c r="E42" s="332" t="s">
        <v>299</v>
      </c>
    </row>
    <row r="43" spans="2:5" ht="15.75">
      <c r="B43" s="284" t="str">
        <f>CONCATENATE("",E$1-2,"/",E$1-1," Budget Authority Amount:")</f>
        <v>2012/2013 Budget Authority Amount:</v>
      </c>
      <c r="C43" s="276">
        <f>inputOth!B31</f>
        <v>11211</v>
      </c>
      <c r="D43" s="276">
        <f>inputPrYr!D17</f>
        <v>20227</v>
      </c>
      <c r="E43" s="332" t="s">
        <v>299</v>
      </c>
    </row>
    <row r="44" spans="2:5" ht="15.75">
      <c r="B44" s="284"/>
      <c r="C44" s="799" t="s">
        <v>810</v>
      </c>
      <c r="D44" s="800"/>
      <c r="E44" s="109"/>
    </row>
    <row r="45" spans="2:5" ht="15.75">
      <c r="B45" s="494" t="s">
        <v>615</v>
      </c>
      <c r="C45" s="801" t="s">
        <v>811</v>
      </c>
      <c r="D45" s="802"/>
      <c r="E45" s="262">
        <f>E41+E44</f>
        <v>0</v>
      </c>
    </row>
    <row r="46" spans="2:5" ht="15.75">
      <c r="B46" s="494" t="str">
        <f>CONCATENATE(C62,"     ",D62)</f>
        <v>     </v>
      </c>
      <c r="C46" s="316"/>
      <c r="D46" s="236" t="s">
        <v>923</v>
      </c>
      <c r="E46" s="117">
        <f>IF(E45-E22&gt;0,E45-E22,0)</f>
        <v>0</v>
      </c>
    </row>
    <row r="47" spans="2:5" ht="15.75">
      <c r="B47" s="236"/>
      <c r="C47" s="492" t="s">
        <v>812</v>
      </c>
      <c r="D47" s="635">
        <f>inputOth!$E$23</f>
        <v>0.01</v>
      </c>
      <c r="E47" s="262">
        <f>ROUND(IF(D47&gt;0,(E46*D47),0),0)</f>
        <v>0</v>
      </c>
    </row>
    <row r="48" spans="2:11" ht="15.75">
      <c r="B48" s="82"/>
      <c r="C48" s="791" t="str">
        <f>CONCATENATE("Amount of  ",$E$1-1," Ad Valorem Tax")</f>
        <v>Amount of  2013 Ad Valorem Tax</v>
      </c>
      <c r="D48" s="792"/>
      <c r="E48" s="342">
        <f>E46+E47</f>
        <v>0</v>
      </c>
      <c r="K48" s="652">
        <f>IF(G23=E48,"","Note: Does not include Delinquent Taxes")</f>
      </c>
    </row>
    <row r="49" spans="2:5" ht="15.75">
      <c r="B49" s="236"/>
      <c r="C49" s="82"/>
      <c r="D49" s="82"/>
      <c r="E49" s="82"/>
    </row>
    <row r="50" spans="2:5" ht="15.75">
      <c r="B50" s="284"/>
      <c r="C50" s="343"/>
      <c r="D50" s="82"/>
      <c r="E50" s="82"/>
    </row>
    <row r="55" ht="15.75">
      <c r="C55" s="222" t="s">
        <v>602</v>
      </c>
    </row>
    <row r="61" spans="3:4" ht="15.75">
      <c r="C61" s="140" t="str">
        <f>IF(C41&gt;C43,"SeeTab A","")</f>
        <v>SeeTab A</v>
      </c>
      <c r="D61" s="140">
        <f>IF(D41&gt;D43,"See Tab C","")</f>
      </c>
    </row>
    <row r="62" spans="3:4" ht="15.75">
      <c r="C62" s="140">
        <f>IF(C42&lt;0,"See Tab B","")</f>
      </c>
      <c r="D62" s="140">
        <f>IF(D42&lt;0,"See Tab D","")</f>
      </c>
    </row>
    <row r="65" ht="15.75" hidden="1"/>
    <row r="66" ht="15.75" hidden="1"/>
  </sheetData>
  <sheetProtection/>
  <mergeCells count="6">
    <mergeCell ref="C45:D45"/>
    <mergeCell ref="C48:D48"/>
    <mergeCell ref="G12:J12"/>
    <mergeCell ref="G19:J19"/>
    <mergeCell ref="G29:J29"/>
    <mergeCell ref="C44:D44"/>
  </mergeCells>
  <conditionalFormatting sqref="E39">
    <cfRule type="cellIs" priority="2" dxfId="154" operator="greaterThan" stopIfTrue="1">
      <formula>$E$41*0.1</formula>
    </cfRule>
  </conditionalFormatting>
  <conditionalFormatting sqref="E44">
    <cfRule type="cellIs" priority="3" dxfId="154" operator="greaterThan" stopIfTrue="1">
      <formula>$E$41/0.95-$E$41</formula>
    </cfRule>
  </conditionalFormatting>
  <conditionalFormatting sqref="C42">
    <cfRule type="cellIs" priority="4" dxfId="2" operator="lessThan" stopIfTrue="1">
      <formula>0</formula>
    </cfRule>
  </conditionalFormatting>
  <conditionalFormatting sqref="C41">
    <cfRule type="cellIs" priority="5" dxfId="2" operator="greaterThan" stopIfTrue="1">
      <formula>$C$43</formula>
    </cfRule>
  </conditionalFormatting>
  <conditionalFormatting sqref="D41">
    <cfRule type="cellIs" priority="6" dxfId="2" operator="greaterThan" stopIfTrue="1">
      <formula>$D$43</formula>
    </cfRule>
  </conditionalFormatting>
  <conditionalFormatting sqref="C19">
    <cfRule type="cellIs" priority="7" dxfId="2" operator="greaterThan" stopIfTrue="1">
      <formula>$C$21*0.1</formula>
    </cfRule>
  </conditionalFormatting>
  <conditionalFormatting sqref="D19">
    <cfRule type="cellIs" priority="8" dxfId="2" operator="greaterThan" stopIfTrue="1">
      <formula>$D$21*0.1</formula>
    </cfRule>
  </conditionalFormatting>
  <conditionalFormatting sqref="E19">
    <cfRule type="cellIs" priority="9" dxfId="154" operator="greaterThan" stopIfTrue="1">
      <formula>$E$21*0.1+E48</formula>
    </cfRule>
  </conditionalFormatting>
  <conditionalFormatting sqref="C39">
    <cfRule type="cellIs" priority="10" dxfId="2" operator="greaterThan" stopIfTrue="1">
      <formula>$C$41*0.1</formula>
    </cfRule>
  </conditionalFormatting>
  <conditionalFormatting sqref="D39">
    <cfRule type="cellIs" priority="11" dxfId="2" operator="greaterThan" stopIfTrue="1">
      <formula>$D$41*0.1</formula>
    </cfRule>
  </conditionalFormatting>
  <conditionalFormatting sqref="D42">
    <cfRule type="cellIs" priority="1" dxfId="0" operator="lessThan" stopIfTrue="1">
      <formula>0</formula>
    </cfRule>
  </conditionalFormatting>
  <printOptions/>
  <pageMargins left="0.68" right="0.75" top="1" bottom="0.66" header="0.5" footer="0.5"/>
  <pageSetup blackAndWhite="1" fitToHeight="1" fitToWidth="1" horizontalDpi="600" verticalDpi="600" orientation="portrait" scale="79" r:id="rId1"/>
  <headerFooter alignWithMargins="0">
    <oddHeader>&amp;RState of Kansas
County</oddHeader>
  </headerFooter>
</worksheet>
</file>

<file path=xl/worksheets/sheet16.xml><?xml version="1.0" encoding="utf-8"?>
<worksheet xmlns="http://schemas.openxmlformats.org/spreadsheetml/2006/main" xmlns:r="http://schemas.openxmlformats.org/officeDocument/2006/relationships">
  <dimension ref="B1:K70"/>
  <sheetViews>
    <sheetView zoomScalePageLayoutView="0" workbookViewId="0" topLeftCell="A1">
      <selection activeCell="E52" sqref="E52"/>
    </sheetView>
  </sheetViews>
  <sheetFormatPr defaultColWidth="8.796875" defaultRowHeight="15"/>
  <cols>
    <col min="1" max="1" width="2.3984375" style="70" customWidth="1"/>
    <col min="2" max="2" width="31.09765625" style="70" customWidth="1"/>
    <col min="3" max="4" width="15.796875" style="70" customWidth="1"/>
    <col min="5" max="5" width="16.19921875" style="70" customWidth="1"/>
    <col min="6" max="6" width="7.3984375" style="70" customWidth="1"/>
    <col min="7" max="7" width="10.19921875" style="70" customWidth="1"/>
    <col min="8" max="8" width="8.8984375" style="70" customWidth="1"/>
    <col min="9" max="9" width="5" style="70" customWidth="1"/>
    <col min="10" max="10" width="10" style="70" customWidth="1"/>
    <col min="11" max="16384" width="8.8984375" style="70" customWidth="1"/>
  </cols>
  <sheetData>
    <row r="1" spans="2:5" ht="15.75">
      <c r="B1" s="224" t="str">
        <f>inputPrYr!C2</f>
        <v>Gove County</v>
      </c>
      <c r="C1" s="82"/>
      <c r="D1" s="82"/>
      <c r="E1" s="283">
        <f>inputPrYr!C4</f>
        <v>2014</v>
      </c>
    </row>
    <row r="2" spans="2:5" ht="15.75">
      <c r="B2" s="82"/>
      <c r="C2" s="82"/>
      <c r="D2" s="82"/>
      <c r="E2" s="236"/>
    </row>
    <row r="3" spans="2:5" ht="15.75">
      <c r="B3" s="149" t="s">
        <v>986</v>
      </c>
      <c r="C3" s="82"/>
      <c r="D3" s="82"/>
      <c r="E3" s="297"/>
    </row>
    <row r="4" spans="2:5" ht="15.75">
      <c r="B4" s="298" t="s">
        <v>312</v>
      </c>
      <c r="C4" s="688" t="s">
        <v>172</v>
      </c>
      <c r="D4" s="689" t="s">
        <v>173</v>
      </c>
      <c r="E4" s="211" t="s">
        <v>174</v>
      </c>
    </row>
    <row r="5" spans="2:5" ht="15.75">
      <c r="B5" s="473" t="str">
        <f>inputPrYr!B18</f>
        <v>Road &amp; Bridge</v>
      </c>
      <c r="C5" s="446" t="str">
        <f>CONCATENATE("Actual for ",E1-2,"")</f>
        <v>Actual for 2012</v>
      </c>
      <c r="D5" s="446" t="str">
        <f>CONCATENATE("Estimate for ",E1-1,"")</f>
        <v>Estimate for 2013</v>
      </c>
      <c r="E5" s="299" t="str">
        <f>CONCATENATE("Year for ",E1,"")</f>
        <v>Year for 2014</v>
      </c>
    </row>
    <row r="6" spans="2:5" ht="15.75">
      <c r="B6" s="300" t="s">
        <v>1028</v>
      </c>
      <c r="C6" s="443">
        <v>896</v>
      </c>
      <c r="D6" s="447">
        <f>C48</f>
        <v>235</v>
      </c>
      <c r="E6" s="262">
        <f>D48</f>
        <v>65293</v>
      </c>
    </row>
    <row r="7" spans="2:5" ht="15.75">
      <c r="B7" s="287" t="s">
        <v>1030</v>
      </c>
      <c r="C7" s="302"/>
      <c r="D7" s="302"/>
      <c r="E7" s="124"/>
    </row>
    <row r="8" spans="2:5" ht="15.75">
      <c r="B8" s="300" t="s">
        <v>911</v>
      </c>
      <c r="C8" s="443">
        <v>1350631</v>
      </c>
      <c r="D8" s="447">
        <f>IF(inputPrYr!H18&gt;0,inputPrYr!H18,inputPrYr!E18)</f>
        <v>1691765</v>
      </c>
      <c r="E8" s="217" t="s">
        <v>299</v>
      </c>
    </row>
    <row r="9" spans="2:5" ht="15.75">
      <c r="B9" s="300" t="s">
        <v>912</v>
      </c>
      <c r="C9" s="443">
        <v>7940</v>
      </c>
      <c r="D9" s="443">
        <v>10650</v>
      </c>
      <c r="E9" s="303">
        <v>10250</v>
      </c>
    </row>
    <row r="10" spans="2:5" ht="15.75">
      <c r="B10" s="300" t="s">
        <v>913</v>
      </c>
      <c r="C10" s="443">
        <v>90601</v>
      </c>
      <c r="D10" s="443">
        <v>75688</v>
      </c>
      <c r="E10" s="124">
        <f>mvalloc!E9</f>
        <v>72884</v>
      </c>
    </row>
    <row r="11" spans="2:5" ht="15.75">
      <c r="B11" s="300" t="s">
        <v>914</v>
      </c>
      <c r="C11" s="443">
        <v>2459</v>
      </c>
      <c r="D11" s="443">
        <v>2500</v>
      </c>
      <c r="E11" s="124">
        <f>mvalloc!F9</f>
        <v>2541</v>
      </c>
    </row>
    <row r="12" spans="2:5" ht="15.75">
      <c r="B12" s="302" t="s">
        <v>1010</v>
      </c>
      <c r="C12" s="443">
        <v>8012</v>
      </c>
      <c r="D12" s="443">
        <v>7800</v>
      </c>
      <c r="E12" s="124">
        <f>mvalloc!G9</f>
        <v>6104</v>
      </c>
    </row>
    <row r="13" spans="2:5" ht="15.75">
      <c r="B13" s="344" t="s">
        <v>184</v>
      </c>
      <c r="C13" s="443">
        <v>230060</v>
      </c>
      <c r="D13" s="443">
        <v>222947</v>
      </c>
      <c r="E13" s="144">
        <v>236448</v>
      </c>
    </row>
    <row r="14" spans="2:5" ht="15.75">
      <c r="B14" s="344" t="s">
        <v>185</v>
      </c>
      <c r="C14" s="443">
        <v>3509</v>
      </c>
      <c r="D14" s="443"/>
      <c r="E14" s="144"/>
    </row>
    <row r="15" spans="2:5" ht="15.75">
      <c r="B15" s="344" t="s">
        <v>553</v>
      </c>
      <c r="C15" s="443"/>
      <c r="D15" s="443"/>
      <c r="E15" s="144"/>
    </row>
    <row r="16" spans="2:5" ht="15.75">
      <c r="B16" s="345" t="s">
        <v>554</v>
      </c>
      <c r="C16" s="443">
        <v>33500</v>
      </c>
      <c r="D16" s="443">
        <v>31960</v>
      </c>
      <c r="E16" s="144"/>
    </row>
    <row r="17" spans="2:5" ht="15.75">
      <c r="B17" s="304" t="s">
        <v>555</v>
      </c>
      <c r="C17" s="443">
        <v>196</v>
      </c>
      <c r="D17" s="443"/>
      <c r="E17" s="303"/>
    </row>
    <row r="18" spans="2:5" ht="15.75">
      <c r="B18" s="304" t="s">
        <v>616</v>
      </c>
      <c r="C18" s="443"/>
      <c r="D18" s="443">
        <v>22444</v>
      </c>
      <c r="E18" s="303">
        <v>23000</v>
      </c>
    </row>
    <row r="19" spans="2:5" ht="15.75">
      <c r="B19" s="304"/>
      <c r="C19" s="443"/>
      <c r="D19" s="443"/>
      <c r="E19" s="303"/>
    </row>
    <row r="20" spans="2:5" ht="15.75">
      <c r="B20" s="305"/>
      <c r="C20" s="443"/>
      <c r="D20" s="443"/>
      <c r="E20" s="303"/>
    </row>
    <row r="21" spans="2:5" ht="15.75">
      <c r="B21" s="305"/>
      <c r="C21" s="443"/>
      <c r="D21" s="443"/>
      <c r="E21" s="303"/>
    </row>
    <row r="22" spans="2:5" ht="15.75">
      <c r="B22" s="304"/>
      <c r="C22" s="443"/>
      <c r="D22" s="443"/>
      <c r="E22" s="303"/>
    </row>
    <row r="23" spans="2:5" ht="15.75">
      <c r="B23" s="304"/>
      <c r="C23" s="443"/>
      <c r="D23" s="443"/>
      <c r="E23" s="303"/>
    </row>
    <row r="24" spans="2:5" ht="15.75">
      <c r="B24" s="304"/>
      <c r="C24" s="443"/>
      <c r="D24" s="443"/>
      <c r="E24" s="303"/>
    </row>
    <row r="25" spans="2:5" ht="15.75">
      <c r="B25" s="304"/>
      <c r="C25" s="443"/>
      <c r="D25" s="443"/>
      <c r="E25" s="303"/>
    </row>
    <row r="26" spans="2:5" ht="15.75">
      <c r="B26" s="304"/>
      <c r="C26" s="443"/>
      <c r="D26" s="443"/>
      <c r="E26" s="303"/>
    </row>
    <row r="27" spans="2:5" ht="15.75">
      <c r="B27" s="304"/>
      <c r="C27" s="443"/>
      <c r="D27" s="443"/>
      <c r="E27" s="303"/>
    </row>
    <row r="28" spans="2:5" ht="15.75">
      <c r="B28" s="306" t="s">
        <v>867</v>
      </c>
      <c r="C28" s="443">
        <v>61428</v>
      </c>
      <c r="D28" s="443">
        <v>18680</v>
      </c>
      <c r="E28" s="303"/>
    </row>
    <row r="29" spans="2:5" ht="15.75">
      <c r="B29" s="306" t="s">
        <v>808</v>
      </c>
      <c r="C29" s="444">
        <f>IF(C30*0.1&lt;C28,"Exceed 10% Rule","")</f>
      </c>
      <c r="D29" s="444">
        <f>IF(D30*0.1&lt;D28,"Exceed 10% Rule","")</f>
      </c>
      <c r="E29" s="338">
        <f>IF(E30*0.1+E54&lt;E28,"Exceed 10% Rule","")</f>
      </c>
    </row>
    <row r="30" spans="2:5" ht="15.75">
      <c r="B30" s="308" t="s">
        <v>918</v>
      </c>
      <c r="C30" s="445">
        <f>SUM(C8:C28)</f>
        <v>1788336</v>
      </c>
      <c r="D30" s="445">
        <f>SUM(D8:D28)</f>
        <v>2084434</v>
      </c>
      <c r="E30" s="346">
        <f>SUM(E9:E28)</f>
        <v>351227</v>
      </c>
    </row>
    <row r="31" spans="2:5" ht="15.75">
      <c r="B31" s="308" t="s">
        <v>919</v>
      </c>
      <c r="C31" s="445">
        <f>C6+C30</f>
        <v>1789232</v>
      </c>
      <c r="D31" s="445">
        <f>D6+D30</f>
        <v>2084669</v>
      </c>
      <c r="E31" s="346">
        <f>E6+E30</f>
        <v>416520</v>
      </c>
    </row>
    <row r="32" spans="2:5" ht="15.75">
      <c r="B32" s="145" t="s">
        <v>921</v>
      </c>
      <c r="C32" s="445"/>
      <c r="D32" s="445"/>
      <c r="E32" s="346"/>
    </row>
    <row r="33" spans="2:5" ht="15.75">
      <c r="B33" s="348" t="s">
        <v>556</v>
      </c>
      <c r="C33" s="443">
        <v>511070</v>
      </c>
      <c r="D33" s="443">
        <v>525000</v>
      </c>
      <c r="E33" s="144">
        <v>525000</v>
      </c>
    </row>
    <row r="34" spans="2:5" ht="15.75">
      <c r="B34" s="348" t="s">
        <v>557</v>
      </c>
      <c r="C34" s="443">
        <v>177560</v>
      </c>
      <c r="D34" s="443">
        <v>275000</v>
      </c>
      <c r="E34" s="144">
        <v>240000</v>
      </c>
    </row>
    <row r="35" spans="2:5" ht="15.75">
      <c r="B35" s="348" t="s">
        <v>558</v>
      </c>
      <c r="C35" s="443">
        <v>476718</v>
      </c>
      <c r="D35" s="443">
        <v>514376</v>
      </c>
      <c r="E35" s="144">
        <v>784931</v>
      </c>
    </row>
    <row r="36" spans="2:5" ht="15.75">
      <c r="B36" s="348" t="s">
        <v>559</v>
      </c>
      <c r="C36" s="443">
        <v>35649</v>
      </c>
      <c r="D36" s="443">
        <v>230000</v>
      </c>
      <c r="E36" s="144">
        <v>300000</v>
      </c>
    </row>
    <row r="37" spans="2:5" ht="15.75">
      <c r="B37" s="348"/>
      <c r="C37" s="443"/>
      <c r="D37" s="443"/>
      <c r="E37" s="144"/>
    </row>
    <row r="38" spans="2:5" ht="15.75">
      <c r="B38" s="348" t="s">
        <v>560</v>
      </c>
      <c r="C38" s="443"/>
      <c r="D38" s="443"/>
      <c r="E38" s="144"/>
    </row>
    <row r="39" spans="2:5" ht="15.75">
      <c r="B39" s="348" t="s">
        <v>561</v>
      </c>
      <c r="C39" s="443">
        <v>447000</v>
      </c>
      <c r="D39" s="443">
        <v>225000</v>
      </c>
      <c r="E39" s="144">
        <v>250000</v>
      </c>
    </row>
    <row r="40" spans="2:5" ht="15.75">
      <c r="B40" s="348" t="s">
        <v>562</v>
      </c>
      <c r="C40" s="443">
        <v>141000</v>
      </c>
      <c r="D40" s="443">
        <v>250000</v>
      </c>
      <c r="E40" s="144"/>
    </row>
    <row r="41" spans="2:5" ht="15.75">
      <c r="B41" s="348"/>
      <c r="C41" s="443"/>
      <c r="D41" s="443"/>
      <c r="E41" s="144"/>
    </row>
    <row r="42" spans="2:5" ht="15.75">
      <c r="B42" s="348"/>
      <c r="C42" s="443"/>
      <c r="D42" s="443"/>
      <c r="E42" s="144"/>
    </row>
    <row r="43" spans="2:5" ht="15.75">
      <c r="B43" s="348"/>
      <c r="C43" s="443"/>
      <c r="D43" s="443"/>
      <c r="E43" s="144"/>
    </row>
    <row r="44" spans="2:5" ht="15.75">
      <c r="B44" s="306" t="s">
        <v>869</v>
      </c>
      <c r="C44" s="443"/>
      <c r="D44" s="443"/>
      <c r="E44" s="314">
        <f>Nhood!E8</f>
      </c>
    </row>
    <row r="45" spans="2:5" ht="15.75">
      <c r="B45" s="306" t="s">
        <v>867</v>
      </c>
      <c r="C45" s="443"/>
      <c r="D45" s="443"/>
      <c r="E45" s="303"/>
    </row>
    <row r="46" spans="2:10" ht="15.75">
      <c r="B46" s="306" t="s">
        <v>807</v>
      </c>
      <c r="C46" s="444">
        <f>IF(C47*0.1&lt;C45,"Exceed 10% Rule","")</f>
      </c>
      <c r="D46" s="444">
        <f>IF(D47*0.1&lt;D45,"Exceed 10% Rule","")</f>
      </c>
      <c r="E46" s="338">
        <f>IF(E47*0.1&lt;E45,"Exceed 10% Rule","")</f>
      </c>
      <c r="G46" s="793" t="str">
        <f>CONCATENATE("Desired Carryover Into ",E1+1,"")</f>
        <v>Desired Carryover Into 2015</v>
      </c>
      <c r="H46" s="794"/>
      <c r="I46" s="794"/>
      <c r="J46" s="795"/>
    </row>
    <row r="47" spans="2:10" ht="15.75">
      <c r="B47" s="308" t="s">
        <v>922</v>
      </c>
      <c r="C47" s="445">
        <f>SUM(C33:C45)</f>
        <v>1788997</v>
      </c>
      <c r="D47" s="445">
        <f>SUM(D33:D45)</f>
        <v>2019376</v>
      </c>
      <c r="E47" s="346">
        <f>SUM(E33:E45)</f>
        <v>2099931</v>
      </c>
      <c r="G47" s="636"/>
      <c r="H47" s="637"/>
      <c r="I47" s="638"/>
      <c r="J47" s="639"/>
    </row>
    <row r="48" spans="2:10" ht="15.75">
      <c r="B48" s="145" t="s">
        <v>1029</v>
      </c>
      <c r="C48" s="448">
        <f>C31-C47</f>
        <v>235</v>
      </c>
      <c r="D48" s="448">
        <f>D31-D47</f>
        <v>65293</v>
      </c>
      <c r="E48" s="217" t="s">
        <v>299</v>
      </c>
      <c r="G48" s="640" t="s">
        <v>813</v>
      </c>
      <c r="H48" s="638"/>
      <c r="I48" s="638"/>
      <c r="J48" s="641">
        <v>0</v>
      </c>
    </row>
    <row r="49" spans="2:10" ht="15.75">
      <c r="B49" s="284" t="str">
        <f>CONCATENATE("",E$1-2,"/",E$1-1," Budget Authority Amount:")</f>
        <v>2012/2013 Budget Authority Amount:</v>
      </c>
      <c r="C49" s="276">
        <f>inputOth!$B32</f>
        <v>1817000</v>
      </c>
      <c r="D49" s="276">
        <f>inputPrYr!D18</f>
        <v>2029000</v>
      </c>
      <c r="E49" s="217" t="s">
        <v>299</v>
      </c>
      <c r="G49" s="636" t="s">
        <v>814</v>
      </c>
      <c r="H49" s="637"/>
      <c r="I49" s="637"/>
      <c r="J49" s="642">
        <f>IF(J48=0,"",ROUND((J48+E54-G61)/inputOth!E6*1000,3)-G66)</f>
      </c>
    </row>
    <row r="50" spans="2:10" ht="15.75">
      <c r="B50" s="284"/>
      <c r="C50" s="799" t="s">
        <v>810</v>
      </c>
      <c r="D50" s="800"/>
      <c r="E50" s="109"/>
      <c r="G50" s="643" t="str">
        <f>CONCATENATE("",E1," Tot Exp/Non-Appr Must Be:")</f>
        <v>2014 Tot Exp/Non-Appr Must Be:</v>
      </c>
      <c r="H50" s="644"/>
      <c r="I50" s="645"/>
      <c r="J50" s="646">
        <f>IF(J48&gt;0,IF(E51&lt;E31,IF(J48=G61,E51,((J48-G61)*(1-D53))+E31),E51+(J48-G61)),0)</f>
        <v>0</v>
      </c>
    </row>
    <row r="51" spans="2:10" ht="15.75">
      <c r="B51" s="494" t="str">
        <f>CONCATENATE(C66,"     ",D66)</f>
        <v>     </v>
      </c>
      <c r="C51" s="801" t="s">
        <v>811</v>
      </c>
      <c r="D51" s="802"/>
      <c r="E51" s="262">
        <f>E47+E50</f>
        <v>2099931</v>
      </c>
      <c r="G51" s="647" t="s">
        <v>170</v>
      </c>
      <c r="H51" s="648"/>
      <c r="I51" s="648"/>
      <c r="J51" s="649">
        <f>IF(J48&gt;0,J50-E51,0)</f>
        <v>0</v>
      </c>
    </row>
    <row r="52" spans="2:5" ht="15.75">
      <c r="B52" s="494" t="str">
        <f>CONCATENATE(C67,"     ",D67)</f>
        <v>     </v>
      </c>
      <c r="C52" s="316"/>
      <c r="D52" s="236" t="s">
        <v>923</v>
      </c>
      <c r="E52" s="117">
        <f>IF(E51-E31&gt;0,E51-E31,0)</f>
        <v>1683411</v>
      </c>
    </row>
    <row r="53" spans="2:10" ht="15.75">
      <c r="B53" s="284"/>
      <c r="C53" s="492" t="s">
        <v>812</v>
      </c>
      <c r="D53" s="635">
        <f>inputOth!$E$23</f>
        <v>0.01</v>
      </c>
      <c r="E53" s="262">
        <f>IF(D53&gt;0,(E52*D53),0)</f>
        <v>16834.11</v>
      </c>
      <c r="G53" s="803" t="str">
        <f>CONCATENATE("Projected Carryover Into ",E1+1,"")</f>
        <v>Projected Carryover Into 2015</v>
      </c>
      <c r="H53" s="804"/>
      <c r="I53" s="804"/>
      <c r="J53" s="805"/>
    </row>
    <row r="54" spans="2:10" ht="15.75">
      <c r="B54" s="82"/>
      <c r="C54" s="791" t="str">
        <f>CONCATENATE("Amount of  ",$E$1-1," Ad Valorem Tax")</f>
        <v>Amount of  2013 Ad Valorem Tax</v>
      </c>
      <c r="D54" s="792"/>
      <c r="E54" s="342">
        <f>E52+E53</f>
        <v>1700245.11</v>
      </c>
      <c r="G54" s="505"/>
      <c r="H54" s="504"/>
      <c r="I54" s="504"/>
      <c r="J54" s="506"/>
    </row>
    <row r="55" spans="2:10" ht="15.75">
      <c r="B55" s="82"/>
      <c r="C55" s="82"/>
      <c r="D55" s="82"/>
      <c r="E55" s="82"/>
      <c r="G55" s="491">
        <f>D48</f>
        <v>65293</v>
      </c>
      <c r="H55" s="489" t="str">
        <f>CONCATENATE("",E1-1," Ending Cash Balance (est.)")</f>
        <v>2013 Ending Cash Balance (est.)</v>
      </c>
      <c r="I55" s="488"/>
      <c r="J55" s="506"/>
    </row>
    <row r="56" spans="2:10" ht="15.75">
      <c r="B56" s="82"/>
      <c r="C56" s="82"/>
      <c r="D56" s="82"/>
      <c r="E56" s="82"/>
      <c r="F56" s="315"/>
      <c r="G56" s="491">
        <f>E30</f>
        <v>351227</v>
      </c>
      <c r="H56" s="487" t="str">
        <f>CONCATENATE("",E1," Non-AV Receipts (est.)")</f>
        <v>2014 Non-AV Receipts (est.)</v>
      </c>
      <c r="I56" s="488"/>
      <c r="J56" s="506"/>
    </row>
    <row r="57" spans="2:11" ht="15.75">
      <c r="B57" s="94"/>
      <c r="C57" s="94" t="s">
        <v>603</v>
      </c>
      <c r="D57" s="347"/>
      <c r="E57" s="347"/>
      <c r="F57" s="490">
        <f>IF(E47/0.95-E47&lt;E50,"Exceeds 5%","")</f>
      </c>
      <c r="G57" s="486">
        <f>IF(E53&gt;0,E52,E54)</f>
        <v>1683411</v>
      </c>
      <c r="H57" s="487" t="str">
        <f>CONCATENATE("",E1," Ad Valorem Tax (est.)")</f>
        <v>2014 Ad Valorem Tax (est.)</v>
      </c>
      <c r="I57" s="488"/>
      <c r="J57" s="506"/>
      <c r="K57" s="652" t="str">
        <f>IF(G57=E54,"","Note: Does not include Delinquent Taxes")</f>
        <v>Note: Does not include Delinquent Taxes</v>
      </c>
    </row>
    <row r="58" spans="7:10" ht="15.75">
      <c r="G58" s="491">
        <f>SUM(G55:G57)</f>
        <v>2099931</v>
      </c>
      <c r="H58" s="487" t="str">
        <f>CONCATENATE("Total ",E1," Resources Available")</f>
        <v>Total 2014 Resources Available</v>
      </c>
      <c r="I58" s="488"/>
      <c r="J58" s="506"/>
    </row>
    <row r="59" spans="7:10" ht="15.75">
      <c r="G59" s="485"/>
      <c r="H59" s="487"/>
      <c r="I59" s="487"/>
      <c r="J59" s="506"/>
    </row>
    <row r="60" spans="7:10" ht="15.75">
      <c r="G60" s="486">
        <f>C47*0.05+C47</f>
        <v>1878446.85</v>
      </c>
      <c r="H60" s="487" t="str">
        <f>CONCATENATE("Less ",E1-2," Expenditures + 5%")</f>
        <v>Less 2012 Expenditures + 5%</v>
      </c>
      <c r="I60" s="488"/>
      <c r="J60" s="506"/>
    </row>
    <row r="61" spans="7:10" ht="15.75">
      <c r="G61" s="484">
        <f>G58-G60</f>
        <v>221484.1499999999</v>
      </c>
      <c r="H61" s="483" t="str">
        <f>CONCATENATE("Projected ",E1," Carryover (est.)")</f>
        <v>Projected 2014 Carryover (est.)</v>
      </c>
      <c r="I61" s="465"/>
      <c r="J61" s="464"/>
    </row>
    <row r="63" spans="7:10" ht="15.75">
      <c r="G63" s="796" t="s">
        <v>171</v>
      </c>
      <c r="H63" s="797"/>
      <c r="I63" s="797"/>
      <c r="J63" s="798"/>
    </row>
    <row r="64" spans="7:10" ht="15.75">
      <c r="G64" s="654"/>
      <c r="H64" s="655"/>
      <c r="I64" s="656"/>
      <c r="J64" s="657"/>
    </row>
    <row r="65" spans="7:10" ht="15.75">
      <c r="G65" s="658">
        <f>summ!H18</f>
        <v>29.036</v>
      </c>
      <c r="H65" s="655" t="str">
        <f>CONCATENATE("",E1," Fund Mill Rate")</f>
        <v>2014 Fund Mill Rate</v>
      </c>
      <c r="I65" s="656"/>
      <c r="J65" s="657"/>
    </row>
    <row r="66" spans="3:10" ht="15.75">
      <c r="C66" s="70">
        <f>IF(C47&gt;C49,"See Tab A","")</f>
      </c>
      <c r="D66" s="70">
        <f>IF(D47&gt;D49,"See Tab C","")</f>
      </c>
      <c r="G66" s="659">
        <f>summ!E18</f>
        <v>24.416</v>
      </c>
      <c r="H66" s="655" t="str">
        <f>CONCATENATE("",E1-1," Fund Mill Rate")</f>
        <v>2013 Fund Mill Rate</v>
      </c>
      <c r="I66" s="656"/>
      <c r="J66" s="657"/>
    </row>
    <row r="67" spans="3:10" ht="15.75">
      <c r="C67" s="70">
        <f>IF(C48&lt;0,"See Tab B","")</f>
      </c>
      <c r="D67" s="70">
        <f>IF(D48&lt;0,"See Tab D","")</f>
      </c>
      <c r="G67" s="660">
        <f>summ!H43</f>
        <v>68.735</v>
      </c>
      <c r="H67" s="655" t="str">
        <f>CONCATENATE("Total ",E1," Mill Rate")</f>
        <v>Total 2014 Mill Rate</v>
      </c>
      <c r="I67" s="656"/>
      <c r="J67" s="657"/>
    </row>
    <row r="68" spans="7:10" ht="15.75">
      <c r="G68" s="659">
        <f>summ!E43</f>
        <v>57.134</v>
      </c>
      <c r="H68" s="661" t="str">
        <f>CONCATENATE("Total ",E1-1," Mill Rate")</f>
        <v>Total 2013 Mill Rate</v>
      </c>
      <c r="I68" s="662"/>
      <c r="J68" s="663"/>
    </row>
    <row r="70" spans="7:9" ht="15.75">
      <c r="G70" s="712" t="s">
        <v>318</v>
      </c>
      <c r="H70" s="711"/>
      <c r="I70" s="710" t="str">
        <f>cert!E51</f>
        <v>Yes</v>
      </c>
    </row>
    <row r="72" ht="15.75" hidden="1"/>
    <row r="73" ht="15.75" hidden="1"/>
  </sheetData>
  <sheetProtection/>
  <mergeCells count="6">
    <mergeCell ref="G46:J46"/>
    <mergeCell ref="G53:J53"/>
    <mergeCell ref="G63:J63"/>
    <mergeCell ref="C50:D50"/>
    <mergeCell ref="C51:D51"/>
    <mergeCell ref="C54:D54"/>
  </mergeCells>
  <conditionalFormatting sqref="E45">
    <cfRule type="cellIs" priority="2" dxfId="154" operator="greaterThan" stopIfTrue="1">
      <formula>$E$47*0.1</formula>
    </cfRule>
  </conditionalFormatting>
  <conditionalFormatting sqref="E50">
    <cfRule type="cellIs" priority="3" dxfId="154" operator="greaterThan" stopIfTrue="1">
      <formula>$E$47/0.95-$E$47</formula>
    </cfRule>
  </conditionalFormatting>
  <conditionalFormatting sqref="C28">
    <cfRule type="cellIs" priority="4" dxfId="2" operator="greaterThan" stopIfTrue="1">
      <formula>$C$30*0.1</formula>
    </cfRule>
  </conditionalFormatting>
  <conditionalFormatting sqref="D28">
    <cfRule type="cellIs" priority="5" dxfId="2" operator="greaterThan" stopIfTrue="1">
      <formula>$D$30*0.1</formula>
    </cfRule>
  </conditionalFormatting>
  <conditionalFormatting sqref="E28">
    <cfRule type="cellIs" priority="6" dxfId="154" operator="greaterThan" stopIfTrue="1">
      <formula>$E$30*0.1+E54</formula>
    </cfRule>
  </conditionalFormatting>
  <conditionalFormatting sqref="C45">
    <cfRule type="cellIs" priority="7" dxfId="2" operator="greaterThan" stopIfTrue="1">
      <formula>$C$47*0.1</formula>
    </cfRule>
  </conditionalFormatting>
  <conditionalFormatting sqref="D45">
    <cfRule type="cellIs" priority="8" dxfId="2" operator="greaterThan" stopIfTrue="1">
      <formula>$D$47*0.1</formula>
    </cfRule>
  </conditionalFormatting>
  <conditionalFormatting sqref="C47">
    <cfRule type="cellIs" priority="9" dxfId="2" operator="greaterThan" stopIfTrue="1">
      <formula>$C$49</formula>
    </cfRule>
  </conditionalFormatting>
  <conditionalFormatting sqref="C48">
    <cfRule type="cellIs" priority="10" dxfId="2" operator="lessThan" stopIfTrue="1">
      <formula>0</formula>
    </cfRule>
  </conditionalFormatting>
  <conditionalFormatting sqref="D47">
    <cfRule type="cellIs" priority="11" dxfId="2" operator="greaterThan" stopIfTrue="1">
      <formula>$D$49</formula>
    </cfRule>
  </conditionalFormatting>
  <conditionalFormatting sqref="D48">
    <cfRule type="cellIs" priority="1" dxfId="0" operator="lessThan" stopIfTrue="1">
      <formula>0</formula>
    </cfRule>
  </conditionalFormatting>
  <printOptions/>
  <pageMargins left="0.75" right="0.75" top="1" bottom="0.5" header="0.5" footer="0.5"/>
  <pageSetup blackAndWhite="1" fitToHeight="2" horizontalDpi="600" verticalDpi="600" orientation="portrait" scale="85" r:id="rId1"/>
  <headerFooter alignWithMargins="0">
    <oddHeader>&amp;RState of Kansas
County</oddHeader>
  </headerFooter>
</worksheet>
</file>

<file path=xl/worksheets/sheet17.xml><?xml version="1.0" encoding="utf-8"?>
<worksheet xmlns="http://schemas.openxmlformats.org/spreadsheetml/2006/main" xmlns:r="http://schemas.openxmlformats.org/officeDocument/2006/relationships">
  <dimension ref="B1:K80"/>
  <sheetViews>
    <sheetView zoomScalePageLayoutView="0" workbookViewId="0" topLeftCell="A1">
      <selection activeCell="E52" sqref="E52"/>
    </sheetView>
  </sheetViews>
  <sheetFormatPr defaultColWidth="8.796875" defaultRowHeight="15"/>
  <cols>
    <col min="1" max="1" width="2.3984375" style="70" customWidth="1"/>
    <col min="2" max="2" width="31.09765625" style="70" customWidth="1"/>
    <col min="3" max="4" width="15.796875" style="70" customWidth="1"/>
    <col min="5" max="5" width="16.09765625" style="70" customWidth="1"/>
    <col min="6" max="6" width="7.3984375" style="70" customWidth="1"/>
    <col min="7" max="7" width="10.19921875" style="70" customWidth="1"/>
    <col min="8" max="8" width="8.8984375" style="70" customWidth="1"/>
    <col min="9" max="9" width="5" style="70" customWidth="1"/>
    <col min="10" max="10" width="10" style="70" customWidth="1"/>
    <col min="11" max="16384" width="8.8984375" style="70" customWidth="1"/>
  </cols>
  <sheetData>
    <row r="1" spans="2:5" ht="15.75">
      <c r="B1" s="224" t="str">
        <f>(inputPrYr!C2)</f>
        <v>Gove County</v>
      </c>
      <c r="C1" s="82"/>
      <c r="D1" s="82"/>
      <c r="E1" s="283">
        <f>inputPrYr!C4</f>
        <v>2014</v>
      </c>
    </row>
    <row r="2" spans="2:5" ht="15.75" customHeight="1">
      <c r="B2" s="82"/>
      <c r="C2" s="82"/>
      <c r="D2" s="82"/>
      <c r="E2" s="236"/>
    </row>
    <row r="3" spans="2:10" ht="15.75">
      <c r="B3" s="149" t="s">
        <v>986</v>
      </c>
      <c r="C3" s="328"/>
      <c r="D3" s="328"/>
      <c r="E3" s="329"/>
      <c r="G3" s="793" t="str">
        <f>CONCATENATE("Desired Carryover Into ",E1+1,"")</f>
        <v>Desired Carryover Into 2015</v>
      </c>
      <c r="H3" s="794"/>
      <c r="I3" s="794"/>
      <c r="J3" s="795"/>
    </row>
    <row r="4" spans="2:10" ht="15.75">
      <c r="B4" s="81" t="s">
        <v>312</v>
      </c>
      <c r="C4" s="688" t="s">
        <v>172</v>
      </c>
      <c r="D4" s="689" t="s">
        <v>173</v>
      </c>
      <c r="E4" s="211" t="s">
        <v>174</v>
      </c>
      <c r="G4" s="636"/>
      <c r="H4" s="637"/>
      <c r="I4" s="638"/>
      <c r="J4" s="639"/>
    </row>
    <row r="5" spans="2:10" ht="15.75">
      <c r="B5" s="473" t="str">
        <f>inputPrYr!B19</f>
        <v>Noxious Weed</v>
      </c>
      <c r="C5" s="446" t="str">
        <f>CONCATENATE("Actual for ",E1-2,"")</f>
        <v>Actual for 2012</v>
      </c>
      <c r="D5" s="446" t="str">
        <f>CONCATENATE("Estimate for ",E1-1,"")</f>
        <v>Estimate for 2013</v>
      </c>
      <c r="E5" s="299" t="str">
        <f>CONCATENATE("Year for ",E1,"")</f>
        <v>Year for 2014</v>
      </c>
      <c r="G5" s="640" t="s">
        <v>813</v>
      </c>
      <c r="H5" s="638"/>
      <c r="I5" s="638"/>
      <c r="J5" s="641">
        <v>0</v>
      </c>
    </row>
    <row r="6" spans="2:10" ht="15.75">
      <c r="B6" s="145" t="s">
        <v>1028</v>
      </c>
      <c r="C6" s="443">
        <v>505</v>
      </c>
      <c r="D6" s="447">
        <f>C30</f>
        <v>284</v>
      </c>
      <c r="E6" s="262">
        <f>D30</f>
        <v>28</v>
      </c>
      <c r="G6" s="636" t="s">
        <v>814</v>
      </c>
      <c r="H6" s="637"/>
      <c r="I6" s="637"/>
      <c r="J6" s="642">
        <f>IF(J5=0,"",ROUND((J5+E36-G18)/inputOth!E6*1000,3)-G23)</f>
      </c>
    </row>
    <row r="7" spans="2:10" ht="15.75">
      <c r="B7" s="287" t="s">
        <v>1030</v>
      </c>
      <c r="C7" s="302"/>
      <c r="D7" s="302"/>
      <c r="E7" s="124"/>
      <c r="G7" s="643" t="str">
        <f>CONCATENATE("",E1," Tot Exp/Non-Appr Must Be:")</f>
        <v>2014 Tot Exp/Non-Appr Must Be:</v>
      </c>
      <c r="H7" s="644"/>
      <c r="I7" s="645"/>
      <c r="J7" s="646">
        <f>IF(J5&gt;0,IF(E33&lt;E19,IF(J5=G18,E33,((J5-G18)*(1-D35))+E19),E33+(J5-G18)),0)</f>
        <v>0</v>
      </c>
    </row>
    <row r="8" spans="2:10" ht="15.75">
      <c r="B8" s="145" t="s">
        <v>911</v>
      </c>
      <c r="C8" s="443">
        <v>86477</v>
      </c>
      <c r="D8" s="447">
        <f>IF(inputPrYr!H19&gt;0,inputPrYr!H19,inputPrYr!E19)</f>
        <v>99725</v>
      </c>
      <c r="E8" s="332" t="s">
        <v>299</v>
      </c>
      <c r="G8" s="647" t="s">
        <v>170</v>
      </c>
      <c r="H8" s="648"/>
      <c r="I8" s="648"/>
      <c r="J8" s="649">
        <f>IF(J5&gt;0,J7-E33,0)</f>
        <v>0</v>
      </c>
    </row>
    <row r="9" spans="2:10" ht="15.75">
      <c r="B9" s="145" t="s">
        <v>912</v>
      </c>
      <c r="C9" s="443">
        <v>595</v>
      </c>
      <c r="D9" s="443">
        <v>707</v>
      </c>
      <c r="E9" s="109">
        <v>675</v>
      </c>
      <c r="G9" s="1"/>
      <c r="H9" s="1"/>
      <c r="I9" s="1"/>
      <c r="J9" s="1"/>
    </row>
    <row r="10" spans="2:10" ht="15.75">
      <c r="B10" s="145" t="s">
        <v>913</v>
      </c>
      <c r="C10" s="443">
        <v>6552</v>
      </c>
      <c r="D10" s="443">
        <v>6500</v>
      </c>
      <c r="E10" s="262">
        <f>mvalloc!E10</f>
        <v>4296</v>
      </c>
      <c r="G10" s="793" t="str">
        <f>CONCATENATE("Projected Carryover Into ",E1+1,"")</f>
        <v>Projected Carryover Into 2015</v>
      </c>
      <c r="H10" s="807"/>
      <c r="I10" s="807"/>
      <c r="J10" s="808"/>
    </row>
    <row r="11" spans="2:10" ht="15.75">
      <c r="B11" s="145" t="s">
        <v>914</v>
      </c>
      <c r="C11" s="443">
        <v>178</v>
      </c>
      <c r="D11" s="443">
        <v>148</v>
      </c>
      <c r="E11" s="262">
        <f>mvalloc!F10</f>
        <v>150</v>
      </c>
      <c r="G11" s="636"/>
      <c r="H11" s="638"/>
      <c r="I11" s="638"/>
      <c r="J11" s="664"/>
    </row>
    <row r="12" spans="2:10" ht="15.75">
      <c r="B12" s="302" t="s">
        <v>979</v>
      </c>
      <c r="C12" s="443">
        <v>576</v>
      </c>
      <c r="D12" s="443">
        <v>580</v>
      </c>
      <c r="E12" s="262">
        <f>mvalloc!G10</f>
        <v>360</v>
      </c>
      <c r="G12" s="665">
        <f>D30</f>
        <v>28</v>
      </c>
      <c r="H12" s="655" t="str">
        <f>CONCATENATE("",E1-1," Ending Cash Balance (est.)")</f>
        <v>2013 Ending Cash Balance (est.)</v>
      </c>
      <c r="I12" s="666"/>
      <c r="J12" s="664"/>
    </row>
    <row r="13" spans="2:10" ht="15.75">
      <c r="B13" s="313" t="s">
        <v>563</v>
      </c>
      <c r="C13" s="443">
        <v>13</v>
      </c>
      <c r="D13" s="443">
        <v>11</v>
      </c>
      <c r="E13" s="109">
        <v>15</v>
      </c>
      <c r="G13" s="665">
        <f>E18</f>
        <v>130496</v>
      </c>
      <c r="H13" s="638" t="str">
        <f>CONCATENATE("",E1," Non-AV Receipts (est.)")</f>
        <v>2014 Non-AV Receipts (est.)</v>
      </c>
      <c r="I13" s="666"/>
      <c r="J13" s="664"/>
    </row>
    <row r="14" spans="2:10" ht="15.75">
      <c r="B14" s="313" t="s">
        <v>564</v>
      </c>
      <c r="C14" s="443">
        <v>74032</v>
      </c>
      <c r="D14" s="443">
        <v>80000</v>
      </c>
      <c r="E14" s="109">
        <v>125000</v>
      </c>
      <c r="G14" s="667">
        <f>IF(E35&gt;0,E34,E36)</f>
        <v>99020</v>
      </c>
      <c r="H14" s="638" t="str">
        <f>CONCATENATE("",E1," Ad Valorem Tax (est.)")</f>
        <v>2014 Ad Valorem Tax (est.)</v>
      </c>
      <c r="I14" s="666"/>
      <c r="J14" s="664"/>
    </row>
    <row r="15" spans="2:10" ht="15.75">
      <c r="B15" s="313" t="s">
        <v>565</v>
      </c>
      <c r="C15" s="443"/>
      <c r="D15" s="443"/>
      <c r="E15" s="109"/>
      <c r="G15" s="665">
        <f>SUM(G12:G14)</f>
        <v>229544</v>
      </c>
      <c r="H15" s="638" t="str">
        <f>CONCATENATE("Total ",E1," Resources Available")</f>
        <v>Total 2014 Resources Available</v>
      </c>
      <c r="I15" s="666"/>
      <c r="J15" s="664"/>
    </row>
    <row r="16" spans="2:10" ht="15.75">
      <c r="B16" s="306" t="s">
        <v>867</v>
      </c>
      <c r="C16" s="443"/>
      <c r="D16" s="443"/>
      <c r="E16" s="109"/>
      <c r="G16" s="668"/>
      <c r="H16" s="638"/>
      <c r="I16" s="638"/>
      <c r="J16" s="664"/>
    </row>
    <row r="17" spans="2:10" ht="15.75">
      <c r="B17" s="306" t="s">
        <v>808</v>
      </c>
      <c r="C17" s="444">
        <f>IF(C18*0.1&lt;C16,"Exceed 10% Rule","")</f>
      </c>
      <c r="D17" s="444">
        <f>IF(D18*0.1&lt;D16,"Exceed 10% Rule","")</f>
      </c>
      <c r="E17" s="338">
        <f>IF(E18*0.1+E36&lt;E16,"Exceed 10% Rule","")</f>
      </c>
      <c r="G17" s="667">
        <f>ROUND(C29*0.05+C29,0)</f>
        <v>177076</v>
      </c>
      <c r="H17" s="638" t="str">
        <f>CONCATENATE("Less ",E1-2," Expenditures + 5%")</f>
        <v>Less 2012 Expenditures + 5%</v>
      </c>
      <c r="I17" s="666"/>
      <c r="J17" s="669"/>
    </row>
    <row r="18" spans="2:10" ht="15.75">
      <c r="B18" s="308" t="s">
        <v>918</v>
      </c>
      <c r="C18" s="445">
        <f>SUM(C8:C16)</f>
        <v>168423</v>
      </c>
      <c r="D18" s="445">
        <f>SUM(D8:D16)</f>
        <v>187671</v>
      </c>
      <c r="E18" s="346">
        <f>SUM(E8:E16)</f>
        <v>130496</v>
      </c>
      <c r="G18" s="670">
        <f>G15-G17</f>
        <v>52468</v>
      </c>
      <c r="H18" s="671" t="str">
        <f>CONCATENATE("Projected ",E1+1," carryover (est.)")</f>
        <v>Projected 2015 carryover (est.)</v>
      </c>
      <c r="I18" s="672"/>
      <c r="J18" s="673"/>
    </row>
    <row r="19" spans="2:10" ht="15.75">
      <c r="B19" s="308" t="s">
        <v>919</v>
      </c>
      <c r="C19" s="445">
        <f>C6+C18</f>
        <v>168928</v>
      </c>
      <c r="D19" s="445">
        <f>D6+D18</f>
        <v>187955</v>
      </c>
      <c r="E19" s="346">
        <f>E6+E18</f>
        <v>130524</v>
      </c>
      <c r="G19" s="1"/>
      <c r="H19" s="1"/>
      <c r="I19" s="1"/>
      <c r="J19" s="1"/>
    </row>
    <row r="20" spans="2:10" ht="15.75">
      <c r="B20" s="145" t="s">
        <v>921</v>
      </c>
      <c r="C20" s="306"/>
      <c r="D20" s="306"/>
      <c r="E20" s="105"/>
      <c r="G20" s="796" t="s">
        <v>171</v>
      </c>
      <c r="H20" s="797"/>
      <c r="I20" s="797"/>
      <c r="J20" s="798"/>
    </row>
    <row r="21" spans="2:10" ht="15.75">
      <c r="B21" s="313" t="s">
        <v>556</v>
      </c>
      <c r="C21" s="443">
        <v>58279</v>
      </c>
      <c r="D21" s="443">
        <v>59120</v>
      </c>
      <c r="E21" s="109">
        <v>59120</v>
      </c>
      <c r="G21" s="654"/>
      <c r="H21" s="655"/>
      <c r="I21" s="656"/>
      <c r="J21" s="657"/>
    </row>
    <row r="22" spans="2:10" ht="15.75">
      <c r="B22" s="313" t="s">
        <v>557</v>
      </c>
      <c r="C22" s="443">
        <v>10715</v>
      </c>
      <c r="D22" s="443">
        <v>16200</v>
      </c>
      <c r="E22" s="109">
        <v>25000</v>
      </c>
      <c r="G22" s="658">
        <f>summ!H19</f>
        <v>1.708</v>
      </c>
      <c r="H22" s="655" t="str">
        <f>CONCATENATE("",E1," Fund Mill Rate")</f>
        <v>2014 Fund Mill Rate</v>
      </c>
      <c r="I22" s="656"/>
      <c r="J22" s="657"/>
    </row>
    <row r="23" spans="2:10" ht="15.75">
      <c r="B23" s="313" t="s">
        <v>558</v>
      </c>
      <c r="C23" s="443">
        <v>83088</v>
      </c>
      <c r="D23" s="443">
        <v>90630</v>
      </c>
      <c r="E23" s="109">
        <v>138424</v>
      </c>
      <c r="G23" s="659">
        <f>summ!E19</f>
        <v>1.439</v>
      </c>
      <c r="H23" s="655" t="str">
        <f>CONCATENATE("",E1-1," Fund Mill Rate")</f>
        <v>2013 Fund Mill Rate</v>
      </c>
      <c r="I23" s="656"/>
      <c r="J23" s="657"/>
    </row>
    <row r="24" spans="2:10" ht="15.75">
      <c r="B24" s="313" t="s">
        <v>559</v>
      </c>
      <c r="C24" s="443">
        <v>62</v>
      </c>
      <c r="D24" s="443">
        <v>16977</v>
      </c>
      <c r="E24" s="109">
        <v>2000</v>
      </c>
      <c r="G24" s="660">
        <f>summ!H43</f>
        <v>68.735</v>
      </c>
      <c r="H24" s="655" t="str">
        <f>CONCATENATE("Total ",E1," Mill Rate")</f>
        <v>Total 2014 Mill Rate</v>
      </c>
      <c r="I24" s="656"/>
      <c r="J24" s="657"/>
    </row>
    <row r="25" spans="2:10" ht="15.75">
      <c r="B25" s="313" t="s">
        <v>566</v>
      </c>
      <c r="C25" s="443">
        <v>16500</v>
      </c>
      <c r="D25" s="443">
        <v>5000</v>
      </c>
      <c r="E25" s="109">
        <v>5000</v>
      </c>
      <c r="G25" s="659">
        <f>summ!E43</f>
        <v>57.134</v>
      </c>
      <c r="H25" s="661" t="str">
        <f>CONCATENATE("Total ",E1-1," Mill Rate")</f>
        <v>Total 2013 Mill Rate</v>
      </c>
      <c r="I25" s="662"/>
      <c r="J25" s="663"/>
    </row>
    <row r="26" spans="2:10" ht="15.75">
      <c r="B26" s="306" t="s">
        <v>869</v>
      </c>
      <c r="C26" s="443"/>
      <c r="D26" s="443"/>
      <c r="E26" s="117">
        <f>Nhood!E9</f>
      </c>
      <c r="G26" s="1"/>
      <c r="H26" s="1"/>
      <c r="I26" s="1"/>
      <c r="J26" s="1"/>
    </row>
    <row r="27" spans="2:10" ht="15.75">
      <c r="B27" s="306" t="s">
        <v>867</v>
      </c>
      <c r="C27" s="443"/>
      <c r="D27" s="443"/>
      <c r="E27" s="109"/>
      <c r="G27" s="712" t="s">
        <v>318</v>
      </c>
      <c r="H27" s="711"/>
      <c r="I27" s="710" t="str">
        <f>cert!E51</f>
        <v>Yes</v>
      </c>
      <c r="J27" s="1"/>
    </row>
    <row r="28" spans="2:10" ht="15.75">
      <c r="B28" s="306" t="s">
        <v>807</v>
      </c>
      <c r="C28" s="444">
        <f>IF(C29*0.1&lt;C27,"Exceed 10% Rule","")</f>
      </c>
      <c r="D28" s="444">
        <f>IF(D29*0.1&lt;D27,"Exceed 10% Rule","")</f>
      </c>
      <c r="E28" s="338">
        <f>IF(E29*0.1&lt;E27,"Exceed 10% Rule","")</f>
      </c>
      <c r="G28" s="1"/>
      <c r="H28" s="1"/>
      <c r="I28" s="1"/>
      <c r="J28" s="1"/>
    </row>
    <row r="29" spans="2:10" ht="15.75">
      <c r="B29" s="308" t="s">
        <v>922</v>
      </c>
      <c r="C29" s="445">
        <f>SUM(C21:C27)</f>
        <v>168644</v>
      </c>
      <c r="D29" s="445">
        <f>SUM(D21:D27)</f>
        <v>187927</v>
      </c>
      <c r="E29" s="346">
        <f>SUM(E21:E27)</f>
        <v>229544</v>
      </c>
      <c r="G29" s="1"/>
      <c r="H29" s="1"/>
      <c r="I29" s="1"/>
      <c r="J29" s="1"/>
    </row>
    <row r="30" spans="2:10" ht="15.75">
      <c r="B30" s="145" t="s">
        <v>1029</v>
      </c>
      <c r="C30" s="448">
        <f>C19-C29</f>
        <v>284</v>
      </c>
      <c r="D30" s="448">
        <f>D19-D29</f>
        <v>28</v>
      </c>
      <c r="E30" s="332" t="s">
        <v>299</v>
      </c>
      <c r="G30" s="1"/>
      <c r="H30" s="1"/>
      <c r="I30" s="1"/>
      <c r="J30" s="1"/>
    </row>
    <row r="31" spans="2:10" ht="15.75">
      <c r="B31" s="284" t="str">
        <f>CONCATENATE("",E$1-2,"/",E$1-1," Budget Authority Amount:")</f>
        <v>2012/2013 Budget Authority Amount:</v>
      </c>
      <c r="C31" s="276">
        <f>inputOth!B33</f>
        <v>224577</v>
      </c>
      <c r="D31" s="276">
        <f>inputPrYr!D19</f>
        <v>230031</v>
      </c>
      <c r="E31" s="332" t="s">
        <v>299</v>
      </c>
      <c r="G31" s="1"/>
      <c r="H31" s="1"/>
      <c r="I31" s="1"/>
      <c r="J31" s="1"/>
    </row>
    <row r="32" spans="2:10" ht="15.75">
      <c r="B32" s="284"/>
      <c r="C32" s="799" t="s">
        <v>810</v>
      </c>
      <c r="D32" s="800"/>
      <c r="E32" s="109"/>
      <c r="F32" s="315"/>
      <c r="G32" s="1"/>
      <c r="H32" s="1"/>
      <c r="I32" s="1"/>
      <c r="J32" s="1"/>
    </row>
    <row r="33" spans="2:10" ht="15.75">
      <c r="B33" s="494" t="str">
        <f>CONCATENATE(C77,"     ",D77)</f>
        <v>     </v>
      </c>
      <c r="C33" s="801" t="s">
        <v>811</v>
      </c>
      <c r="D33" s="802"/>
      <c r="E33" s="262">
        <f>E29+E32</f>
        <v>229544</v>
      </c>
      <c r="F33" s="490">
        <f>IF(E29/0.95-E29&lt;E32,"Exceeds 5%","")</f>
      </c>
      <c r="G33" s="1"/>
      <c r="H33" s="1"/>
      <c r="I33" s="1"/>
      <c r="J33" s="1"/>
    </row>
    <row r="34" spans="2:11" ht="15.75">
      <c r="B34" s="494" t="str">
        <f>CONCATENATE(C78,"     ",D78)</f>
        <v>     </v>
      </c>
      <c r="C34" s="316"/>
      <c r="D34" s="236" t="s">
        <v>923</v>
      </c>
      <c r="E34" s="117">
        <f>IF(E33-E19&gt;0,E33-E19,0)</f>
        <v>99020</v>
      </c>
      <c r="G34" s="1"/>
      <c r="H34" s="1"/>
      <c r="I34" s="1"/>
      <c r="J34" s="1"/>
      <c r="K34" s="652" t="str">
        <f>IF(G14=E36,"","Note: Does not include Delinquent Taxes")</f>
        <v>Note: Does not include Delinquent Taxes</v>
      </c>
    </row>
    <row r="35" spans="2:10" ht="15.75">
      <c r="B35" s="236"/>
      <c r="C35" s="492" t="s">
        <v>812</v>
      </c>
      <c r="D35" s="635">
        <f>inputOth!$E$23</f>
        <v>0.01</v>
      </c>
      <c r="E35" s="262">
        <f>ROUND(IF(D35&gt;0,($E$34*D35),0),0)</f>
        <v>990</v>
      </c>
      <c r="G35" s="1"/>
      <c r="H35" s="1"/>
      <c r="I35" s="1"/>
      <c r="J35" s="1"/>
    </row>
    <row r="36" spans="2:10" ht="15.75">
      <c r="B36" s="82"/>
      <c r="C36" s="791" t="str">
        <f>CONCATENATE("Amount of  ",$E$1-1," Ad Valorem Tax")</f>
        <v>Amount of  2013 Ad Valorem Tax</v>
      </c>
      <c r="D36" s="792"/>
      <c r="E36" s="342">
        <f>E34+E35</f>
        <v>100010</v>
      </c>
      <c r="G36" s="1"/>
      <c r="H36" s="1"/>
      <c r="I36" s="1"/>
      <c r="J36" s="1"/>
    </row>
    <row r="37" spans="2:10" ht="18" customHeight="1">
      <c r="B37" s="82"/>
      <c r="C37" s="322"/>
      <c r="D37" s="322"/>
      <c r="E37" s="322"/>
      <c r="G37" s="1"/>
      <c r="H37" s="1"/>
      <c r="I37" s="1"/>
      <c r="J37" s="1"/>
    </row>
    <row r="38" spans="2:10" ht="15.75">
      <c r="B38" s="81" t="s">
        <v>312</v>
      </c>
      <c r="C38" s="688" t="str">
        <f aca="true" t="shared" si="0" ref="C38:E39">C4</f>
        <v>Prior Year </v>
      </c>
      <c r="D38" s="689" t="str">
        <f t="shared" si="0"/>
        <v>Current Year </v>
      </c>
      <c r="E38" s="211" t="str">
        <f t="shared" si="0"/>
        <v>Proposed Budget </v>
      </c>
      <c r="G38" s="1"/>
      <c r="H38" s="1"/>
      <c r="I38" s="1"/>
      <c r="J38" s="1"/>
    </row>
    <row r="39" spans="2:10" ht="12" customHeight="1">
      <c r="B39" s="472" t="str">
        <f>(inputPrYr!B20)</f>
        <v>Hospital Maintenance</v>
      </c>
      <c r="C39" s="446" t="str">
        <f t="shared" si="0"/>
        <v>Actual for 2012</v>
      </c>
      <c r="D39" s="446" t="str">
        <f t="shared" si="0"/>
        <v>Estimate for 2013</v>
      </c>
      <c r="E39" s="299" t="str">
        <f t="shared" si="0"/>
        <v>Year for 2014</v>
      </c>
      <c r="G39" s="793" t="str">
        <f>CONCATENATE("Desired Carryover Into ",E1+1,"")</f>
        <v>Desired Carryover Into 2015</v>
      </c>
      <c r="H39" s="794"/>
      <c r="I39" s="794"/>
      <c r="J39" s="795"/>
    </row>
    <row r="40" spans="2:10" ht="15.75">
      <c r="B40" s="145" t="s">
        <v>1028</v>
      </c>
      <c r="C40" s="443">
        <v>19216</v>
      </c>
      <c r="D40" s="447">
        <f>C59</f>
        <v>31359</v>
      </c>
      <c r="E40" s="262">
        <f>D59</f>
        <v>12523</v>
      </c>
      <c r="G40" s="636"/>
      <c r="H40" s="637"/>
      <c r="I40" s="638"/>
      <c r="J40" s="639"/>
    </row>
    <row r="41" spans="2:10" ht="15.75">
      <c r="B41" s="300" t="s">
        <v>1030</v>
      </c>
      <c r="C41" s="302"/>
      <c r="D41" s="302"/>
      <c r="E41" s="124"/>
      <c r="G41" s="640" t="s">
        <v>813</v>
      </c>
      <c r="H41" s="638"/>
      <c r="I41" s="638"/>
      <c r="J41" s="641">
        <v>0</v>
      </c>
    </row>
    <row r="42" spans="2:10" ht="15.75">
      <c r="B42" s="145" t="s">
        <v>911</v>
      </c>
      <c r="C42" s="443">
        <v>185241</v>
      </c>
      <c r="D42" s="447">
        <f>IF(inputPrYr!H20&gt;0,inputPrYr!H20,inputPrYr!E20)</f>
        <v>201126</v>
      </c>
      <c r="E42" s="332" t="s">
        <v>299</v>
      </c>
      <c r="G42" s="636" t="s">
        <v>814</v>
      </c>
      <c r="H42" s="637"/>
      <c r="I42" s="637"/>
      <c r="J42" s="642">
        <f>IF(J41=0,"",ROUND((J41+E65-G54)/inputOth!E6*1000,3)-G59)</f>
      </c>
    </row>
    <row r="43" spans="2:10" ht="15.75">
      <c r="B43" s="145" t="s">
        <v>912</v>
      </c>
      <c r="C43" s="443">
        <v>1158</v>
      </c>
      <c r="D43" s="443">
        <v>1444</v>
      </c>
      <c r="E43" s="109">
        <v>1200</v>
      </c>
      <c r="G43" s="643" t="str">
        <f>CONCATENATE("",E1," Tot Exp/Non-Appr Must Be:")</f>
        <v>2014 Tot Exp/Non-Appr Must Be:</v>
      </c>
      <c r="H43" s="644"/>
      <c r="I43" s="645"/>
      <c r="J43" s="646">
        <f>IF(J41&gt;0,IF(E62&lt;E52,IF(J41=G54,E62,((J41-G54)*(1-D64))+E52),E62+(J41-G54)),0)</f>
        <v>0</v>
      </c>
    </row>
    <row r="44" spans="2:10" ht="15.75">
      <c r="B44" s="145" t="s">
        <v>913</v>
      </c>
      <c r="C44" s="443">
        <v>13292</v>
      </c>
      <c r="D44" s="443">
        <v>10409</v>
      </c>
      <c r="E44" s="262">
        <f>mvalloc!E11</f>
        <v>8665</v>
      </c>
      <c r="G44" s="647" t="s">
        <v>170</v>
      </c>
      <c r="H44" s="648"/>
      <c r="I44" s="648"/>
      <c r="J44" s="649">
        <f>IF(J41&gt;0,J43-E62,0)</f>
        <v>0</v>
      </c>
    </row>
    <row r="45" spans="2:10" ht="15.75">
      <c r="B45" s="145" t="s">
        <v>914</v>
      </c>
      <c r="C45" s="443">
        <v>363</v>
      </c>
      <c r="D45" s="443">
        <v>317</v>
      </c>
      <c r="E45" s="262">
        <f>mvalloc!F11</f>
        <v>302</v>
      </c>
      <c r="G45" s="1"/>
      <c r="H45" s="1"/>
      <c r="I45" s="1"/>
      <c r="J45" s="1"/>
    </row>
    <row r="46" spans="2:10" ht="15.75">
      <c r="B46" s="302" t="s">
        <v>979</v>
      </c>
      <c r="C46" s="443">
        <v>1083</v>
      </c>
      <c r="D46" s="443">
        <v>1200</v>
      </c>
      <c r="E46" s="262">
        <f>mvalloc!G11</f>
        <v>726</v>
      </c>
      <c r="G46" s="793" t="str">
        <f>CONCATENATE("Projected Carryover Into ",E1+1,"")</f>
        <v>Projected Carryover Into 2015</v>
      </c>
      <c r="H46" s="809"/>
      <c r="I46" s="809"/>
      <c r="J46" s="808"/>
    </row>
    <row r="47" spans="2:10" ht="15.75">
      <c r="B47" s="313" t="s">
        <v>563</v>
      </c>
      <c r="C47" s="443">
        <v>27</v>
      </c>
      <c r="D47" s="443">
        <v>25</v>
      </c>
      <c r="E47" s="109">
        <v>25</v>
      </c>
      <c r="G47" s="674"/>
      <c r="H47" s="637"/>
      <c r="I47" s="637"/>
      <c r="J47" s="669"/>
    </row>
    <row r="48" spans="2:10" ht="15.75">
      <c r="B48" s="313" t="s">
        <v>505</v>
      </c>
      <c r="C48" s="443">
        <v>422979</v>
      </c>
      <c r="D48" s="443">
        <v>410000</v>
      </c>
      <c r="E48" s="109">
        <v>425000</v>
      </c>
      <c r="G48" s="665">
        <f>D59</f>
        <v>12523</v>
      </c>
      <c r="H48" s="655" t="str">
        <f>CONCATENATE("",E1-1," Ending Cash Balance (est.)")</f>
        <v>2013 Ending Cash Balance (est.)</v>
      </c>
      <c r="I48" s="666"/>
      <c r="J48" s="669"/>
    </row>
    <row r="49" spans="2:10" ht="15.75">
      <c r="B49" s="306" t="s">
        <v>867</v>
      </c>
      <c r="C49" s="443"/>
      <c r="D49" s="443"/>
      <c r="E49" s="109"/>
      <c r="G49" s="665">
        <f>E51</f>
        <v>435918</v>
      </c>
      <c r="H49" s="638" t="str">
        <f>CONCATENATE("",E1," Non-AV Receipts (est.)")</f>
        <v>2014 Non-AV Receipts (est.)</v>
      </c>
      <c r="I49" s="666"/>
      <c r="J49" s="669"/>
    </row>
    <row r="50" spans="2:10" ht="15.75">
      <c r="B50" s="306" t="s">
        <v>808</v>
      </c>
      <c r="C50" s="444">
        <f>IF(C51*0.1&lt;C49,"Exceed 10% Rule","")</f>
      </c>
      <c r="D50" s="444">
        <f>IF(D51*0.1&lt;D49,"Exceed 10% Rule","")</f>
      </c>
      <c r="E50" s="338">
        <f>IF(E51*0.1+E65&lt;E49,"Exceed 10% Rule","")</f>
      </c>
      <c r="G50" s="667">
        <f>IF(E64&gt;0,E63,E65)</f>
        <v>214981</v>
      </c>
      <c r="H50" s="638" t="str">
        <f>CONCATENATE("",E1," Ad Valorem Tax (est.)")</f>
        <v>2014 Ad Valorem Tax (est.)</v>
      </c>
      <c r="I50" s="666"/>
      <c r="J50" s="669"/>
    </row>
    <row r="51" spans="2:10" ht="15.75">
      <c r="B51" s="308" t="s">
        <v>918</v>
      </c>
      <c r="C51" s="445">
        <f>SUM(C42:C49)</f>
        <v>624143</v>
      </c>
      <c r="D51" s="445">
        <f>SUM(D42:D49)</f>
        <v>624521</v>
      </c>
      <c r="E51" s="346">
        <f>SUM(E42:E49)</f>
        <v>435918</v>
      </c>
      <c r="G51" s="675">
        <f>SUM(G48:G50)</f>
        <v>663422</v>
      </c>
      <c r="H51" s="638" t="str">
        <f>CONCATENATE("Total ",E1," Resources Available")</f>
        <v>Total 2014 Resources Available</v>
      </c>
      <c r="I51" s="676"/>
      <c r="J51" s="669"/>
    </row>
    <row r="52" spans="2:10" ht="15.75">
      <c r="B52" s="308" t="s">
        <v>919</v>
      </c>
      <c r="C52" s="445">
        <f>C40+C51</f>
        <v>643359</v>
      </c>
      <c r="D52" s="445">
        <f>D40+D51</f>
        <v>655880</v>
      </c>
      <c r="E52" s="346">
        <f>E40+E51</f>
        <v>448441</v>
      </c>
      <c r="G52" s="677"/>
      <c r="H52" s="678"/>
      <c r="I52" s="637"/>
      <c r="J52" s="669"/>
    </row>
    <row r="53" spans="2:10" ht="15.75">
      <c r="B53" s="145" t="s">
        <v>921</v>
      </c>
      <c r="C53" s="306"/>
      <c r="D53" s="306"/>
      <c r="E53" s="105"/>
      <c r="G53" s="679">
        <f>ROUND(C58*0.05+C58,0)</f>
        <v>642600</v>
      </c>
      <c r="H53" s="638" t="str">
        <f>CONCATENATE("Less ",E1-2," Expenditures + 5%")</f>
        <v>Less 2012 Expenditures + 5%</v>
      </c>
      <c r="I53" s="676"/>
      <c r="J53" s="669"/>
    </row>
    <row r="54" spans="2:10" ht="15.75">
      <c r="B54" s="313" t="s">
        <v>557</v>
      </c>
      <c r="C54" s="443">
        <v>612000</v>
      </c>
      <c r="D54" s="443">
        <v>643357</v>
      </c>
      <c r="E54" s="109">
        <v>663422</v>
      </c>
      <c r="G54" s="680">
        <f>G51-G53</f>
        <v>20822</v>
      </c>
      <c r="H54" s="671" t="str">
        <f>CONCATENATE("Projected ",E1+1," carryover (est.)")</f>
        <v>Projected 2015 carryover (est.)</v>
      </c>
      <c r="I54" s="681"/>
      <c r="J54" s="682"/>
    </row>
    <row r="55" spans="2:10" ht="15.75">
      <c r="B55" s="306" t="s">
        <v>869</v>
      </c>
      <c r="C55" s="443"/>
      <c r="D55" s="443"/>
      <c r="E55" s="117">
        <f>Nhood!E10</f>
      </c>
      <c r="G55" s="1"/>
      <c r="H55" s="1"/>
      <c r="I55" s="1"/>
      <c r="J55" s="1"/>
    </row>
    <row r="56" spans="2:10" ht="15.75">
      <c r="B56" s="306" t="s">
        <v>867</v>
      </c>
      <c r="C56" s="443"/>
      <c r="D56" s="443"/>
      <c r="E56" s="109"/>
      <c r="G56" s="796" t="s">
        <v>171</v>
      </c>
      <c r="H56" s="797"/>
      <c r="I56" s="797"/>
      <c r="J56" s="798"/>
    </row>
    <row r="57" spans="2:10" ht="15.75">
      <c r="B57" s="306" t="s">
        <v>807</v>
      </c>
      <c r="C57" s="444">
        <f>IF(C58*0.1&lt;C56,"Exceed 10% Rule","")</f>
      </c>
      <c r="D57" s="444">
        <f>IF(D58*0.1&lt;D56,"Exceed 10% Rule","")</f>
      </c>
      <c r="E57" s="338">
        <f>IF(E58*0.1&lt;E56,"Exceed 10% Rule","")</f>
      </c>
      <c r="G57" s="654"/>
      <c r="H57" s="655"/>
      <c r="I57" s="656"/>
      <c r="J57" s="657"/>
    </row>
    <row r="58" spans="2:10" ht="15.75">
      <c r="B58" s="308" t="s">
        <v>922</v>
      </c>
      <c r="C58" s="445">
        <f>SUM(C54:C56)</f>
        <v>612000</v>
      </c>
      <c r="D58" s="445">
        <f>SUM(D54:D56)</f>
        <v>643357</v>
      </c>
      <c r="E58" s="346">
        <f>SUM(E54:E56)</f>
        <v>663422</v>
      </c>
      <c r="G58" s="658">
        <f>summ!H20</f>
        <v>3.708</v>
      </c>
      <c r="H58" s="655" t="str">
        <f>CONCATENATE("",E1," Fund Mill Rate")</f>
        <v>2014 Fund Mill Rate</v>
      </c>
      <c r="I58" s="656"/>
      <c r="J58" s="657"/>
    </row>
    <row r="59" spans="2:10" ht="15.75">
      <c r="B59" s="145" t="s">
        <v>1029</v>
      </c>
      <c r="C59" s="448">
        <f>C52-C58</f>
        <v>31359</v>
      </c>
      <c r="D59" s="448">
        <f>D52-D58</f>
        <v>12523</v>
      </c>
      <c r="E59" s="332" t="s">
        <v>299</v>
      </c>
      <c r="G59" s="659">
        <f>summ!E20</f>
        <v>2.903</v>
      </c>
      <c r="H59" s="655" t="str">
        <f>CONCATENATE("",E1-1," Fund Mill Rate")</f>
        <v>2013 Fund Mill Rate</v>
      </c>
      <c r="I59" s="656"/>
      <c r="J59" s="657"/>
    </row>
    <row r="60" spans="2:10" ht="15.75">
      <c r="B60" s="284" t="str">
        <f>CONCATENATE("",E$1-2,"/",E$1-1," Budget Authority Amount:")</f>
        <v>2012/2013 Budget Authority Amount:</v>
      </c>
      <c r="C60" s="276">
        <f>inputOth!B34</f>
        <v>612000</v>
      </c>
      <c r="D60" s="276">
        <f>inputPrYr!D20</f>
        <v>643357</v>
      </c>
      <c r="E60" s="332" t="s">
        <v>299</v>
      </c>
      <c r="G60" s="660">
        <f>summ!H43</f>
        <v>68.735</v>
      </c>
      <c r="H60" s="655" t="str">
        <f>CONCATENATE("Total ",E1," Mill Rate")</f>
        <v>Total 2014 Mill Rate</v>
      </c>
      <c r="I60" s="656"/>
      <c r="J60" s="657"/>
    </row>
    <row r="61" spans="2:10" ht="15.75">
      <c r="B61" s="284"/>
      <c r="C61" s="799" t="s">
        <v>810</v>
      </c>
      <c r="D61" s="800"/>
      <c r="E61" s="109"/>
      <c r="G61" s="659">
        <f>summ!E43</f>
        <v>57.134</v>
      </c>
      <c r="H61" s="661" t="str">
        <f>CONCATENATE("Total ",E1-1," Mill Rate")</f>
        <v>Total 2013 Mill Rate</v>
      </c>
      <c r="I61" s="662"/>
      <c r="J61" s="663"/>
    </row>
    <row r="62" spans="2:5" ht="15.75">
      <c r="B62" s="493" t="str">
        <f>CONCATENATE(C79,"     ",D79)</f>
        <v>     </v>
      </c>
      <c r="C62" s="801" t="s">
        <v>811</v>
      </c>
      <c r="D62" s="802"/>
      <c r="E62" s="262">
        <f>E58+E61</f>
        <v>663422</v>
      </c>
    </row>
    <row r="63" spans="2:9" ht="15.75">
      <c r="B63" s="493" t="str">
        <f>CONCATENATE(C80,"     ",D80)</f>
        <v>     </v>
      </c>
      <c r="C63" s="316"/>
      <c r="D63" s="236" t="s">
        <v>923</v>
      </c>
      <c r="E63" s="117">
        <f>IF(E62-E52&gt;0,E62-E52,0)</f>
        <v>214981</v>
      </c>
      <c r="G63" s="712" t="s">
        <v>318</v>
      </c>
      <c r="H63" s="711"/>
      <c r="I63" s="710" t="str">
        <f>cert!E51</f>
        <v>Yes</v>
      </c>
    </row>
    <row r="64" spans="2:5" ht="15.75">
      <c r="B64" s="236"/>
      <c r="C64" s="492" t="s">
        <v>812</v>
      </c>
      <c r="D64" s="635">
        <f>inputOth!$E$23</f>
        <v>0.01</v>
      </c>
      <c r="E64" s="262">
        <f>ROUND(IF(D64&gt;0,($E$63*D64),0),0)</f>
        <v>2150</v>
      </c>
    </row>
    <row r="65" spans="2:5" ht="15.75">
      <c r="B65" s="82"/>
      <c r="C65" s="791" t="str">
        <f>CONCATENATE("Amount of  ",$E$1-1," Ad Valorem Tax")</f>
        <v>Amount of  2013 Ad Valorem Tax</v>
      </c>
      <c r="D65" s="792"/>
      <c r="E65" s="342">
        <f>E63+E64</f>
        <v>217131</v>
      </c>
    </row>
    <row r="66" spans="2:5" ht="9.75" customHeight="1">
      <c r="B66" s="82"/>
      <c r="C66" s="717"/>
      <c r="D66" s="718"/>
      <c r="E66" s="721"/>
    </row>
    <row r="67" spans="2:6" ht="15.75">
      <c r="B67" s="284"/>
      <c r="C67" s="343" t="s">
        <v>604</v>
      </c>
      <c r="D67" s="82"/>
      <c r="E67" s="82"/>
      <c r="F67" s="315"/>
    </row>
    <row r="68" ht="15.75">
      <c r="F68" s="490">
        <f>IF(E58/0.95-E58&lt;E61,"Exceeds 5%","")</f>
      </c>
    </row>
    <row r="71" ht="15.75">
      <c r="K71" s="652" t="str">
        <f>IF(G50=E65,"","Note: Does not include Delinquent Taxes")</f>
        <v>Note: Does not include Delinquent Taxes</v>
      </c>
    </row>
    <row r="77" spans="3:4" ht="15.75">
      <c r="C77" s="70">
        <f>IF(C29&gt;C31,"See Tab A","")</f>
      </c>
      <c r="D77" s="70">
        <f>IF(D29&gt;D31,"See Tab C","")</f>
      </c>
    </row>
    <row r="78" spans="3:4" ht="15.75">
      <c r="C78" s="70">
        <f>IF(C30&lt;0,"See Tab B","")</f>
      </c>
      <c r="D78" s="70">
        <f>IF(D30&lt;0,"See Tab D","")</f>
      </c>
    </row>
    <row r="79" spans="3:4" ht="15.75">
      <c r="C79" s="70">
        <f>IF(C58&gt;C60,"See Tab A","")</f>
      </c>
      <c r="D79" s="70">
        <f>IF(D58&gt;D60,"See Tab C","")</f>
      </c>
    </row>
    <row r="80" spans="3:4" ht="15.75">
      <c r="C80" s="70">
        <f>IF(C59&lt;0,"See Tab B","")</f>
      </c>
      <c r="D80" s="70">
        <f>IF(D59&lt;0,"See Tab D","")</f>
      </c>
    </row>
    <row r="87" ht="15.75" hidden="1"/>
    <row r="88" ht="15.75" hidden="1"/>
    <row r="89" ht="15.75" hidden="1"/>
    <row r="90" ht="15.75" hidden="1"/>
  </sheetData>
  <sheetProtection/>
  <mergeCells count="12">
    <mergeCell ref="C32:D32"/>
    <mergeCell ref="C33:D33"/>
    <mergeCell ref="C61:D61"/>
    <mergeCell ref="C62:D62"/>
    <mergeCell ref="C65:D65"/>
    <mergeCell ref="C36:D36"/>
    <mergeCell ref="G3:J3"/>
    <mergeCell ref="G10:J10"/>
    <mergeCell ref="G20:J20"/>
    <mergeCell ref="G39:J39"/>
    <mergeCell ref="G46:J46"/>
    <mergeCell ref="G56:J56"/>
  </mergeCells>
  <conditionalFormatting sqref="E56">
    <cfRule type="cellIs" priority="4" dxfId="154" operator="greaterThan" stopIfTrue="1">
      <formula>$E$58*0.1</formula>
    </cfRule>
  </conditionalFormatting>
  <conditionalFormatting sqref="E61">
    <cfRule type="cellIs" priority="5" dxfId="154" operator="greaterThan" stopIfTrue="1">
      <formula>$E$58/0.95-$E$58</formula>
    </cfRule>
  </conditionalFormatting>
  <conditionalFormatting sqref="E32">
    <cfRule type="cellIs" priority="6" dxfId="154" operator="greaterThan" stopIfTrue="1">
      <formula>$E$29/0.95-$E$29</formula>
    </cfRule>
  </conditionalFormatting>
  <conditionalFormatting sqref="E27">
    <cfRule type="cellIs" priority="7" dxfId="154" operator="greaterThan" stopIfTrue="1">
      <formula>$E$29*0.1</formula>
    </cfRule>
  </conditionalFormatting>
  <conditionalFormatting sqref="C29">
    <cfRule type="cellIs" priority="8" dxfId="2" operator="greaterThan" stopIfTrue="1">
      <formula>$C$31</formula>
    </cfRule>
  </conditionalFormatting>
  <conditionalFormatting sqref="C59 C30">
    <cfRule type="cellIs" priority="9" dxfId="2" operator="lessThan" stopIfTrue="1">
      <formula>0</formula>
    </cfRule>
  </conditionalFormatting>
  <conditionalFormatting sqref="D29">
    <cfRule type="cellIs" priority="10" dxfId="2" operator="greaterThan" stopIfTrue="1">
      <formula>$D$31</formula>
    </cfRule>
  </conditionalFormatting>
  <conditionalFormatting sqref="C58">
    <cfRule type="cellIs" priority="11" dxfId="2" operator="greaterThan" stopIfTrue="1">
      <formula>$C$60</formula>
    </cfRule>
  </conditionalFormatting>
  <conditionalFormatting sqref="D58">
    <cfRule type="cellIs" priority="12" dxfId="2" operator="greaterThan" stopIfTrue="1">
      <formula>$D$60</formula>
    </cfRule>
  </conditionalFormatting>
  <conditionalFormatting sqref="C56">
    <cfRule type="cellIs" priority="13" dxfId="2" operator="greaterThan" stopIfTrue="1">
      <formula>$C$58*0.1</formula>
    </cfRule>
  </conditionalFormatting>
  <conditionalFormatting sqref="D56">
    <cfRule type="cellIs" priority="14" dxfId="2" operator="greaterThan" stopIfTrue="1">
      <formula>$D$58*0.1</formula>
    </cfRule>
  </conditionalFormatting>
  <conditionalFormatting sqref="E49">
    <cfRule type="cellIs" priority="15" dxfId="154" operator="greaterThan" stopIfTrue="1">
      <formula>$E$51*0.1+E65</formula>
    </cfRule>
  </conditionalFormatting>
  <conditionalFormatting sqref="C49">
    <cfRule type="cellIs" priority="16" dxfId="2" operator="greaterThan" stopIfTrue="1">
      <formula>$C$51*0.1</formula>
    </cfRule>
  </conditionalFormatting>
  <conditionalFormatting sqref="D49">
    <cfRule type="cellIs" priority="17" dxfId="2" operator="greaterThan" stopIfTrue="1">
      <formula>$D$51*0.1</formula>
    </cfRule>
  </conditionalFormatting>
  <conditionalFormatting sqref="C27">
    <cfRule type="cellIs" priority="18" dxfId="2" operator="greaterThan" stopIfTrue="1">
      <formula>$C$29*0.1</formula>
    </cfRule>
  </conditionalFormatting>
  <conditionalFormatting sqref="D27">
    <cfRule type="cellIs" priority="19" dxfId="2" operator="greaterThan" stopIfTrue="1">
      <formula>$D$29*0.1</formula>
    </cfRule>
  </conditionalFormatting>
  <conditionalFormatting sqref="E16">
    <cfRule type="cellIs" priority="20" dxfId="154" operator="greaterThan" stopIfTrue="1">
      <formula>$E$18*0.1+E36</formula>
    </cfRule>
  </conditionalFormatting>
  <conditionalFormatting sqref="C16">
    <cfRule type="cellIs" priority="21" dxfId="2" operator="greaterThan" stopIfTrue="1">
      <formula>$C$18*0.1</formula>
    </cfRule>
  </conditionalFormatting>
  <conditionalFormatting sqref="D16">
    <cfRule type="cellIs" priority="22" dxfId="2" operator="greaterThan" stopIfTrue="1">
      <formula>$D$18*0.1</formula>
    </cfRule>
  </conditionalFormatting>
  <conditionalFormatting sqref="D30">
    <cfRule type="cellIs" priority="2" dxfId="0" operator="lessThan" stopIfTrue="1">
      <formula>0</formula>
    </cfRule>
    <cfRule type="cellIs" priority="3" dxfId="0" operator="lessThan" stopIfTrue="1">
      <formula>0</formula>
    </cfRule>
  </conditionalFormatting>
  <conditionalFormatting sqref="D59">
    <cfRule type="cellIs" priority="1" dxfId="0" operator="lessThan" stopIfTrue="1">
      <formula>0</formula>
    </cfRule>
  </conditionalFormatting>
  <printOptions/>
  <pageMargins left="0.94" right="0.5" top="0.78" bottom="0.34" header="0.47" footer="0"/>
  <pageSetup blackAndWhite="1" horizontalDpi="120" verticalDpi="120" orientation="portrait" scale="75" r:id="rId1"/>
  <headerFooter alignWithMargins="0">
    <oddHeader>&amp;RState of Kansas
County
</oddHeader>
  </headerFooter>
</worksheet>
</file>

<file path=xl/worksheets/sheet18.xml><?xml version="1.0" encoding="utf-8"?>
<worksheet xmlns="http://schemas.openxmlformats.org/spreadsheetml/2006/main" xmlns:r="http://schemas.openxmlformats.org/officeDocument/2006/relationships">
  <dimension ref="B1:K77"/>
  <sheetViews>
    <sheetView view="pageBreakPreview" zoomScale="60" zoomScalePageLayoutView="0" workbookViewId="0" topLeftCell="A1">
      <selection activeCell="E52" sqref="E52"/>
    </sheetView>
  </sheetViews>
  <sheetFormatPr defaultColWidth="8.796875" defaultRowHeight="15"/>
  <cols>
    <col min="1" max="1" width="2.3984375" style="70" customWidth="1"/>
    <col min="2" max="2" width="31.09765625" style="70" customWidth="1"/>
    <col min="3" max="4" width="15.796875" style="70" customWidth="1"/>
    <col min="5" max="5" width="16.09765625" style="70" customWidth="1"/>
    <col min="6" max="6" width="7.3984375" style="70" customWidth="1"/>
    <col min="7" max="7" width="10.19921875" style="70" customWidth="1"/>
    <col min="8" max="8" width="8.8984375" style="70" customWidth="1"/>
    <col min="9" max="9" width="5" style="70" customWidth="1"/>
    <col min="10" max="10" width="10" style="70" customWidth="1"/>
    <col min="11" max="16384" width="8.8984375" style="70" customWidth="1"/>
  </cols>
  <sheetData>
    <row r="1" spans="2:5" ht="15.75">
      <c r="B1" s="224" t="str">
        <f>(inputPrYr!C2)</f>
        <v>Gove County</v>
      </c>
      <c r="C1" s="82"/>
      <c r="D1" s="82"/>
      <c r="E1" s="283">
        <f>inputPrYr!C4</f>
        <v>2014</v>
      </c>
    </row>
    <row r="2" spans="2:5" ht="11.25" customHeight="1">
      <c r="B2" s="82"/>
      <c r="C2" s="82"/>
      <c r="D2" s="82"/>
      <c r="E2" s="236"/>
    </row>
    <row r="3" spans="2:5" ht="15.75">
      <c r="B3" s="149" t="s">
        <v>986</v>
      </c>
      <c r="C3" s="328"/>
      <c r="D3" s="328"/>
      <c r="E3" s="329"/>
    </row>
    <row r="4" spans="2:5" ht="15.75">
      <c r="B4" s="81" t="s">
        <v>312</v>
      </c>
      <c r="C4" s="688" t="s">
        <v>172</v>
      </c>
      <c r="D4" s="689" t="s">
        <v>173</v>
      </c>
      <c r="E4" s="211" t="s">
        <v>174</v>
      </c>
    </row>
    <row r="5" spans="2:10" ht="15.75">
      <c r="B5" s="473" t="str">
        <f>inputPrYr!B21</f>
        <v>Employee Benefits</v>
      </c>
      <c r="C5" s="446" t="str">
        <f>CONCATENATE("Actual for ",E1-2,"")</f>
        <v>Actual for 2012</v>
      </c>
      <c r="D5" s="446" t="str">
        <f>CONCATENATE("Estimate for ",E1-1,"")</f>
        <v>Estimate for 2013</v>
      </c>
      <c r="E5" s="299" t="str">
        <f>CONCATENATE("Year for ",E1,"")</f>
        <v>Year for 2014</v>
      </c>
      <c r="G5" s="793" t="str">
        <f>CONCATENATE("Desired Carryover Into ",E1+1,"")</f>
        <v>Desired Carryover Into 2015</v>
      </c>
      <c r="H5" s="794"/>
      <c r="I5" s="794"/>
      <c r="J5" s="795"/>
    </row>
    <row r="6" spans="2:10" ht="15.75">
      <c r="B6" s="145" t="s">
        <v>1028</v>
      </c>
      <c r="C6" s="443">
        <v>95909</v>
      </c>
      <c r="D6" s="447">
        <f>C30</f>
        <v>-2485</v>
      </c>
      <c r="E6" s="262">
        <f>D30</f>
        <v>0</v>
      </c>
      <c r="G6" s="636"/>
      <c r="H6" s="637"/>
      <c r="I6" s="638"/>
      <c r="J6" s="639"/>
    </row>
    <row r="7" spans="2:10" ht="15.75">
      <c r="B7" s="287" t="s">
        <v>1030</v>
      </c>
      <c r="C7" s="302"/>
      <c r="D7" s="302"/>
      <c r="E7" s="124"/>
      <c r="G7" s="640" t="s">
        <v>813</v>
      </c>
      <c r="H7" s="638"/>
      <c r="I7" s="638"/>
      <c r="J7" s="641">
        <v>0</v>
      </c>
    </row>
    <row r="8" spans="2:10" ht="15.75">
      <c r="B8" s="145" t="s">
        <v>911</v>
      </c>
      <c r="C8" s="443">
        <v>609644</v>
      </c>
      <c r="D8" s="447">
        <f>IF(inputPrYr!H21&gt;0,inputPrYr!H21,inputPrYr!E21)</f>
        <v>727649</v>
      </c>
      <c r="E8" s="332" t="s">
        <v>299</v>
      </c>
      <c r="G8" s="636" t="s">
        <v>814</v>
      </c>
      <c r="H8" s="637"/>
      <c r="I8" s="637"/>
      <c r="J8" s="642">
        <f>IF(J7=0,"",ROUND((J7+E36-G20)/inputOth!E6*1000,3)-G25)</f>
      </c>
    </row>
    <row r="9" spans="2:10" ht="15.75">
      <c r="B9" s="145" t="s">
        <v>912</v>
      </c>
      <c r="C9" s="443">
        <v>3597</v>
      </c>
      <c r="D9" s="443">
        <v>4710</v>
      </c>
      <c r="E9" s="109">
        <v>3700</v>
      </c>
      <c r="G9" s="643" t="str">
        <f>CONCATENATE("",E1," Tot Exp/Non-Appr Must Be:")</f>
        <v>2014 Tot Exp/Non-Appr Must Be:</v>
      </c>
      <c r="H9" s="644"/>
      <c r="I9" s="645"/>
      <c r="J9" s="646">
        <f>IF(J7&gt;0,IF(E33&lt;E19,IF(J7=G20,E33,((J7-G20)*(1-D35))+E19),E33+(J7-G20)),0)</f>
        <v>0</v>
      </c>
    </row>
    <row r="10" spans="2:10" ht="15.75">
      <c r="B10" s="145" t="s">
        <v>913</v>
      </c>
      <c r="C10" s="443">
        <v>40549</v>
      </c>
      <c r="D10" s="443">
        <v>40000</v>
      </c>
      <c r="E10" s="262">
        <f>mvalloc!E12</f>
        <v>31349</v>
      </c>
      <c r="G10" s="647" t="s">
        <v>170</v>
      </c>
      <c r="H10" s="648"/>
      <c r="I10" s="648"/>
      <c r="J10" s="649">
        <f>IF(J7&gt;0,J9-E33,0)</f>
        <v>0</v>
      </c>
    </row>
    <row r="11" spans="2:10" ht="15.75">
      <c r="B11" s="145" t="s">
        <v>914</v>
      </c>
      <c r="C11" s="443">
        <v>1112</v>
      </c>
      <c r="D11" s="443">
        <v>1040</v>
      </c>
      <c r="E11" s="262">
        <f>mvalloc!F12</f>
        <v>1093</v>
      </c>
      <c r="G11" s="1"/>
      <c r="H11" s="1"/>
      <c r="I11" s="1"/>
      <c r="J11" s="1"/>
    </row>
    <row r="12" spans="2:10" ht="15.75">
      <c r="B12" s="302" t="s">
        <v>979</v>
      </c>
      <c r="C12" s="443">
        <v>3163</v>
      </c>
      <c r="D12" s="443">
        <v>3650</v>
      </c>
      <c r="E12" s="262">
        <f>mvalloc!G12</f>
        <v>2626</v>
      </c>
      <c r="G12" s="793" t="str">
        <f>CONCATENATE("Projected Carryover Into ",E1+1,"")</f>
        <v>Projected Carryover Into 2015</v>
      </c>
      <c r="H12" s="807"/>
      <c r="I12" s="807"/>
      <c r="J12" s="808"/>
    </row>
    <row r="13" spans="2:10" ht="15.75">
      <c r="B13" s="313" t="s">
        <v>563</v>
      </c>
      <c r="C13" s="443">
        <v>88</v>
      </c>
      <c r="D13" s="443">
        <v>77</v>
      </c>
      <c r="E13" s="109">
        <v>75</v>
      </c>
      <c r="G13" s="636"/>
      <c r="H13" s="638"/>
      <c r="I13" s="638"/>
      <c r="J13" s="664"/>
    </row>
    <row r="14" spans="2:10" ht="15.75">
      <c r="B14" s="313" t="s">
        <v>567</v>
      </c>
      <c r="C14" s="443">
        <v>10853</v>
      </c>
      <c r="D14" s="443"/>
      <c r="E14" s="109"/>
      <c r="G14" s="665">
        <f>D30</f>
        <v>0</v>
      </c>
      <c r="H14" s="655" t="str">
        <f>CONCATENATE("",E1-1," Ending Cash Balance (est.)")</f>
        <v>2013 Ending Cash Balance (est.)</v>
      </c>
      <c r="I14" s="666"/>
      <c r="J14" s="664"/>
    </row>
    <row r="15" spans="2:10" ht="15.75">
      <c r="B15" s="313"/>
      <c r="C15" s="443"/>
      <c r="D15" s="443"/>
      <c r="E15" s="109"/>
      <c r="G15" s="665">
        <f>E18</f>
        <v>38843</v>
      </c>
      <c r="H15" s="638" t="str">
        <f>CONCATENATE("",E1," Non-AV Receipts (est.)")</f>
        <v>2014 Non-AV Receipts (est.)</v>
      </c>
      <c r="I15" s="666"/>
      <c r="J15" s="664"/>
    </row>
    <row r="16" spans="2:10" ht="15.75">
      <c r="B16" s="306" t="s">
        <v>867</v>
      </c>
      <c r="C16" s="443"/>
      <c r="D16" s="443"/>
      <c r="E16" s="109"/>
      <c r="G16" s="667">
        <f>IF(E35&gt;0,E34,E36)</f>
        <v>853157</v>
      </c>
      <c r="H16" s="638" t="str">
        <f>CONCATENATE("",E1," Ad Valorem Tax (est.)")</f>
        <v>2014 Ad Valorem Tax (est.)</v>
      </c>
      <c r="I16" s="666"/>
      <c r="J16" s="664"/>
    </row>
    <row r="17" spans="2:10" ht="15.75">
      <c r="B17" s="306" t="s">
        <v>808</v>
      </c>
      <c r="C17" s="444">
        <f>IF(C18*0.1&lt;C16,"Exceed 10% Rule","")</f>
      </c>
      <c r="D17" s="444">
        <f>IF(D18*0.1&lt;D16,"Exceed 10% Rule","")</f>
      </c>
      <c r="E17" s="338">
        <f>IF(E18*0.1+E36&lt;E16,"Exceed 10% Rule","")</f>
      </c>
      <c r="G17" s="665">
        <f>SUM(G14:G16)</f>
        <v>892000</v>
      </c>
      <c r="H17" s="638" t="str">
        <f>CONCATENATE("Total ",E1," Resources Available")</f>
        <v>Total 2014 Resources Available</v>
      </c>
      <c r="I17" s="666"/>
      <c r="J17" s="664"/>
    </row>
    <row r="18" spans="2:10" ht="15.75">
      <c r="B18" s="308" t="s">
        <v>918</v>
      </c>
      <c r="C18" s="445">
        <f>SUM(C8:C16)</f>
        <v>669006</v>
      </c>
      <c r="D18" s="445">
        <f>SUM(D8:D16)</f>
        <v>777126</v>
      </c>
      <c r="E18" s="346">
        <f>SUM(E8:E16)</f>
        <v>38843</v>
      </c>
      <c r="G18" s="668"/>
      <c r="H18" s="638"/>
      <c r="I18" s="638"/>
      <c r="J18" s="664"/>
    </row>
    <row r="19" spans="2:10" ht="15.75">
      <c r="B19" s="308" t="s">
        <v>919</v>
      </c>
      <c r="C19" s="445">
        <f>C6+C18</f>
        <v>764915</v>
      </c>
      <c r="D19" s="445">
        <f>D6+D18</f>
        <v>774641</v>
      </c>
      <c r="E19" s="346">
        <f>E6+E18</f>
        <v>38843</v>
      </c>
      <c r="G19" s="667">
        <f>ROUND(C29*0.05+C29,0)</f>
        <v>805770</v>
      </c>
      <c r="H19" s="638" t="str">
        <f>CONCATENATE("Less ",E1-2," Expenditures + 5%")</f>
        <v>Less 2012 Expenditures + 5%</v>
      </c>
      <c r="I19" s="666"/>
      <c r="J19" s="669"/>
    </row>
    <row r="20" spans="2:10" ht="15.75">
      <c r="B20" s="145" t="s">
        <v>921</v>
      </c>
      <c r="C20" s="306"/>
      <c r="D20" s="306"/>
      <c r="E20" s="105"/>
      <c r="G20" s="670">
        <f>G17-G19</f>
        <v>86230</v>
      </c>
      <c r="H20" s="671" t="str">
        <f>CONCATENATE("Projected ",E1+1," carryover (est.)")</f>
        <v>Projected 2015 carryover (est.)</v>
      </c>
      <c r="I20" s="672"/>
      <c r="J20" s="673"/>
    </row>
    <row r="21" spans="2:10" ht="15.75">
      <c r="B21" s="313" t="s">
        <v>557</v>
      </c>
      <c r="C21" s="443">
        <v>48902</v>
      </c>
      <c r="D21" s="443">
        <v>57942</v>
      </c>
      <c r="E21" s="109">
        <v>62000</v>
      </c>
      <c r="G21" s="1"/>
      <c r="H21" s="1"/>
      <c r="I21" s="1"/>
      <c r="J21" s="1"/>
    </row>
    <row r="22" spans="2:10" ht="15.75">
      <c r="B22" s="313" t="s">
        <v>568</v>
      </c>
      <c r="C22" s="443">
        <v>206214</v>
      </c>
      <c r="D22" s="443">
        <v>201699</v>
      </c>
      <c r="E22" s="109">
        <v>230000</v>
      </c>
      <c r="G22" s="796" t="s">
        <v>171</v>
      </c>
      <c r="H22" s="797"/>
      <c r="I22" s="797"/>
      <c r="J22" s="798"/>
    </row>
    <row r="23" spans="2:10" ht="15.75">
      <c r="B23" s="313" t="s">
        <v>569</v>
      </c>
      <c r="C23" s="443">
        <v>396951</v>
      </c>
      <c r="D23" s="443">
        <v>400000</v>
      </c>
      <c r="E23" s="109">
        <v>450000</v>
      </c>
      <c r="G23" s="654"/>
      <c r="H23" s="655"/>
      <c r="I23" s="656"/>
      <c r="J23" s="657"/>
    </row>
    <row r="24" spans="2:10" ht="15.75">
      <c r="B24" s="313" t="s">
        <v>570</v>
      </c>
      <c r="C24" s="443">
        <v>115333</v>
      </c>
      <c r="D24" s="443">
        <v>115000</v>
      </c>
      <c r="E24" s="109">
        <v>150000</v>
      </c>
      <c r="G24" s="658">
        <f>summ!H21</f>
        <v>14.715</v>
      </c>
      <c r="H24" s="655" t="str">
        <f>CONCATENATE("",E1," Fund Mill Rate")</f>
        <v>2014 Fund Mill Rate</v>
      </c>
      <c r="I24" s="656"/>
      <c r="J24" s="657"/>
    </row>
    <row r="25" spans="2:10" ht="15.75">
      <c r="B25" s="313"/>
      <c r="C25" s="443"/>
      <c r="D25" s="443"/>
      <c r="E25" s="109"/>
      <c r="G25" s="659">
        <f>summ!E21</f>
        <v>10.502</v>
      </c>
      <c r="H25" s="655" t="str">
        <f>CONCATENATE("",E1-1," Fund Mill Rate")</f>
        <v>2013 Fund Mill Rate</v>
      </c>
      <c r="I25" s="656"/>
      <c r="J25" s="657"/>
    </row>
    <row r="26" spans="2:10" ht="15.75">
      <c r="B26" s="306" t="s">
        <v>869</v>
      </c>
      <c r="C26" s="443"/>
      <c r="D26" s="443"/>
      <c r="E26" s="117">
        <f>Nhood!E11</f>
      </c>
      <c r="G26" s="660">
        <f>summ!H43</f>
        <v>68.735</v>
      </c>
      <c r="H26" s="655" t="str">
        <f>CONCATENATE("Total ",E1," Mill Rate")</f>
        <v>Total 2014 Mill Rate</v>
      </c>
      <c r="I26" s="656"/>
      <c r="J26" s="657"/>
    </row>
    <row r="27" spans="2:10" ht="15.75">
      <c r="B27" s="306" t="s">
        <v>867</v>
      </c>
      <c r="C27" s="443"/>
      <c r="D27" s="443"/>
      <c r="E27" s="109"/>
      <c r="G27" s="659">
        <f>summ!E43</f>
        <v>57.134</v>
      </c>
      <c r="H27" s="661" t="str">
        <f>CONCATENATE("Total ",E1-1," Mill Rate")</f>
        <v>Total 2013 Mill Rate</v>
      </c>
      <c r="I27" s="662"/>
      <c r="J27" s="663"/>
    </row>
    <row r="28" spans="2:10" ht="15.75">
      <c r="B28" s="306" t="s">
        <v>807</v>
      </c>
      <c r="C28" s="444">
        <f>IF(C29*0.1&lt;C27,"Exceed 10% Rule","")</f>
      </c>
      <c r="D28" s="444">
        <f>IF(D29*0.1&lt;D27,"Exceed 10% Rule","")</f>
      </c>
      <c r="E28" s="338">
        <f>IF(E29*0.1&lt;E27,"Exceed 10% Rule","")</f>
      </c>
      <c r="G28" s="1"/>
      <c r="H28" s="1"/>
      <c r="I28" s="1"/>
      <c r="J28" s="1"/>
    </row>
    <row r="29" spans="2:10" ht="15.75">
      <c r="B29" s="308" t="s">
        <v>922</v>
      </c>
      <c r="C29" s="445">
        <f>SUM(C21:C27)</f>
        <v>767400</v>
      </c>
      <c r="D29" s="445">
        <f>SUM(D21:D27)</f>
        <v>774641</v>
      </c>
      <c r="E29" s="346">
        <f>SUM(E21:E27)</f>
        <v>892000</v>
      </c>
      <c r="G29" s="712" t="s">
        <v>318</v>
      </c>
      <c r="H29" s="711"/>
      <c r="I29" s="710" t="str">
        <f>cert!E51</f>
        <v>Yes</v>
      </c>
      <c r="J29" s="1"/>
    </row>
    <row r="30" spans="2:10" ht="15.75">
      <c r="B30" s="145" t="s">
        <v>1029</v>
      </c>
      <c r="C30" s="448">
        <f>C19-C29</f>
        <v>-2485</v>
      </c>
      <c r="D30" s="448">
        <f>D19-D29</f>
        <v>0</v>
      </c>
      <c r="E30" s="332" t="s">
        <v>299</v>
      </c>
      <c r="G30" s="1"/>
      <c r="H30" s="1"/>
      <c r="I30" s="1"/>
      <c r="J30" s="1"/>
    </row>
    <row r="31" spans="2:10" ht="15.75">
      <c r="B31" s="284" t="str">
        <f>CONCATENATE("",E$1-2,"/",E$1-1," Budget Authority Amount:")</f>
        <v>2012/2013 Budget Authority Amount:</v>
      </c>
      <c r="C31" s="276">
        <f>inputOth!B35</f>
        <v>790000</v>
      </c>
      <c r="D31" s="276">
        <f>inputPrYr!D21</f>
        <v>848000</v>
      </c>
      <c r="E31" s="332" t="s">
        <v>299</v>
      </c>
      <c r="G31" s="1"/>
      <c r="H31" s="1"/>
      <c r="I31" s="1"/>
      <c r="J31" s="1"/>
    </row>
    <row r="32" spans="2:10" ht="15.75">
      <c r="B32" s="284"/>
      <c r="C32" s="799" t="s">
        <v>810</v>
      </c>
      <c r="D32" s="800"/>
      <c r="E32" s="290"/>
      <c r="G32" s="1"/>
      <c r="H32" s="1"/>
      <c r="I32" s="1"/>
      <c r="J32" s="1"/>
    </row>
    <row r="33" spans="2:11" ht="15.75">
      <c r="B33" s="494" t="str">
        <f>CONCATENATE(C74,"     ",D74)</f>
        <v>     </v>
      </c>
      <c r="C33" s="801" t="s">
        <v>811</v>
      </c>
      <c r="D33" s="802"/>
      <c r="E33" s="262">
        <f>E29+E32</f>
        <v>892000</v>
      </c>
      <c r="F33" s="315"/>
      <c r="G33" s="1"/>
      <c r="H33" s="1"/>
      <c r="I33" s="1"/>
      <c r="J33" s="1"/>
      <c r="K33" s="652" t="str">
        <f>IF(G16=E36,"","Note: Does not include Delinquent Taxes")</f>
        <v>Note: Does not include Delinquent Taxes</v>
      </c>
    </row>
    <row r="34" spans="2:10" ht="15.75">
      <c r="B34" s="494" t="str">
        <f>CONCATENATE(C75,"     ",D75)</f>
        <v>     </v>
      </c>
      <c r="C34" s="316"/>
      <c r="D34" s="236" t="s">
        <v>923</v>
      </c>
      <c r="E34" s="117">
        <f>IF(E33-E19&gt;0,E33-E19,0)</f>
        <v>853157</v>
      </c>
      <c r="F34" s="490">
        <f>IF(E29/0.95-E29&lt;E32,"Exceeds 5%","")</f>
      </c>
      <c r="G34" s="1"/>
      <c r="H34" s="1"/>
      <c r="I34" s="1"/>
      <c r="J34" s="1"/>
    </row>
    <row r="35" spans="2:10" ht="15.75">
      <c r="B35" s="236"/>
      <c r="C35" s="492" t="s">
        <v>812</v>
      </c>
      <c r="D35" s="635">
        <f>inputOth!$E$23</f>
        <v>0.01</v>
      </c>
      <c r="E35" s="262">
        <f>ROUND(IF(D35&gt;0,($E$34*D35),0),0)</f>
        <v>8532</v>
      </c>
      <c r="G35" s="1"/>
      <c r="H35" s="1"/>
      <c r="I35" s="1"/>
      <c r="J35" s="1"/>
    </row>
    <row r="36" spans="2:10" ht="15.75">
      <c r="B36" s="82"/>
      <c r="C36" s="791" t="str">
        <f>CONCATENATE("Amount of  ",$E$1-1," Ad Valorem Tax")</f>
        <v>Amount of  2013 Ad Valorem Tax</v>
      </c>
      <c r="D36" s="792"/>
      <c r="E36" s="342">
        <f>E34+E35</f>
        <v>861689</v>
      </c>
      <c r="G36" s="1"/>
      <c r="H36" s="1"/>
      <c r="I36" s="1"/>
      <c r="J36" s="1"/>
    </row>
    <row r="37" spans="2:10" ht="15.75">
      <c r="B37" s="81" t="s">
        <v>312</v>
      </c>
      <c r="C37" s="322"/>
      <c r="D37" s="322"/>
      <c r="E37" s="322"/>
      <c r="G37" s="1"/>
      <c r="H37" s="1"/>
      <c r="I37" s="1"/>
      <c r="J37" s="1"/>
    </row>
    <row r="38" spans="2:10" ht="15.75">
      <c r="B38" s="82"/>
      <c r="C38" s="688" t="str">
        <f aca="true" t="shared" si="0" ref="C38:E39">C4</f>
        <v>Prior Year </v>
      </c>
      <c r="D38" s="689" t="str">
        <f t="shared" si="0"/>
        <v>Current Year </v>
      </c>
      <c r="E38" s="211" t="str">
        <f t="shared" si="0"/>
        <v>Proposed Budget </v>
      </c>
      <c r="G38" s="1"/>
      <c r="H38" s="1"/>
      <c r="I38" s="1"/>
      <c r="J38" s="1"/>
    </row>
    <row r="39" spans="2:10" ht="15.75">
      <c r="B39" s="472" t="str">
        <f>inputPrYr!B22</f>
        <v>Ag Extension</v>
      </c>
      <c r="C39" s="446" t="str">
        <f t="shared" si="0"/>
        <v>Actual for 2012</v>
      </c>
      <c r="D39" s="446" t="str">
        <f t="shared" si="0"/>
        <v>Estimate for 2013</v>
      </c>
      <c r="E39" s="299" t="str">
        <f t="shared" si="0"/>
        <v>Year for 2014</v>
      </c>
      <c r="G39" s="1"/>
      <c r="H39" s="1"/>
      <c r="I39" s="1"/>
      <c r="J39" s="1"/>
    </row>
    <row r="40" spans="2:10" ht="15.75">
      <c r="B40" s="145" t="s">
        <v>1028</v>
      </c>
      <c r="C40" s="443">
        <v>3532</v>
      </c>
      <c r="D40" s="447">
        <f>C57</f>
        <v>0</v>
      </c>
      <c r="E40" s="262">
        <f>D57</f>
        <v>0</v>
      </c>
      <c r="G40" s="1"/>
      <c r="H40" s="1"/>
      <c r="I40" s="1"/>
      <c r="J40" s="1"/>
    </row>
    <row r="41" spans="2:10" ht="15.75">
      <c r="B41" s="300" t="s">
        <v>1030</v>
      </c>
      <c r="C41" s="302"/>
      <c r="D41" s="302"/>
      <c r="E41" s="124"/>
      <c r="G41" s="1"/>
      <c r="H41" s="1"/>
      <c r="I41" s="1"/>
      <c r="J41" s="1"/>
    </row>
    <row r="42" spans="2:10" ht="15.75">
      <c r="B42" s="145" t="s">
        <v>911</v>
      </c>
      <c r="C42" s="443">
        <v>-2079</v>
      </c>
      <c r="D42" s="447">
        <f>IF(inputPrYr!H22&gt;0,inputPrYr!H22,inputPrYr!E22)</f>
        <v>0</v>
      </c>
      <c r="E42" s="332" t="s">
        <v>299</v>
      </c>
      <c r="G42" s="1"/>
      <c r="H42" s="1"/>
      <c r="I42" s="1"/>
      <c r="J42" s="1"/>
    </row>
    <row r="43" spans="2:10" ht="15.75">
      <c r="B43" s="145" t="s">
        <v>912</v>
      </c>
      <c r="C43" s="443">
        <v>297</v>
      </c>
      <c r="D43" s="443"/>
      <c r="E43" s="109"/>
      <c r="G43" s="1"/>
      <c r="H43" s="1"/>
      <c r="I43" s="1"/>
      <c r="J43" s="1"/>
    </row>
    <row r="44" spans="2:10" ht="15.75">
      <c r="B44" s="145" t="s">
        <v>913</v>
      </c>
      <c r="C44" s="443">
        <v>5197</v>
      </c>
      <c r="D44" s="443"/>
      <c r="E44" s="262" t="str">
        <f>mvalloc!E13</f>
        <v>  </v>
      </c>
      <c r="G44" s="1"/>
      <c r="H44" s="1"/>
      <c r="I44" s="1"/>
      <c r="J44" s="1"/>
    </row>
    <row r="45" spans="2:10" ht="15.75">
      <c r="B45" s="145" t="s">
        <v>914</v>
      </c>
      <c r="C45" s="443">
        <v>141</v>
      </c>
      <c r="D45" s="443"/>
      <c r="E45" s="262" t="str">
        <f>mvalloc!F13</f>
        <v>  </v>
      </c>
      <c r="G45" s="793" t="str">
        <f>CONCATENATE("Desired Carryover Into ",E1+1,"")</f>
        <v>Desired Carryover Into 2015</v>
      </c>
      <c r="H45" s="794"/>
      <c r="I45" s="794"/>
      <c r="J45" s="795"/>
    </row>
    <row r="46" spans="2:10" ht="15.75">
      <c r="B46" s="302" t="s">
        <v>979</v>
      </c>
      <c r="C46" s="443">
        <v>454</v>
      </c>
      <c r="D46" s="443"/>
      <c r="E46" s="262" t="str">
        <f>mvalloc!G13</f>
        <v>  </v>
      </c>
      <c r="G46" s="636"/>
      <c r="H46" s="637"/>
      <c r="I46" s="638"/>
      <c r="J46" s="639"/>
    </row>
    <row r="47" spans="2:10" ht="15.75">
      <c r="B47" s="306" t="s">
        <v>867</v>
      </c>
      <c r="C47" s="443"/>
      <c r="D47" s="443"/>
      <c r="E47" s="109"/>
      <c r="G47" s="640" t="s">
        <v>813</v>
      </c>
      <c r="H47" s="638"/>
      <c r="I47" s="638"/>
      <c r="J47" s="641">
        <v>0</v>
      </c>
    </row>
    <row r="48" spans="2:10" ht="15.75">
      <c r="B48" s="306" t="s">
        <v>808</v>
      </c>
      <c r="C48" s="444">
        <f>IF(C49*0.1&lt;C47,"Exceed 10% Rule","")</f>
      </c>
      <c r="D48" s="444">
        <f>IF(D49*0.1&lt;D47,"Exceed 10% Rule","")</f>
      </c>
      <c r="E48" s="338">
        <f>IF(E49*0.1+E63&lt;E47,"Exceed 10% Rule","")</f>
      </c>
      <c r="G48" s="636" t="s">
        <v>814</v>
      </c>
      <c r="H48" s="637"/>
      <c r="I48" s="637"/>
      <c r="J48" s="642">
        <f>IF(J47=0,"",ROUND((J47+E63-G60)/inputOth!E6*1000,3)-G65)</f>
      </c>
    </row>
    <row r="49" spans="2:10" ht="15.75">
      <c r="B49" s="308" t="s">
        <v>918</v>
      </c>
      <c r="C49" s="445">
        <f>SUM(C42:C47)</f>
        <v>4010</v>
      </c>
      <c r="D49" s="445">
        <f>SUM(D42:D47)</f>
        <v>0</v>
      </c>
      <c r="E49" s="346">
        <f>SUM(E43:E47)</f>
        <v>0</v>
      </c>
      <c r="G49" s="643" t="str">
        <f>CONCATENATE("",E1," Tot Exp/Non-Appr Must Be:")</f>
        <v>2014 Tot Exp/Non-Appr Must Be:</v>
      </c>
      <c r="H49" s="644"/>
      <c r="I49" s="645"/>
      <c r="J49" s="646">
        <f>IF(J47&gt;0,IF(E60&lt;E50,IF(J47=G60,E60,((J47-G60)*(1-D62))+E50),E60+(J47-G60)),0)</f>
        <v>0</v>
      </c>
    </row>
    <row r="50" spans="2:10" ht="15.75">
      <c r="B50" s="308" t="s">
        <v>919</v>
      </c>
      <c r="C50" s="445">
        <f>C40+C49</f>
        <v>7542</v>
      </c>
      <c r="D50" s="445">
        <f>D40+D49</f>
        <v>0</v>
      </c>
      <c r="E50" s="346">
        <f>E40+E49</f>
        <v>0</v>
      </c>
      <c r="G50" s="647" t="s">
        <v>170</v>
      </c>
      <c r="H50" s="648"/>
      <c r="I50" s="648"/>
      <c r="J50" s="649">
        <f>IF(J47&gt;0,J49-E60,0)</f>
        <v>0</v>
      </c>
    </row>
    <row r="51" spans="2:10" ht="15.75">
      <c r="B51" s="145" t="s">
        <v>921</v>
      </c>
      <c r="C51" s="306"/>
      <c r="D51" s="306"/>
      <c r="E51" s="105"/>
      <c r="G51" s="1"/>
      <c r="H51" s="1"/>
      <c r="I51" s="1"/>
      <c r="J51" s="1"/>
    </row>
    <row r="52" spans="2:10" ht="15.75">
      <c r="B52" s="313" t="s">
        <v>599</v>
      </c>
      <c r="C52" s="443">
        <v>7542</v>
      </c>
      <c r="D52" s="443"/>
      <c r="E52" s="109"/>
      <c r="G52" s="793" t="str">
        <f>CONCATENATE("Projected Carryover Into ",E1+1,"")</f>
        <v>Projected Carryover Into 2015</v>
      </c>
      <c r="H52" s="809"/>
      <c r="I52" s="809"/>
      <c r="J52" s="808"/>
    </row>
    <row r="53" spans="2:10" ht="15.75">
      <c r="B53" s="306" t="s">
        <v>869</v>
      </c>
      <c r="C53" s="443"/>
      <c r="D53" s="443"/>
      <c r="E53" s="117">
        <f>Nhood!E12</f>
      </c>
      <c r="G53" s="674"/>
      <c r="H53" s="637"/>
      <c r="I53" s="637"/>
      <c r="J53" s="669"/>
    </row>
    <row r="54" spans="2:10" ht="15.75">
      <c r="B54" s="306" t="s">
        <v>867</v>
      </c>
      <c r="C54" s="443"/>
      <c r="D54" s="443"/>
      <c r="E54" s="109"/>
      <c r="G54" s="665">
        <f>D57</f>
        <v>0</v>
      </c>
      <c r="H54" s="655" t="str">
        <f>CONCATENATE("",E1-1," Ending Cash Balance (est.)")</f>
        <v>2013 Ending Cash Balance (est.)</v>
      </c>
      <c r="I54" s="666"/>
      <c r="J54" s="669"/>
    </row>
    <row r="55" spans="2:10" ht="15.75">
      <c r="B55" s="306" t="s">
        <v>807</v>
      </c>
      <c r="C55" s="444">
        <f>IF(C56*0.1&lt;C54,"Exceed 10% Rule","")</f>
      </c>
      <c r="D55" s="444">
        <f>IF(D56*0.1&lt;D54,"Exceed 10% Rule","")</f>
      </c>
      <c r="E55" s="338">
        <f>IF(E56*0.1&lt;E54,"Exceed 10% Rule","")</f>
      </c>
      <c r="G55" s="665">
        <f>E49</f>
        <v>0</v>
      </c>
      <c r="H55" s="638" t="str">
        <f>CONCATENATE("",E1," Non-AV Receipts (est.)")</f>
        <v>2014 Non-AV Receipts (est.)</v>
      </c>
      <c r="I55" s="666"/>
      <c r="J55" s="669"/>
    </row>
    <row r="56" spans="2:10" ht="15.75">
      <c r="B56" s="308" t="s">
        <v>922</v>
      </c>
      <c r="C56" s="445">
        <f>SUM(C52:C54)</f>
        <v>7542</v>
      </c>
      <c r="D56" s="445">
        <f>SUM(D52:D54)</f>
        <v>0</v>
      </c>
      <c r="E56" s="346">
        <f>SUM(E52:E54)</f>
        <v>0</v>
      </c>
      <c r="G56" s="667">
        <f>IF(E62&gt;0,E61,E63)</f>
        <v>0</v>
      </c>
      <c r="H56" s="638" t="str">
        <f>CONCATENATE("",E1," Ad Valorem Tax (est.)")</f>
        <v>2014 Ad Valorem Tax (est.)</v>
      </c>
      <c r="I56" s="666"/>
      <c r="J56" s="669"/>
    </row>
    <row r="57" spans="2:10" ht="15.75">
      <c r="B57" s="145" t="s">
        <v>1029</v>
      </c>
      <c r="C57" s="448">
        <f>C50-C56</f>
        <v>0</v>
      </c>
      <c r="D57" s="448">
        <f>D50-D56</f>
        <v>0</v>
      </c>
      <c r="E57" s="332" t="s">
        <v>299</v>
      </c>
      <c r="G57" s="675">
        <f>SUM(G54:G56)</f>
        <v>0</v>
      </c>
      <c r="H57" s="638" t="str">
        <f>CONCATENATE("Total ",E1," Resources Available")</f>
        <v>Total 2014 Resources Available</v>
      </c>
      <c r="I57" s="676"/>
      <c r="J57" s="669"/>
    </row>
    <row r="58" spans="2:10" ht="15.75">
      <c r="B58" s="284" t="str">
        <f>CONCATENATE("",E$1-2,"/",E$1-1," Budget Authority Amount:")</f>
        <v>2012/2013 Budget Authority Amount:</v>
      </c>
      <c r="C58" s="276">
        <f>inputOth!B36</f>
        <v>5443</v>
      </c>
      <c r="D58" s="276">
        <f>inputPrYr!D22</f>
        <v>8163</v>
      </c>
      <c r="E58" s="332" t="s">
        <v>299</v>
      </c>
      <c r="G58" s="677"/>
      <c r="H58" s="678"/>
      <c r="I58" s="637"/>
      <c r="J58" s="669"/>
    </row>
    <row r="59" spans="2:10" ht="15.75">
      <c r="B59" s="284"/>
      <c r="C59" s="799" t="s">
        <v>810</v>
      </c>
      <c r="D59" s="800"/>
      <c r="E59" s="109"/>
      <c r="G59" s="679">
        <f>ROUND(C56*0.05+C56,0)</f>
        <v>7919</v>
      </c>
      <c r="H59" s="638" t="str">
        <f>CONCATENATE("Less ",E1-2," Expenditures + 5%")</f>
        <v>Less 2012 Expenditures + 5%</v>
      </c>
      <c r="I59" s="676"/>
      <c r="J59" s="669"/>
    </row>
    <row r="60" spans="2:10" ht="15.75">
      <c r="B60" s="493" t="str">
        <f>CONCATENATE(C76,"     ",D76)</f>
        <v>     </v>
      </c>
      <c r="C60" s="801" t="s">
        <v>811</v>
      </c>
      <c r="D60" s="802"/>
      <c r="E60" s="262">
        <f>E56+E59</f>
        <v>0</v>
      </c>
      <c r="G60" s="680">
        <f>G57-G59</f>
        <v>-7919</v>
      </c>
      <c r="H60" s="671" t="str">
        <f>CONCATENATE("Projected ",E1+1," carryover (est.)")</f>
        <v>Projected 2015 carryover (est.)</v>
      </c>
      <c r="I60" s="681"/>
      <c r="J60" s="682"/>
    </row>
    <row r="61" spans="2:10" ht="15.75">
      <c r="B61" s="493" t="s">
        <v>615</v>
      </c>
      <c r="C61" s="316"/>
      <c r="D61" s="236" t="s">
        <v>923</v>
      </c>
      <c r="E61" s="117">
        <f>IF(E60-E50&gt;0,E60-E50,0)</f>
        <v>0</v>
      </c>
      <c r="G61" s="1"/>
      <c r="H61" s="1"/>
      <c r="I61" s="1"/>
      <c r="J61" s="1"/>
    </row>
    <row r="62" spans="2:10" ht="15.75">
      <c r="B62" s="236"/>
      <c r="C62" s="492" t="s">
        <v>812</v>
      </c>
      <c r="D62" s="635">
        <f>inputOth!$E$23</f>
        <v>0.01</v>
      </c>
      <c r="E62" s="262">
        <f>ROUND(IF(D62&gt;0,($E$61*D62),0),0)</f>
        <v>0</v>
      </c>
      <c r="G62" s="796" t="s">
        <v>171</v>
      </c>
      <c r="H62" s="797"/>
      <c r="I62" s="797"/>
      <c r="J62" s="798"/>
    </row>
    <row r="63" spans="2:10" ht="15.75">
      <c r="B63" s="82"/>
      <c r="C63" s="791" t="str">
        <f>CONCATENATE("Amount of  ",$E$1-1," Ad Valorem Tax")</f>
        <v>Amount of  2013 Ad Valorem Tax</v>
      </c>
      <c r="D63" s="792"/>
      <c r="E63" s="342">
        <f>E61+E62</f>
        <v>0</v>
      </c>
      <c r="G63" s="654"/>
      <c r="H63" s="655"/>
      <c r="I63" s="656"/>
      <c r="J63" s="657"/>
    </row>
    <row r="64" spans="2:10" ht="15.75">
      <c r="B64" s="284"/>
      <c r="C64" s="343" t="s">
        <v>605</v>
      </c>
      <c r="D64" s="82"/>
      <c r="E64" s="82"/>
      <c r="G64" s="658" t="str">
        <f>summ!H22</f>
        <v>  </v>
      </c>
      <c r="H64" s="655" t="str">
        <f>CONCATENATE("",E1," Fund Mill Rate")</f>
        <v>2014 Fund Mill Rate</v>
      </c>
      <c r="I64" s="656"/>
      <c r="J64" s="657"/>
    </row>
    <row r="65" spans="7:10" ht="15.75">
      <c r="G65" s="659" t="str">
        <f>summ!E22</f>
        <v>  </v>
      </c>
      <c r="H65" s="655" t="str">
        <f>CONCATENATE("",E1-1," Fund Mill Rate")</f>
        <v>2013 Fund Mill Rate</v>
      </c>
      <c r="I65" s="656"/>
      <c r="J65" s="657"/>
    </row>
    <row r="66" spans="7:10" ht="15.75">
      <c r="G66" s="660">
        <f>summ!H43</f>
        <v>68.735</v>
      </c>
      <c r="H66" s="655" t="str">
        <f>CONCATENATE("Total ",E1," Mill Rate")</f>
        <v>Total 2014 Mill Rate</v>
      </c>
      <c r="I66" s="656"/>
      <c r="J66" s="657"/>
    </row>
    <row r="67" spans="7:10" ht="15.75">
      <c r="G67" s="659">
        <f>summ!E43</f>
        <v>57.134</v>
      </c>
      <c r="H67" s="661" t="str">
        <f>CONCATENATE("Total ",E1-1," Mill Rate")</f>
        <v>Total 2013 Mill Rate</v>
      </c>
      <c r="I67" s="662"/>
      <c r="J67" s="663"/>
    </row>
    <row r="68" ht="15.75">
      <c r="F68" s="315"/>
    </row>
    <row r="69" spans="6:9" ht="15.75">
      <c r="F69" s="490">
        <f>IF(E56/0.95-E56&lt;E59,"Exceeds 5%","")</f>
      </c>
      <c r="G69" s="712" t="s">
        <v>318</v>
      </c>
      <c r="H69" s="711"/>
      <c r="I69" s="710" t="str">
        <f>cert!E51</f>
        <v>Yes</v>
      </c>
    </row>
    <row r="73" ht="15.75">
      <c r="K73" s="652">
        <f>IF(G56=E63,"","Note: Does not include Delinquent Taxes")</f>
      </c>
    </row>
    <row r="74" spans="3:4" ht="15.75">
      <c r="C74" s="70">
        <f>IF(C29&gt;C31,"See Tab A","")</f>
      </c>
      <c r="D74" s="70">
        <f>IF(D29&gt;D31,"See Tab C","")</f>
      </c>
    </row>
    <row r="75" ht="15.75">
      <c r="D75" s="70">
        <f>IF(D30&lt;0,"See Tab D","")</f>
      </c>
    </row>
    <row r="76" ht="15.75">
      <c r="D76" s="70">
        <f>IF(D56&gt;D58,"See Tab C","")</f>
      </c>
    </row>
    <row r="77" ht="15.75">
      <c r="D77" s="70">
        <f>IF(D57&lt;0,"See Tab D","")</f>
      </c>
    </row>
    <row r="89" ht="15.75" hidden="1"/>
    <row r="90" ht="15.75" hidden="1"/>
    <row r="91" ht="15.75" hidden="1"/>
    <row r="92" ht="15.75" hidden="1"/>
  </sheetData>
  <sheetProtection/>
  <mergeCells count="12">
    <mergeCell ref="C59:D59"/>
    <mergeCell ref="C60:D60"/>
    <mergeCell ref="C63:D63"/>
    <mergeCell ref="C36:D36"/>
    <mergeCell ref="G5:J5"/>
    <mergeCell ref="G12:J12"/>
    <mergeCell ref="G22:J22"/>
    <mergeCell ref="G45:J45"/>
    <mergeCell ref="G52:J52"/>
    <mergeCell ref="G62:J62"/>
    <mergeCell ref="C32:D32"/>
    <mergeCell ref="C33:D33"/>
  </mergeCells>
  <conditionalFormatting sqref="E54">
    <cfRule type="cellIs" priority="3" dxfId="154" operator="greaterThan" stopIfTrue="1">
      <formula>$E$56*0.1</formula>
    </cfRule>
  </conditionalFormatting>
  <conditionalFormatting sqref="E59">
    <cfRule type="cellIs" priority="4" dxfId="154" operator="greaterThan" stopIfTrue="1">
      <formula>$E$56/0.95-$E$56</formula>
    </cfRule>
  </conditionalFormatting>
  <conditionalFormatting sqref="E32">
    <cfRule type="cellIs" priority="5" dxfId="154" operator="greaterThan" stopIfTrue="1">
      <formula>$E$29/0.95-$E$29</formula>
    </cfRule>
  </conditionalFormatting>
  <conditionalFormatting sqref="E27">
    <cfRule type="cellIs" priority="6" dxfId="154" operator="greaterThan" stopIfTrue="1">
      <formula>$E$29*0.1</formula>
    </cfRule>
  </conditionalFormatting>
  <conditionalFormatting sqref="C29">
    <cfRule type="cellIs" priority="7" dxfId="2" operator="greaterThan" stopIfTrue="1">
      <formula>$C$31</formula>
    </cfRule>
  </conditionalFormatting>
  <conditionalFormatting sqref="C57 C30">
    <cfRule type="cellIs" priority="8" dxfId="2" operator="lessThan" stopIfTrue="1">
      <formula>0</formula>
    </cfRule>
  </conditionalFormatting>
  <conditionalFormatting sqref="D29">
    <cfRule type="cellIs" priority="9" dxfId="2" operator="greaterThan" stopIfTrue="1">
      <formula>$D$31</formula>
    </cfRule>
  </conditionalFormatting>
  <conditionalFormatting sqref="C56">
    <cfRule type="cellIs" priority="10" dxfId="2" operator="greaterThan" stopIfTrue="1">
      <formula>$C$58</formula>
    </cfRule>
  </conditionalFormatting>
  <conditionalFormatting sqref="D56">
    <cfRule type="cellIs" priority="11" dxfId="2" operator="greaterThan" stopIfTrue="1">
      <formula>$D$58</formula>
    </cfRule>
  </conditionalFormatting>
  <conditionalFormatting sqref="C54">
    <cfRule type="cellIs" priority="12" dxfId="2" operator="greaterThan" stopIfTrue="1">
      <formula>$C$56*0.1</formula>
    </cfRule>
  </conditionalFormatting>
  <conditionalFormatting sqref="D54">
    <cfRule type="cellIs" priority="13" dxfId="2" operator="greaterThan" stopIfTrue="1">
      <formula>$D$56*0.1</formula>
    </cfRule>
  </conditionalFormatting>
  <conditionalFormatting sqref="E47">
    <cfRule type="cellIs" priority="14" dxfId="154" operator="greaterThan" stopIfTrue="1">
      <formula>$E$49*0.1+E63</formula>
    </cfRule>
  </conditionalFormatting>
  <conditionalFormatting sqref="C47">
    <cfRule type="cellIs" priority="15" dxfId="2" operator="greaterThan" stopIfTrue="1">
      <formula>$C$49*0.1</formula>
    </cfRule>
  </conditionalFormatting>
  <conditionalFormatting sqref="D47">
    <cfRule type="cellIs" priority="16" dxfId="2" operator="greaterThan" stopIfTrue="1">
      <formula>$D$49*0.1</formula>
    </cfRule>
  </conditionalFormatting>
  <conditionalFormatting sqref="C27">
    <cfRule type="cellIs" priority="17" dxfId="2" operator="greaterThan" stopIfTrue="1">
      <formula>$C$29*0.1</formula>
    </cfRule>
  </conditionalFormatting>
  <conditionalFormatting sqref="D27">
    <cfRule type="cellIs" priority="18" dxfId="2" operator="greaterThan" stopIfTrue="1">
      <formula>$D$29*0.1</formula>
    </cfRule>
  </conditionalFormatting>
  <conditionalFormatting sqref="E16">
    <cfRule type="cellIs" priority="19" dxfId="154" operator="greaterThan" stopIfTrue="1">
      <formula>$E$18*0.1+E36</formula>
    </cfRule>
  </conditionalFormatting>
  <conditionalFormatting sqref="C16">
    <cfRule type="cellIs" priority="20" dxfId="2" operator="greaterThan" stopIfTrue="1">
      <formula>$C$18*0.1</formula>
    </cfRule>
  </conditionalFormatting>
  <conditionalFormatting sqref="D16">
    <cfRule type="cellIs" priority="21" dxfId="2" operator="greaterThan" stopIfTrue="1">
      <formula>$D$18*0.1</formula>
    </cfRule>
  </conditionalFormatting>
  <conditionalFormatting sqref="D57 D30">
    <cfRule type="cellIs" priority="2" dxfId="0" operator="lessThan" stopIfTrue="1">
      <formula>0</formula>
    </cfRule>
  </conditionalFormatting>
  <printOptions/>
  <pageMargins left="0.76" right="0.5" top="0.74" bottom="0.34" header="0.5" footer="0"/>
  <pageSetup blackAndWhite="1" horizontalDpi="120" verticalDpi="120" orientation="portrait" scale="80" r:id="rId1"/>
  <headerFooter alignWithMargins="0">
    <oddHeader>&amp;RState of Kansas
County
</oddHeader>
  </headerFooter>
</worksheet>
</file>

<file path=xl/worksheets/sheet19.xml><?xml version="1.0" encoding="utf-8"?>
<worksheet xmlns="http://schemas.openxmlformats.org/spreadsheetml/2006/main" xmlns:r="http://schemas.openxmlformats.org/officeDocument/2006/relationships">
  <dimension ref="B1:K76"/>
  <sheetViews>
    <sheetView zoomScalePageLayoutView="0" workbookViewId="0" topLeftCell="A1">
      <selection activeCell="E52" sqref="E52"/>
    </sheetView>
  </sheetViews>
  <sheetFormatPr defaultColWidth="8.796875" defaultRowHeight="15"/>
  <cols>
    <col min="1" max="1" width="2.3984375" style="70" customWidth="1"/>
    <col min="2" max="2" width="31.09765625" style="70" customWidth="1"/>
    <col min="3" max="4" width="15.796875" style="70" customWidth="1"/>
    <col min="5" max="5" width="16.19921875" style="70" customWidth="1"/>
    <col min="6" max="6" width="7.3984375" style="70" customWidth="1"/>
    <col min="7" max="7" width="10.19921875" style="70" customWidth="1"/>
    <col min="8" max="8" width="8.8984375" style="70" customWidth="1"/>
    <col min="9" max="9" width="5" style="70" customWidth="1"/>
    <col min="10" max="10" width="10" style="70" customWidth="1"/>
    <col min="11" max="16384" width="8.8984375" style="70" customWidth="1"/>
  </cols>
  <sheetData>
    <row r="1" spans="2:5" ht="15.75">
      <c r="B1" s="224" t="str">
        <f>(inputPrYr!C2)</f>
        <v>Gove County</v>
      </c>
      <c r="C1" s="82"/>
      <c r="D1" s="82"/>
      <c r="E1" s="283">
        <f>inputPrYr!C4</f>
        <v>2014</v>
      </c>
    </row>
    <row r="2" spans="2:5" ht="15.75">
      <c r="B2" s="82"/>
      <c r="C2" s="82"/>
      <c r="D2" s="82"/>
      <c r="E2" s="236"/>
    </row>
    <row r="3" spans="2:5" ht="15.75">
      <c r="B3" s="149" t="s">
        <v>986</v>
      </c>
      <c r="C3" s="328"/>
      <c r="D3" s="328"/>
      <c r="E3" s="329"/>
    </row>
    <row r="4" spans="2:5" ht="15.75">
      <c r="B4" s="81" t="s">
        <v>312</v>
      </c>
      <c r="C4" s="688" t="s">
        <v>172</v>
      </c>
      <c r="D4" s="689" t="s">
        <v>173</v>
      </c>
      <c r="E4" s="211" t="s">
        <v>174</v>
      </c>
    </row>
    <row r="5" spans="2:5" ht="15.75">
      <c r="B5" s="473" t="str">
        <f>inputPrYr!B23</f>
        <v>Mental Health</v>
      </c>
      <c r="C5" s="446" t="str">
        <f>CONCATENATE("Actual for ",E1-2,"")</f>
        <v>Actual for 2012</v>
      </c>
      <c r="D5" s="446" t="str">
        <f>CONCATENATE("Estimate for ",E1-1,"")</f>
        <v>Estimate for 2013</v>
      </c>
      <c r="E5" s="299" t="str">
        <f>CONCATENATE("Year for ",E1,"")</f>
        <v>Year for 2014</v>
      </c>
    </row>
    <row r="6" spans="2:5" ht="15.75">
      <c r="B6" s="145" t="s">
        <v>1028</v>
      </c>
      <c r="C6" s="443">
        <v>0</v>
      </c>
      <c r="D6" s="447">
        <f>C26</f>
        <v>0</v>
      </c>
      <c r="E6" s="262">
        <f>D26</f>
        <v>0</v>
      </c>
    </row>
    <row r="7" spans="2:10" ht="15.75">
      <c r="B7" s="287" t="s">
        <v>1030</v>
      </c>
      <c r="C7" s="302"/>
      <c r="D7" s="302"/>
      <c r="E7" s="124"/>
      <c r="G7" s="793" t="str">
        <f>CONCATENATE("Desired Carryover Into ",E1+1,"")</f>
        <v>Desired Carryover Into 2015</v>
      </c>
      <c r="H7" s="794"/>
      <c r="I7" s="794"/>
      <c r="J7" s="795"/>
    </row>
    <row r="8" spans="2:10" ht="15.75">
      <c r="B8" s="145" t="s">
        <v>911</v>
      </c>
      <c r="C8" s="443">
        <v>23386</v>
      </c>
      <c r="D8" s="447">
        <f>IF(inputPrYr!H23&gt;0,inputPrYr!H23,inputPrYr!E23)</f>
        <v>25477</v>
      </c>
      <c r="E8" s="332" t="s">
        <v>299</v>
      </c>
      <c r="G8" s="636"/>
      <c r="H8" s="637"/>
      <c r="I8" s="638"/>
      <c r="J8" s="639"/>
    </row>
    <row r="9" spans="2:10" ht="15.75">
      <c r="B9" s="145" t="s">
        <v>912</v>
      </c>
      <c r="C9" s="443">
        <v>159</v>
      </c>
      <c r="D9" s="443">
        <v>188</v>
      </c>
      <c r="E9" s="109">
        <v>300</v>
      </c>
      <c r="G9" s="640" t="s">
        <v>813</v>
      </c>
      <c r="H9" s="638"/>
      <c r="I9" s="638"/>
      <c r="J9" s="641">
        <v>0</v>
      </c>
    </row>
    <row r="10" spans="2:10" ht="15.75">
      <c r="B10" s="145" t="s">
        <v>913</v>
      </c>
      <c r="C10" s="443">
        <v>1822</v>
      </c>
      <c r="D10" s="443">
        <v>1900</v>
      </c>
      <c r="E10" s="262">
        <f>mvalloc!E14</f>
        <v>1098</v>
      </c>
      <c r="G10" s="636" t="s">
        <v>814</v>
      </c>
      <c r="H10" s="637"/>
      <c r="I10" s="637"/>
      <c r="J10" s="642">
        <f>IF(J9=0,"",ROUND((J9+E32-G22)/inputOth!E6*1000,3)-G27)</f>
      </c>
    </row>
    <row r="11" spans="2:10" ht="15.75">
      <c r="B11" s="145" t="s">
        <v>914</v>
      </c>
      <c r="C11" s="443">
        <v>49</v>
      </c>
      <c r="D11" s="443">
        <v>46</v>
      </c>
      <c r="E11" s="262">
        <f>mvalloc!F14</f>
        <v>38</v>
      </c>
      <c r="G11" s="643" t="str">
        <f>CONCATENATE("",E1," Tot Exp/Non-Appr Must Be:")</f>
        <v>2014 Tot Exp/Non-Appr Must Be:</v>
      </c>
      <c r="H11" s="644"/>
      <c r="I11" s="645"/>
      <c r="J11" s="646">
        <f>IF(J9&gt;0,IF(E29&lt;E18,IF(J9=G22,E29,((J9-G22)*(1-D31))+E18),E29+(J9-G22)),0)</f>
        <v>0</v>
      </c>
    </row>
    <row r="12" spans="2:10" ht="15.75">
      <c r="B12" s="302" t="s">
        <v>979</v>
      </c>
      <c r="C12" s="443">
        <v>160</v>
      </c>
      <c r="D12" s="443">
        <v>160</v>
      </c>
      <c r="E12" s="262">
        <f>mvalloc!G14</f>
        <v>92</v>
      </c>
      <c r="G12" s="647" t="s">
        <v>170</v>
      </c>
      <c r="H12" s="648"/>
      <c r="I12" s="648"/>
      <c r="J12" s="649">
        <f>IF(J9&gt;0,J11-E29,0)</f>
        <v>0</v>
      </c>
    </row>
    <row r="13" spans="2:10" ht="15.75">
      <c r="B13" s="313" t="s">
        <v>563</v>
      </c>
      <c r="C13" s="443">
        <v>4</v>
      </c>
      <c r="D13" s="443">
        <v>3</v>
      </c>
      <c r="E13" s="109"/>
      <c r="G13" s="1"/>
      <c r="H13" s="1"/>
      <c r="I13" s="1"/>
      <c r="J13" s="1"/>
    </row>
    <row r="14" spans="2:10" ht="15.75">
      <c r="B14" s="313"/>
      <c r="C14" s="443"/>
      <c r="D14" s="443"/>
      <c r="E14" s="109"/>
      <c r="G14" s="793" t="str">
        <f>CONCATENATE("Projected Carryover Into ",E1+1,"")</f>
        <v>Projected Carryover Into 2015</v>
      </c>
      <c r="H14" s="807"/>
      <c r="I14" s="807"/>
      <c r="J14" s="808"/>
    </row>
    <row r="15" spans="2:10" ht="15.75">
      <c r="B15" s="306" t="s">
        <v>867</v>
      </c>
      <c r="C15" s="443"/>
      <c r="D15" s="443"/>
      <c r="E15" s="109"/>
      <c r="G15" s="636"/>
      <c r="H15" s="638"/>
      <c r="I15" s="638"/>
      <c r="J15" s="664"/>
    </row>
    <row r="16" spans="2:10" ht="15.75">
      <c r="B16" s="306" t="s">
        <v>808</v>
      </c>
      <c r="C16" s="444">
        <f>IF(C17*0.1&lt;C15,"Exceed 10% Rule","")</f>
      </c>
      <c r="D16" s="444">
        <f>IF(D17*0.1&lt;D15,"Exceed 10% Rule","")</f>
      </c>
      <c r="E16" s="338">
        <f>IF(E17*0.1+E32&lt;E15,"Exceed 10% Rule","")</f>
      </c>
      <c r="G16" s="665">
        <f>D26</f>
        <v>0</v>
      </c>
      <c r="H16" s="655" t="str">
        <f>CONCATENATE("",E1-1," Ending Cash Balance (est.)")</f>
        <v>2013 Ending Cash Balance (est.)</v>
      </c>
      <c r="I16" s="666"/>
      <c r="J16" s="664"/>
    </row>
    <row r="17" spans="2:10" ht="15.75">
      <c r="B17" s="308" t="s">
        <v>918</v>
      </c>
      <c r="C17" s="445">
        <f>SUM(C8:C15)</f>
        <v>25580</v>
      </c>
      <c r="D17" s="445">
        <f>SUM(D8:D15)</f>
        <v>27774</v>
      </c>
      <c r="E17" s="346">
        <f>SUM(E8:E15)</f>
        <v>1528</v>
      </c>
      <c r="G17" s="665">
        <f>E17</f>
        <v>1528</v>
      </c>
      <c r="H17" s="638" t="str">
        <f>CONCATENATE("",E1," Non-AV Receipts (est.)")</f>
        <v>2014 Non-AV Receipts (est.)</v>
      </c>
      <c r="I17" s="666"/>
      <c r="J17" s="664"/>
    </row>
    <row r="18" spans="2:10" ht="15.75">
      <c r="B18" s="308" t="s">
        <v>919</v>
      </c>
      <c r="C18" s="445">
        <f>C6+C17</f>
        <v>25580</v>
      </c>
      <c r="D18" s="445">
        <f>D6+D17</f>
        <v>27774</v>
      </c>
      <c r="E18" s="346">
        <f>E6+E17</f>
        <v>1528</v>
      </c>
      <c r="G18" s="667">
        <f>IF(E31&gt;0,E30,E32)</f>
        <v>25472</v>
      </c>
      <c r="H18" s="638" t="str">
        <f>CONCATENATE("",E1," Ad Valorem Tax (est.)")</f>
        <v>2014 Ad Valorem Tax (est.)</v>
      </c>
      <c r="I18" s="666"/>
      <c r="J18" s="664"/>
    </row>
    <row r="19" spans="2:10" ht="15.75">
      <c r="B19" s="145" t="s">
        <v>921</v>
      </c>
      <c r="C19" s="306"/>
      <c r="D19" s="306"/>
      <c r="E19" s="105"/>
      <c r="G19" s="665">
        <f>SUM(G16:G18)</f>
        <v>27000</v>
      </c>
      <c r="H19" s="638" t="str">
        <f>CONCATENATE("Total ",E1," Resources Available")</f>
        <v>Total 2014 Resources Available</v>
      </c>
      <c r="I19" s="666"/>
      <c r="J19" s="664"/>
    </row>
    <row r="20" spans="2:10" ht="15.75">
      <c r="B20" s="313" t="s">
        <v>557</v>
      </c>
      <c r="C20" s="443">
        <v>25580</v>
      </c>
      <c r="D20" s="443">
        <v>27774</v>
      </c>
      <c r="E20" s="109">
        <v>27000</v>
      </c>
      <c r="G20" s="668"/>
      <c r="H20" s="638"/>
      <c r="I20" s="638"/>
      <c r="J20" s="664"/>
    </row>
    <row r="21" spans="2:10" ht="15.75">
      <c r="B21" s="313"/>
      <c r="C21" s="443"/>
      <c r="D21" s="443"/>
      <c r="E21" s="109"/>
      <c r="G21" s="667">
        <f>ROUND(C25*0.05+C25,0)</f>
        <v>26859</v>
      </c>
      <c r="H21" s="638" t="str">
        <f>CONCATENATE("Less ",E1-2," Expenditures + 5%")</f>
        <v>Less 2012 Expenditures + 5%</v>
      </c>
      <c r="I21" s="666"/>
      <c r="J21" s="669"/>
    </row>
    <row r="22" spans="2:10" ht="15.75">
      <c r="B22" s="306" t="s">
        <v>869</v>
      </c>
      <c r="C22" s="443"/>
      <c r="D22" s="443"/>
      <c r="E22" s="117">
        <f>Nhood!E13</f>
      </c>
      <c r="G22" s="670">
        <f>G19-G21</f>
        <v>141</v>
      </c>
      <c r="H22" s="671" t="str">
        <f>CONCATENATE("Projected ",E1+1," carryover (est.)")</f>
        <v>Projected 2015 carryover (est.)</v>
      </c>
      <c r="I22" s="672"/>
      <c r="J22" s="673"/>
    </row>
    <row r="23" spans="2:10" ht="15.75">
      <c r="B23" s="306" t="s">
        <v>867</v>
      </c>
      <c r="C23" s="443"/>
      <c r="D23" s="443"/>
      <c r="E23" s="109"/>
      <c r="G23" s="1"/>
      <c r="H23" s="1"/>
      <c r="I23" s="1"/>
      <c r="J23" s="1"/>
    </row>
    <row r="24" spans="2:10" ht="15.75">
      <c r="B24" s="306" t="s">
        <v>807</v>
      </c>
      <c r="C24" s="444">
        <f>IF(C25*0.1&lt;C23,"Exceed 10% Rule","")</f>
      </c>
      <c r="D24" s="444">
        <f>IF(D25*0.1&lt;D23,"Exceed 10% Rule","")</f>
      </c>
      <c r="E24" s="338">
        <f>IF(E25*0.1&lt;E23,"Exceed 10% Rule","")</f>
      </c>
      <c r="G24" s="796" t="s">
        <v>171</v>
      </c>
      <c r="H24" s="797"/>
      <c r="I24" s="797"/>
      <c r="J24" s="798"/>
    </row>
    <row r="25" spans="2:10" ht="15.75">
      <c r="B25" s="308" t="s">
        <v>922</v>
      </c>
      <c r="C25" s="445">
        <f>SUM(C20:C23)</f>
        <v>25580</v>
      </c>
      <c r="D25" s="445">
        <f>SUM(D20:D23)</f>
        <v>27774</v>
      </c>
      <c r="E25" s="346">
        <f>SUM(E20:E23)</f>
        <v>27000</v>
      </c>
      <c r="G25" s="654"/>
      <c r="H25" s="655"/>
      <c r="I25" s="656"/>
      <c r="J25" s="657"/>
    </row>
    <row r="26" spans="2:10" ht="15.75">
      <c r="B26" s="145" t="s">
        <v>1029</v>
      </c>
      <c r="C26" s="448">
        <f>C18-C25</f>
        <v>0</v>
      </c>
      <c r="D26" s="448">
        <f>D18-D25</f>
        <v>0</v>
      </c>
      <c r="E26" s="332" t="s">
        <v>299</v>
      </c>
      <c r="G26" s="658">
        <f>summ!H23</f>
        <v>0.439</v>
      </c>
      <c r="H26" s="655" t="str">
        <f>CONCATENATE("",E1," Fund Mill Rate")</f>
        <v>2014 Fund Mill Rate</v>
      </c>
      <c r="I26" s="656"/>
      <c r="J26" s="657"/>
    </row>
    <row r="27" spans="2:10" ht="15.75">
      <c r="B27" s="284" t="str">
        <f>CONCATENATE("",E$1-2,"/",E$1-1," Budget Authority Amount:")</f>
        <v>2012/2013 Budget Authority Amount:</v>
      </c>
      <c r="C27" s="276">
        <f>inputOth!B37</f>
        <v>27000</v>
      </c>
      <c r="D27" s="276">
        <f>inputPrYr!D23</f>
        <v>27000</v>
      </c>
      <c r="E27" s="332" t="s">
        <v>299</v>
      </c>
      <c r="G27" s="659">
        <f>summ!E23</f>
        <v>0.368</v>
      </c>
      <c r="H27" s="655" t="str">
        <f>CONCATENATE("",E1-1," Fund Mill Rate")</f>
        <v>2013 Fund Mill Rate</v>
      </c>
      <c r="I27" s="656"/>
      <c r="J27" s="657"/>
    </row>
    <row r="28" spans="2:10" ht="15.75">
      <c r="B28" s="284"/>
      <c r="C28" s="799" t="s">
        <v>810</v>
      </c>
      <c r="D28" s="800"/>
      <c r="E28" s="109"/>
      <c r="G28" s="660">
        <f>summ!H43</f>
        <v>68.735</v>
      </c>
      <c r="H28" s="655" t="str">
        <f>CONCATENATE("Total ",E1," Mill Rate")</f>
        <v>Total 2014 Mill Rate</v>
      </c>
      <c r="I28" s="656"/>
      <c r="J28" s="657"/>
    </row>
    <row r="29" spans="2:10" ht="15.75">
      <c r="B29" s="494" t="s">
        <v>617</v>
      </c>
      <c r="C29" s="801" t="s">
        <v>811</v>
      </c>
      <c r="D29" s="802"/>
      <c r="E29" s="262">
        <f>E25+E28</f>
        <v>27000</v>
      </c>
      <c r="G29" s="659">
        <f>summ!E43</f>
        <v>57.134</v>
      </c>
      <c r="H29" s="661" t="str">
        <f>CONCATENATE("Total ",E1-1," Mill Rate")</f>
        <v>Total 2013 Mill Rate</v>
      </c>
      <c r="I29" s="662"/>
      <c r="J29" s="663"/>
    </row>
    <row r="30" spans="2:10" ht="15.75">
      <c r="B30" s="494" t="str">
        <f>CONCATENATE(C74,"     ",D74)</f>
        <v>     </v>
      </c>
      <c r="C30" s="316"/>
      <c r="D30" s="236" t="s">
        <v>923</v>
      </c>
      <c r="E30" s="117">
        <f>IF(E29-E18&gt;0,E29-E18,0)</f>
        <v>25472</v>
      </c>
      <c r="G30" s="1"/>
      <c r="H30" s="1"/>
      <c r="I30" s="1"/>
      <c r="J30" s="1"/>
    </row>
    <row r="31" spans="2:10" ht="15.75">
      <c r="B31" s="236"/>
      <c r="C31" s="492" t="s">
        <v>812</v>
      </c>
      <c r="D31" s="635">
        <f>inputOth!$E$23</f>
        <v>0.01</v>
      </c>
      <c r="E31" s="262">
        <f>ROUND(IF(D31&gt;0,($E$30*D31),0),0)</f>
        <v>255</v>
      </c>
      <c r="G31" s="712" t="s">
        <v>318</v>
      </c>
      <c r="H31" s="711"/>
      <c r="I31" s="710" t="str">
        <f>cert!E51</f>
        <v>Yes</v>
      </c>
      <c r="J31" s="1"/>
    </row>
    <row r="32" spans="2:11" ht="15.75">
      <c r="B32" s="82"/>
      <c r="C32" s="791" t="str">
        <f>CONCATENATE("Amount of  ",$E$1-1," Ad Valorem Tax")</f>
        <v>Amount of  2013 Ad Valorem Tax</v>
      </c>
      <c r="D32" s="792"/>
      <c r="E32" s="342">
        <f>E30+E31</f>
        <v>25727</v>
      </c>
      <c r="F32" s="315"/>
      <c r="G32" s="1"/>
      <c r="H32" s="1"/>
      <c r="I32" s="1"/>
      <c r="J32" s="1"/>
      <c r="K32" s="652" t="str">
        <f>IF(G18=E32,"","Note: Does not include Delinquent Taxes")</f>
        <v>Note: Does not include Delinquent Taxes</v>
      </c>
    </row>
    <row r="33" spans="2:10" ht="15.75">
      <c r="B33" s="82"/>
      <c r="C33" s="322"/>
      <c r="D33" s="322"/>
      <c r="E33" s="322"/>
      <c r="F33" s="490">
        <f>IF(E25/0.95-E25&lt;E28,"Exceeds 5%","")</f>
      </c>
      <c r="G33" s="1"/>
      <c r="H33" s="1"/>
      <c r="I33" s="1"/>
      <c r="J33" s="1"/>
    </row>
    <row r="34" spans="2:10" ht="15.75">
      <c r="B34" s="81" t="s">
        <v>312</v>
      </c>
      <c r="C34" s="688" t="str">
        <f aca="true" t="shared" si="0" ref="C34:E35">C4</f>
        <v>Prior Year </v>
      </c>
      <c r="D34" s="689" t="str">
        <f t="shared" si="0"/>
        <v>Current Year </v>
      </c>
      <c r="E34" s="211" t="str">
        <f t="shared" si="0"/>
        <v>Proposed Budget </v>
      </c>
      <c r="G34" s="1"/>
      <c r="H34" s="1"/>
      <c r="I34" s="1"/>
      <c r="J34" s="1"/>
    </row>
    <row r="35" spans="2:10" ht="15.75">
      <c r="B35" s="473" t="str">
        <f>inputPrYr!B24</f>
        <v>Developmental Service</v>
      </c>
      <c r="C35" s="446" t="str">
        <f t="shared" si="0"/>
        <v>Actual for 2012</v>
      </c>
      <c r="D35" s="446" t="str">
        <f t="shared" si="0"/>
        <v>Estimate for 2013</v>
      </c>
      <c r="E35" s="312" t="str">
        <f t="shared" si="0"/>
        <v>Year for 2014</v>
      </c>
      <c r="G35" s="1"/>
      <c r="H35" s="1"/>
      <c r="I35" s="1"/>
      <c r="J35" s="1"/>
    </row>
    <row r="36" spans="2:10" ht="15.75">
      <c r="B36" s="145" t="s">
        <v>1028</v>
      </c>
      <c r="C36" s="443">
        <v>0</v>
      </c>
      <c r="D36" s="447">
        <f>C56</f>
        <v>0</v>
      </c>
      <c r="E36" s="262">
        <f>D56</f>
        <v>0</v>
      </c>
      <c r="G36" s="1"/>
      <c r="H36" s="1"/>
      <c r="I36" s="1"/>
      <c r="J36" s="1"/>
    </row>
    <row r="37" spans="2:10" ht="15.75">
      <c r="B37" s="287" t="s">
        <v>1030</v>
      </c>
      <c r="C37" s="302"/>
      <c r="D37" s="302"/>
      <c r="E37" s="124"/>
      <c r="G37" s="1"/>
      <c r="H37" s="1"/>
      <c r="I37" s="1"/>
      <c r="J37" s="1"/>
    </row>
    <row r="38" spans="2:10" ht="15.75">
      <c r="B38" s="145" t="s">
        <v>911</v>
      </c>
      <c r="C38" s="443">
        <v>46934</v>
      </c>
      <c r="D38" s="447">
        <f>IF(inputPrYr!H24&gt;0,inputPrYr!H24,inputPrYr!E24)</f>
        <v>51133</v>
      </c>
      <c r="E38" s="332" t="s">
        <v>299</v>
      </c>
      <c r="G38" s="1"/>
      <c r="H38" s="1"/>
      <c r="I38" s="1"/>
      <c r="J38" s="1"/>
    </row>
    <row r="39" spans="2:10" ht="15.75">
      <c r="B39" s="145" t="s">
        <v>912</v>
      </c>
      <c r="C39" s="443">
        <v>313</v>
      </c>
      <c r="D39" s="443">
        <v>366</v>
      </c>
      <c r="E39" s="109">
        <v>415</v>
      </c>
      <c r="G39" s="1"/>
      <c r="H39" s="1"/>
      <c r="I39" s="1"/>
      <c r="J39" s="1"/>
    </row>
    <row r="40" spans="2:10" ht="15.75">
      <c r="B40" s="145" t="s">
        <v>913</v>
      </c>
      <c r="C40" s="443">
        <v>3664</v>
      </c>
      <c r="D40" s="443">
        <v>2900</v>
      </c>
      <c r="E40" s="262">
        <f>mvalloc!E15</f>
        <v>2203</v>
      </c>
      <c r="G40" s="1"/>
      <c r="H40" s="1"/>
      <c r="I40" s="1"/>
      <c r="J40" s="1"/>
    </row>
    <row r="41" spans="2:10" ht="15.75">
      <c r="B41" s="145" t="s">
        <v>914</v>
      </c>
      <c r="C41" s="443">
        <v>99</v>
      </c>
      <c r="D41" s="443">
        <v>80</v>
      </c>
      <c r="E41" s="262">
        <f>mvalloc!F15</f>
        <v>77</v>
      </c>
      <c r="G41" s="1"/>
      <c r="H41" s="1"/>
      <c r="I41" s="1"/>
      <c r="J41" s="1"/>
    </row>
    <row r="42" spans="2:10" ht="15.75">
      <c r="B42" s="302" t="s">
        <v>979</v>
      </c>
      <c r="C42" s="443">
        <v>323</v>
      </c>
      <c r="D42" s="443">
        <v>330</v>
      </c>
      <c r="E42" s="262">
        <f>mvalloc!G15</f>
        <v>184</v>
      </c>
      <c r="G42" s="793" t="str">
        <f>CONCATENATE("Desired Carryover Into ",E1+1,"")</f>
        <v>Desired Carryover Into 2015</v>
      </c>
      <c r="H42" s="794"/>
      <c r="I42" s="794"/>
      <c r="J42" s="795"/>
    </row>
    <row r="43" spans="2:10" ht="15.75">
      <c r="B43" s="313" t="s">
        <v>563</v>
      </c>
      <c r="C43" s="443">
        <v>7</v>
      </c>
      <c r="D43" s="443"/>
      <c r="E43" s="109"/>
      <c r="G43" s="636"/>
      <c r="H43" s="637"/>
      <c r="I43" s="638"/>
      <c r="J43" s="639"/>
    </row>
    <row r="44" spans="2:10" ht="15.75">
      <c r="B44" s="313"/>
      <c r="C44" s="443"/>
      <c r="D44" s="443"/>
      <c r="E44" s="109"/>
      <c r="G44" s="640" t="s">
        <v>813</v>
      </c>
      <c r="H44" s="638"/>
      <c r="I44" s="638"/>
      <c r="J44" s="641">
        <v>0</v>
      </c>
    </row>
    <row r="45" spans="2:10" ht="15.75">
      <c r="B45" s="306" t="s">
        <v>867</v>
      </c>
      <c r="C45" s="443"/>
      <c r="D45" s="443"/>
      <c r="E45" s="109"/>
      <c r="G45" s="636" t="s">
        <v>814</v>
      </c>
      <c r="H45" s="637"/>
      <c r="I45" s="637"/>
      <c r="J45" s="642">
        <f>IF(J44=0,"",ROUND((J44+E62-G57)/inputOth!E6*1000,3)-G62)</f>
      </c>
    </row>
    <row r="46" spans="2:10" ht="15.75">
      <c r="B46" s="306" t="s">
        <v>808</v>
      </c>
      <c r="C46" s="444">
        <f>IF(C47*0.1&lt;C45,"Exceed 10% Rule","")</f>
      </c>
      <c r="D46" s="444">
        <f>IF(D47*0.1&lt;D45,"Exceed 10% Rule","")</f>
      </c>
      <c r="E46" s="338">
        <f>IF(E47*0.1+E62&lt;E45,"Exceed 10% Rule","")</f>
      </c>
      <c r="G46" s="643" t="str">
        <f>CONCATENATE("",E1," Tot Exp/Non-Appr Must Be:")</f>
        <v>2014 Tot Exp/Non-Appr Must Be:</v>
      </c>
      <c r="H46" s="644"/>
      <c r="I46" s="645"/>
      <c r="J46" s="646">
        <f>IF(J44&gt;0,IF(E59&lt;E48,IF(J44=G57,E59,((J44-G57)*(1-D61))+E48),E59+(J44-G57)),0)</f>
        <v>0</v>
      </c>
    </row>
    <row r="47" spans="2:10" ht="15.75">
      <c r="B47" s="308" t="s">
        <v>918</v>
      </c>
      <c r="C47" s="445">
        <f>SUM(C38:C45)</f>
        <v>51340</v>
      </c>
      <c r="D47" s="445">
        <f>SUM(D38:D45)</f>
        <v>54809</v>
      </c>
      <c r="E47" s="346">
        <f>SUM(E38:E45)</f>
        <v>2879</v>
      </c>
      <c r="G47" s="647" t="s">
        <v>170</v>
      </c>
      <c r="H47" s="648"/>
      <c r="I47" s="648"/>
      <c r="J47" s="649">
        <f>IF(J44&gt;0,J46-E59,0)</f>
        <v>0</v>
      </c>
    </row>
    <row r="48" spans="2:10" ht="15.75">
      <c r="B48" s="308" t="s">
        <v>919</v>
      </c>
      <c r="C48" s="445">
        <f>C36+C47</f>
        <v>51340</v>
      </c>
      <c r="D48" s="445">
        <f>D36+D47</f>
        <v>54809</v>
      </c>
      <c r="E48" s="346">
        <f>E36+E47</f>
        <v>2879</v>
      </c>
      <c r="G48" s="1"/>
      <c r="H48" s="1"/>
      <c r="I48" s="1"/>
      <c r="J48" s="1"/>
    </row>
    <row r="49" spans="2:10" ht="15.75">
      <c r="B49" s="145" t="s">
        <v>921</v>
      </c>
      <c r="C49" s="306"/>
      <c r="D49" s="306"/>
      <c r="E49" s="105"/>
      <c r="G49" s="793" t="str">
        <f>CONCATENATE("Projected Carryover Into ",E1+1,"")</f>
        <v>Projected Carryover Into 2015</v>
      </c>
      <c r="H49" s="809"/>
      <c r="I49" s="809"/>
      <c r="J49" s="808"/>
    </row>
    <row r="50" spans="2:10" ht="15.75">
      <c r="B50" s="313" t="s">
        <v>557</v>
      </c>
      <c r="C50" s="443">
        <v>51340</v>
      </c>
      <c r="D50" s="443">
        <v>54809</v>
      </c>
      <c r="E50" s="109">
        <v>54000</v>
      </c>
      <c r="G50" s="674"/>
      <c r="H50" s="637"/>
      <c r="I50" s="637"/>
      <c r="J50" s="669"/>
    </row>
    <row r="51" spans="2:10" ht="15.75">
      <c r="B51" s="313"/>
      <c r="C51" s="443"/>
      <c r="D51" s="443"/>
      <c r="E51" s="109"/>
      <c r="G51" s="665">
        <f>D56</f>
        <v>0</v>
      </c>
      <c r="H51" s="655" t="str">
        <f>CONCATENATE("",E1-1," Ending Cash Balance (est.)")</f>
        <v>2013 Ending Cash Balance (est.)</v>
      </c>
      <c r="I51" s="666"/>
      <c r="J51" s="669"/>
    </row>
    <row r="52" spans="2:10" ht="15.75">
      <c r="B52" s="306" t="s">
        <v>869</v>
      </c>
      <c r="C52" s="443"/>
      <c r="D52" s="443"/>
      <c r="E52" s="117">
        <f>Nhood!E14</f>
      </c>
      <c r="G52" s="665">
        <f>E47</f>
        <v>2879</v>
      </c>
      <c r="H52" s="638" t="str">
        <f>CONCATENATE("",E1," Non-AV Receipts (est.)")</f>
        <v>2014 Non-AV Receipts (est.)</v>
      </c>
      <c r="I52" s="666"/>
      <c r="J52" s="669"/>
    </row>
    <row r="53" spans="2:10" ht="15.75">
      <c r="B53" s="306" t="s">
        <v>867</v>
      </c>
      <c r="C53" s="443"/>
      <c r="D53" s="443"/>
      <c r="E53" s="109"/>
      <c r="G53" s="667">
        <f>IF(E61&gt;0,E60,E62)</f>
        <v>51121</v>
      </c>
      <c r="H53" s="638" t="str">
        <f>CONCATENATE("",E1," Ad Valorem Tax (est.)")</f>
        <v>2014 Ad Valorem Tax (est.)</v>
      </c>
      <c r="I53" s="666"/>
      <c r="J53" s="669"/>
    </row>
    <row r="54" spans="2:10" ht="15.75">
      <c r="B54" s="306" t="s">
        <v>807</v>
      </c>
      <c r="C54" s="444">
        <f>IF(C55*0.1&lt;C53,"Exceed 10% Rule","")</f>
      </c>
      <c r="D54" s="444">
        <f>IF(D55*0.1&lt;D53,"Exceed 10% Rule","")</f>
      </c>
      <c r="E54" s="338">
        <f>IF(E55*0.1&lt;E53,"Exceed 10% Rule","")</f>
      </c>
      <c r="G54" s="675">
        <f>SUM(G51:G53)</f>
        <v>54000</v>
      </c>
      <c r="H54" s="638" t="str">
        <f>CONCATENATE("Total ",E1," Resources Available")</f>
        <v>Total 2014 Resources Available</v>
      </c>
      <c r="I54" s="676"/>
      <c r="J54" s="669"/>
    </row>
    <row r="55" spans="2:10" ht="15.75">
      <c r="B55" s="308" t="s">
        <v>922</v>
      </c>
      <c r="C55" s="445">
        <f>SUM(C50:C53)</f>
        <v>51340</v>
      </c>
      <c r="D55" s="445">
        <f>SUM(D50:D53)</f>
        <v>54809</v>
      </c>
      <c r="E55" s="346">
        <f>SUM(E50:E53)</f>
        <v>54000</v>
      </c>
      <c r="G55" s="677"/>
      <c r="H55" s="678"/>
      <c r="I55" s="637"/>
      <c r="J55" s="669"/>
    </row>
    <row r="56" spans="2:10" ht="15.75">
      <c r="B56" s="145" t="s">
        <v>1029</v>
      </c>
      <c r="C56" s="448">
        <f>C48-C55</f>
        <v>0</v>
      </c>
      <c r="D56" s="448">
        <f>D48-D55</f>
        <v>0</v>
      </c>
      <c r="E56" s="332" t="s">
        <v>299</v>
      </c>
      <c r="G56" s="679">
        <f>ROUND(C55*0.05+C55,0)</f>
        <v>53907</v>
      </c>
      <c r="H56" s="638" t="str">
        <f>CONCATENATE("Less ",E1-2," Expenditures + 5%")</f>
        <v>Less 2012 Expenditures + 5%</v>
      </c>
      <c r="I56" s="676"/>
      <c r="J56" s="669"/>
    </row>
    <row r="57" spans="2:10" ht="15.75">
      <c r="B57" s="284" t="str">
        <f>CONCATENATE("",E$1-2,"/",E$1-1," Budget Authority Amount:")</f>
        <v>2012/2013 Budget Authority Amount:</v>
      </c>
      <c r="C57" s="276">
        <f>inputOth!B38</f>
        <v>54000</v>
      </c>
      <c r="D57" s="276">
        <f>inputPrYr!D24</f>
        <v>54000</v>
      </c>
      <c r="E57" s="332" t="s">
        <v>299</v>
      </c>
      <c r="G57" s="680">
        <f>G54-G56</f>
        <v>93</v>
      </c>
      <c r="H57" s="671" t="str">
        <f>CONCATENATE("Projected ",E1+1," carryover (est.)")</f>
        <v>Projected 2015 carryover (est.)</v>
      </c>
      <c r="I57" s="681"/>
      <c r="J57" s="682"/>
    </row>
    <row r="58" spans="2:10" ht="15.75">
      <c r="B58" s="284"/>
      <c r="C58" s="799" t="s">
        <v>810</v>
      </c>
      <c r="D58" s="800"/>
      <c r="E58" s="109"/>
      <c r="G58" s="1"/>
      <c r="H58" s="1"/>
      <c r="I58" s="1"/>
      <c r="J58" s="1"/>
    </row>
    <row r="59" spans="2:10" ht="15.75">
      <c r="B59" s="493" t="s">
        <v>617</v>
      </c>
      <c r="C59" s="801" t="s">
        <v>811</v>
      </c>
      <c r="D59" s="802"/>
      <c r="E59" s="262">
        <f>E55+E58</f>
        <v>54000</v>
      </c>
      <c r="G59" s="796" t="s">
        <v>171</v>
      </c>
      <c r="H59" s="797"/>
      <c r="I59" s="797"/>
      <c r="J59" s="798"/>
    </row>
    <row r="60" spans="2:10" ht="15.75">
      <c r="B60" s="493" t="str">
        <f>CONCATENATE(C76,"     ",D76)</f>
        <v>     </v>
      </c>
      <c r="C60" s="316"/>
      <c r="D60" s="236" t="s">
        <v>923</v>
      </c>
      <c r="E60" s="117">
        <f>IF(E59-E48&gt;0,E59-E48,0)</f>
        <v>51121</v>
      </c>
      <c r="G60" s="654"/>
      <c r="H60" s="655"/>
      <c r="I60" s="656"/>
      <c r="J60" s="657"/>
    </row>
    <row r="61" spans="2:10" ht="15.75">
      <c r="B61" s="236"/>
      <c r="C61" s="492" t="s">
        <v>812</v>
      </c>
      <c r="D61" s="635">
        <f>inputOth!$E$23</f>
        <v>0.01</v>
      </c>
      <c r="E61" s="262">
        <f>ROUND(IF(D61&gt;0,($E$60*D61),0),0)</f>
        <v>511</v>
      </c>
      <c r="G61" s="658">
        <f>summ!H24</f>
        <v>0.882</v>
      </c>
      <c r="H61" s="655" t="str">
        <f>CONCATENATE("",E1," Fund Mill Rate")</f>
        <v>2014 Fund Mill Rate</v>
      </c>
      <c r="I61" s="656"/>
      <c r="J61" s="657"/>
    </row>
    <row r="62" spans="2:10" ht="15.75">
      <c r="B62" s="82"/>
      <c r="C62" s="791" t="str">
        <f>CONCATENATE("Amount of  ",$E$1-1," Ad Valorem Tax")</f>
        <v>Amount of  2013 Ad Valorem Tax</v>
      </c>
      <c r="D62" s="792"/>
      <c r="E62" s="342">
        <f>E60+E61</f>
        <v>51632</v>
      </c>
      <c r="G62" s="659">
        <f>summ!E24</f>
        <v>0.738</v>
      </c>
      <c r="H62" s="655" t="str">
        <f>CONCATENATE("",E1-1," Fund Mill Rate")</f>
        <v>2013 Fund Mill Rate</v>
      </c>
      <c r="I62" s="656"/>
      <c r="J62" s="657"/>
    </row>
    <row r="63" spans="2:10" ht="15.75">
      <c r="B63" s="284"/>
      <c r="C63" s="343" t="s">
        <v>606</v>
      </c>
      <c r="D63" s="82"/>
      <c r="E63" s="82"/>
      <c r="G63" s="660">
        <f>summ!H43</f>
        <v>68.735</v>
      </c>
      <c r="H63" s="655" t="str">
        <f>CONCATENATE("Total ",E1," Mill Rate")</f>
        <v>Total 2014 Mill Rate</v>
      </c>
      <c r="I63" s="656"/>
      <c r="J63" s="657"/>
    </row>
    <row r="64" spans="7:10" ht="15.75">
      <c r="G64" s="659">
        <f>summ!E43</f>
        <v>57.134</v>
      </c>
      <c r="H64" s="661" t="str">
        <f>CONCATENATE("Total ",E1-1," Mill Rate")</f>
        <v>Total 2013 Mill Rate</v>
      </c>
      <c r="I64" s="662"/>
      <c r="J64" s="663"/>
    </row>
    <row r="66" spans="7:9" ht="15.75">
      <c r="G66" s="712" t="s">
        <v>318</v>
      </c>
      <c r="H66" s="711"/>
      <c r="I66" s="710" t="str">
        <f>cert!E51</f>
        <v>Yes</v>
      </c>
    </row>
    <row r="72" spans="6:11" ht="15.75">
      <c r="F72" s="315"/>
      <c r="K72" s="652" t="str">
        <f>IF(G53=E62,"","Note: Does not include Delinquent Taxes")</f>
        <v>Note: Does not include Delinquent Taxes</v>
      </c>
    </row>
    <row r="73" spans="3:6" ht="15.75">
      <c r="C73" s="70">
        <f>IF(C25&gt;C27,"See Tab A","")</f>
      </c>
      <c r="D73" s="70" t="str">
        <f>IF(D25&gt;D27,"See Tab C","")</f>
        <v>See Tab C</v>
      </c>
      <c r="F73" s="490">
        <f>IF(E55/0.95-E55&lt;E58,"Exceeds 5%","")</f>
      </c>
    </row>
    <row r="74" spans="3:4" ht="15.75">
      <c r="C74" s="70">
        <f>IF(C26&lt;0,"See Tab B","")</f>
      </c>
      <c r="D74" s="70">
        <f>IF(D26&lt;0,"See Tab D","")</f>
      </c>
    </row>
    <row r="75" spans="3:4" ht="15.75">
      <c r="C75" s="70">
        <f>IF(C55&gt;C57,"See Tab A","")</f>
      </c>
      <c r="D75" s="70" t="str">
        <f>IF(D55&gt;D57,"See Tab C","")</f>
        <v>See Tab C</v>
      </c>
    </row>
    <row r="76" spans="3:4" ht="15.75">
      <c r="C76" s="70">
        <f>IF(C56&lt;0,"See Tab B","")</f>
      </c>
      <c r="D76" s="70">
        <f>IF(D56&lt;0,"See Tab D","")</f>
      </c>
    </row>
    <row r="88" ht="15.75" hidden="1"/>
    <row r="89" ht="15.75" hidden="1"/>
    <row r="90" ht="15.75" hidden="1"/>
    <row r="91" ht="15.75" hidden="1"/>
  </sheetData>
  <sheetProtection/>
  <mergeCells count="12">
    <mergeCell ref="C58:D58"/>
    <mergeCell ref="C59:D59"/>
    <mergeCell ref="C62:D62"/>
    <mergeCell ref="C32:D32"/>
    <mergeCell ref="G7:J7"/>
    <mergeCell ref="G14:J14"/>
    <mergeCell ref="G24:J24"/>
    <mergeCell ref="G42:J42"/>
    <mergeCell ref="G49:J49"/>
    <mergeCell ref="G59:J59"/>
    <mergeCell ref="C28:D28"/>
    <mergeCell ref="C29:D29"/>
  </mergeCells>
  <conditionalFormatting sqref="E53">
    <cfRule type="cellIs" priority="3" dxfId="154" operator="greaterThan" stopIfTrue="1">
      <formula>$E$55*0.1</formula>
    </cfRule>
  </conditionalFormatting>
  <conditionalFormatting sqref="E58">
    <cfRule type="cellIs" priority="4" dxfId="154" operator="greaterThan" stopIfTrue="1">
      <formula>$E$55/0.95-$E$55</formula>
    </cfRule>
  </conditionalFormatting>
  <conditionalFormatting sqref="E28">
    <cfRule type="cellIs" priority="5" dxfId="154" operator="greaterThan" stopIfTrue="1">
      <formula>$E$25/0.95-$E$25</formula>
    </cfRule>
  </conditionalFormatting>
  <conditionalFormatting sqref="E23">
    <cfRule type="cellIs" priority="6" dxfId="154" operator="greaterThan" stopIfTrue="1">
      <formula>$E$25*0.1</formula>
    </cfRule>
  </conditionalFormatting>
  <conditionalFormatting sqref="C56 C26">
    <cfRule type="cellIs" priority="7" dxfId="2" operator="lessThan" stopIfTrue="1">
      <formula>0</formula>
    </cfRule>
  </conditionalFormatting>
  <conditionalFormatting sqref="C55">
    <cfRule type="cellIs" priority="8" dxfId="2" operator="greaterThan" stopIfTrue="1">
      <formula>$C$57</formula>
    </cfRule>
  </conditionalFormatting>
  <conditionalFormatting sqref="D55">
    <cfRule type="cellIs" priority="9" dxfId="2" operator="greaterThan" stopIfTrue="1">
      <formula>$D$57</formula>
    </cfRule>
  </conditionalFormatting>
  <conditionalFormatting sqref="C53">
    <cfRule type="cellIs" priority="10" dxfId="2" operator="greaterThan" stopIfTrue="1">
      <formula>$C$55*0.1</formula>
    </cfRule>
  </conditionalFormatting>
  <conditionalFormatting sqref="D53">
    <cfRule type="cellIs" priority="11" dxfId="2" operator="greaterThan" stopIfTrue="1">
      <formula>$D$55*0.1</formula>
    </cfRule>
  </conditionalFormatting>
  <conditionalFormatting sqref="E45">
    <cfRule type="cellIs" priority="12" dxfId="154" operator="greaterThan" stopIfTrue="1">
      <formula>$E$47*0.1+E62</formula>
    </cfRule>
  </conditionalFormatting>
  <conditionalFormatting sqref="C45">
    <cfRule type="cellIs" priority="13" dxfId="2" operator="greaterThan" stopIfTrue="1">
      <formula>$C$47*0.1</formula>
    </cfRule>
  </conditionalFormatting>
  <conditionalFormatting sqref="D45">
    <cfRule type="cellIs" priority="14" dxfId="2" operator="greaterThan" stopIfTrue="1">
      <formula>$D$47*0.1</formula>
    </cfRule>
  </conditionalFormatting>
  <conditionalFormatting sqref="C25">
    <cfRule type="cellIs" priority="15" dxfId="2" operator="greaterThan" stopIfTrue="1">
      <formula>$C$27</formula>
    </cfRule>
  </conditionalFormatting>
  <conditionalFormatting sqref="D25">
    <cfRule type="cellIs" priority="16" dxfId="2" operator="greaterThan" stopIfTrue="1">
      <formula>$D$27</formula>
    </cfRule>
  </conditionalFormatting>
  <conditionalFormatting sqref="C23">
    <cfRule type="cellIs" priority="17" dxfId="2" operator="greaterThan" stopIfTrue="1">
      <formula>$C$25*0.1</formula>
    </cfRule>
  </conditionalFormatting>
  <conditionalFormatting sqref="D23">
    <cfRule type="cellIs" priority="18" dxfId="2" operator="greaterThan" stopIfTrue="1">
      <formula>$D$25*0.1</formula>
    </cfRule>
  </conditionalFormatting>
  <conditionalFormatting sqref="E15">
    <cfRule type="cellIs" priority="19" dxfId="154" operator="greaterThan" stopIfTrue="1">
      <formula>$E$17*0.1+E32</formula>
    </cfRule>
  </conditionalFormatting>
  <conditionalFormatting sqref="C15">
    <cfRule type="cellIs" priority="20" dxfId="2" operator="greaterThan" stopIfTrue="1">
      <formula>$C$17*0.1</formula>
    </cfRule>
  </conditionalFormatting>
  <conditionalFormatting sqref="D15">
    <cfRule type="cellIs" priority="21" dxfId="2" operator="greaterThan" stopIfTrue="1">
      <formula>$D$17*0.1</formula>
    </cfRule>
  </conditionalFormatting>
  <conditionalFormatting sqref="D56 D26">
    <cfRule type="cellIs" priority="2" dxfId="0" operator="lessThan" stopIfTrue="1">
      <formula>0</formula>
    </cfRule>
  </conditionalFormatting>
  <printOptions/>
  <pageMargins left="0.86" right="0.5" top="0.74" bottom="0.34" header="0.5" footer="0"/>
  <pageSetup blackAndWhite="1" horizontalDpi="120" verticalDpi="120" orientation="portrait" scale="80" r:id="rId1"/>
  <headerFooter alignWithMargins="0">
    <oddHeader>&amp;RState of Kansas
County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125"/>
  <sheetViews>
    <sheetView zoomScalePageLayoutView="0" workbookViewId="0" topLeftCell="A1">
      <selection activeCell="F49" sqref="F49"/>
    </sheetView>
  </sheetViews>
  <sheetFormatPr defaultColWidth="8.796875" defaultRowHeight="15"/>
  <cols>
    <col min="1" max="1" width="15.796875" style="70" customWidth="1"/>
    <col min="2" max="2" width="20.796875" style="70" customWidth="1"/>
    <col min="3" max="3" width="8.796875" style="70" customWidth="1"/>
    <col min="4" max="5" width="13.296875" style="70" customWidth="1"/>
    <col min="6" max="6" width="10.796875" style="70" customWidth="1"/>
    <col min="7" max="7" width="1.796875" style="70" customWidth="1"/>
    <col min="8" max="8" width="18.69921875" style="70" customWidth="1"/>
    <col min="9" max="16384" width="8.8984375" style="70" customWidth="1"/>
  </cols>
  <sheetData>
    <row r="1" spans="1:9" ht="15.75">
      <c r="A1" s="750" t="s">
        <v>367</v>
      </c>
      <c r="B1" s="751"/>
      <c r="C1" s="751"/>
      <c r="D1" s="751"/>
      <c r="E1" s="751"/>
      <c r="F1" s="751"/>
      <c r="G1" s="82"/>
      <c r="H1" s="82"/>
      <c r="I1" s="82"/>
    </row>
    <row r="2" spans="1:9" ht="15.75">
      <c r="A2" s="81" t="s">
        <v>368</v>
      </c>
      <c r="B2" s="82"/>
      <c r="C2" s="440" t="s">
        <v>324</v>
      </c>
      <c r="D2" s="83"/>
      <c r="E2" s="84"/>
      <c r="F2" s="85"/>
      <c r="G2" s="82"/>
      <c r="H2" s="82"/>
      <c r="I2" s="82"/>
    </row>
    <row r="3" spans="1:9" ht="15.75">
      <c r="A3" s="81"/>
      <c r="B3" s="82"/>
      <c r="C3" s="82"/>
      <c r="D3" s="82"/>
      <c r="E3" s="86"/>
      <c r="F3" s="85"/>
      <c r="G3" s="82"/>
      <c r="H3" s="82"/>
      <c r="I3" s="82"/>
    </row>
    <row r="4" spans="1:9" ht="15.75">
      <c r="A4" s="81" t="s">
        <v>369</v>
      </c>
      <c r="B4" s="82"/>
      <c r="C4" s="87">
        <v>2014</v>
      </c>
      <c r="D4" s="88"/>
      <c r="E4" s="86"/>
      <c r="F4" s="85"/>
      <c r="G4" s="82"/>
      <c r="H4" s="82"/>
      <c r="I4" s="82"/>
    </row>
    <row r="5" spans="1:9" ht="15.75">
      <c r="A5" s="82"/>
      <c r="B5" s="82"/>
      <c r="C5" s="82"/>
      <c r="D5" s="82"/>
      <c r="E5" s="82"/>
      <c r="F5" s="82"/>
      <c r="G5" s="82"/>
      <c r="H5" s="82"/>
      <c r="I5" s="82"/>
    </row>
    <row r="6" spans="1:9" ht="18.75" customHeight="1">
      <c r="A6" s="89" t="s">
        <v>798</v>
      </c>
      <c r="B6" s="90"/>
      <c r="C6" s="90"/>
      <c r="D6" s="90"/>
      <c r="E6" s="90"/>
      <c r="F6" s="90"/>
      <c r="G6" s="82"/>
      <c r="H6" s="752" t="s">
        <v>165</v>
      </c>
      <c r="I6" s="752"/>
    </row>
    <row r="7" spans="1:9" ht="15.75">
      <c r="A7" s="89" t="s">
        <v>797</v>
      </c>
      <c r="B7" s="90"/>
      <c r="C7" s="90"/>
      <c r="D7" s="90"/>
      <c r="E7" s="90"/>
      <c r="F7" s="90"/>
      <c r="G7" s="82"/>
      <c r="H7" s="752"/>
      <c r="I7" s="752"/>
    </row>
    <row r="8" spans="1:9" ht="15.75">
      <c r="A8" s="89"/>
      <c r="B8" s="90"/>
      <c r="C8" s="90"/>
      <c r="D8" s="90"/>
      <c r="E8" s="90"/>
      <c r="F8" s="90"/>
      <c r="G8" s="82"/>
      <c r="H8" s="752"/>
      <c r="I8" s="752"/>
    </row>
    <row r="9" spans="1:9" ht="15.75">
      <c r="A9" s="748" t="s">
        <v>232</v>
      </c>
      <c r="B9" s="749"/>
      <c r="C9" s="749"/>
      <c r="D9" s="749"/>
      <c r="E9" s="749"/>
      <c r="F9" s="749"/>
      <c r="G9" s="82"/>
      <c r="H9" s="752"/>
      <c r="I9" s="752"/>
    </row>
    <row r="10" spans="1:9" ht="15.75">
      <c r="A10" s="82"/>
      <c r="B10" s="82"/>
      <c r="C10" s="82"/>
      <c r="D10" s="82"/>
      <c r="E10" s="82"/>
      <c r="F10" s="82"/>
      <c r="G10" s="82"/>
      <c r="H10" s="752"/>
      <c r="I10" s="752"/>
    </row>
    <row r="11" spans="1:9" ht="15.75">
      <c r="A11" s="91" t="str">
        <f>CONCATENATE("The input for the following comes directly from the ",C4-1," Budget:")</f>
        <v>The input for the following comes directly from the 2013 Budget:</v>
      </c>
      <c r="B11" s="92"/>
      <c r="C11" s="92"/>
      <c r="D11" s="92"/>
      <c r="E11" s="82"/>
      <c r="F11" s="82"/>
      <c r="G11" s="82"/>
      <c r="H11" s="752"/>
      <c r="I11" s="752"/>
    </row>
    <row r="12" spans="1:9" ht="15.75">
      <c r="A12" s="93" t="s">
        <v>370</v>
      </c>
      <c r="B12" s="92"/>
      <c r="C12" s="92"/>
      <c r="D12" s="92"/>
      <c r="E12" s="82"/>
      <c r="F12" s="82"/>
      <c r="G12" s="82"/>
      <c r="H12" s="85"/>
      <c r="I12" s="629"/>
    </row>
    <row r="13" spans="1:9" ht="15.75">
      <c r="A13" s="93" t="s">
        <v>395</v>
      </c>
      <c r="B13" s="92"/>
      <c r="C13" s="92"/>
      <c r="D13" s="92"/>
      <c r="E13" s="82"/>
      <c r="F13" s="82"/>
      <c r="G13" s="82"/>
      <c r="H13" s="82"/>
      <c r="I13" s="82"/>
    </row>
    <row r="14" spans="1:9" ht="15.75">
      <c r="A14" s="82"/>
      <c r="B14" s="82"/>
      <c r="C14" s="94"/>
      <c r="D14" s="95">
        <f>C4-1</f>
        <v>2013</v>
      </c>
      <c r="E14" s="96" t="str">
        <f>CONCATENATE("",C4-2,"")</f>
        <v>2012</v>
      </c>
      <c r="F14" s="97">
        <f>C4-2</f>
        <v>2012</v>
      </c>
      <c r="H14" s="254" t="s">
        <v>166</v>
      </c>
      <c r="I14" s="249" t="s">
        <v>924</v>
      </c>
    </row>
    <row r="15" spans="1:9" ht="15.75">
      <c r="A15" s="81" t="s">
        <v>371</v>
      </c>
      <c r="B15" s="82"/>
      <c r="C15" s="98" t="s">
        <v>281</v>
      </c>
      <c r="D15" s="99" t="s">
        <v>394</v>
      </c>
      <c r="E15" s="99" t="s">
        <v>891</v>
      </c>
      <c r="F15" s="99" t="s">
        <v>866</v>
      </c>
      <c r="H15" s="260" t="str">
        <f>CONCATENATE("",E14," Ad Valorem Tax")</f>
        <v>2012 Ad Valorem Tax</v>
      </c>
      <c r="I15" s="630">
        <v>0</v>
      </c>
    </row>
    <row r="16" spans="1:8" ht="15.75">
      <c r="A16" s="82"/>
      <c r="B16" s="100" t="s">
        <v>282</v>
      </c>
      <c r="C16" s="250" t="s">
        <v>1032</v>
      </c>
      <c r="D16" s="102">
        <v>2456879</v>
      </c>
      <c r="E16" s="103">
        <v>1161864</v>
      </c>
      <c r="F16" s="104">
        <v>16.768</v>
      </c>
      <c r="H16" s="262">
        <f>IF($I$15&gt;0,ROUND(E16-(E16*$I$15),0),0)</f>
        <v>0</v>
      </c>
    </row>
    <row r="17" spans="1:8" ht="15.75">
      <c r="A17" s="82"/>
      <c r="B17" s="100" t="s">
        <v>325</v>
      </c>
      <c r="C17" s="250" t="s">
        <v>372</v>
      </c>
      <c r="D17" s="102">
        <v>20227</v>
      </c>
      <c r="E17" s="103"/>
      <c r="F17" s="104"/>
      <c r="H17" s="262">
        <f aca="true" t="shared" si="0" ref="H17:H40">IF($I$15&gt;0,ROUND(E17-(E17*$I$15),0),0)</f>
        <v>0</v>
      </c>
    </row>
    <row r="18" spans="1:8" ht="15.75">
      <c r="A18" s="81"/>
      <c r="B18" s="105" t="s">
        <v>936</v>
      </c>
      <c r="C18" s="249" t="s">
        <v>1032</v>
      </c>
      <c r="D18" s="102">
        <v>2029000</v>
      </c>
      <c r="E18" s="102">
        <v>1691765</v>
      </c>
      <c r="F18" s="106">
        <v>24.416</v>
      </c>
      <c r="H18" s="262">
        <f t="shared" si="0"/>
        <v>0</v>
      </c>
    </row>
    <row r="19" spans="1:8" ht="15.75">
      <c r="A19" s="82"/>
      <c r="B19" s="107" t="s">
        <v>326</v>
      </c>
      <c r="C19" s="456" t="s">
        <v>330</v>
      </c>
      <c r="D19" s="102">
        <v>230031</v>
      </c>
      <c r="E19" s="109">
        <v>99725</v>
      </c>
      <c r="F19" s="104">
        <v>1.439</v>
      </c>
      <c r="H19" s="262">
        <f t="shared" si="0"/>
        <v>0</v>
      </c>
    </row>
    <row r="20" spans="1:8" ht="15.75">
      <c r="A20" s="82"/>
      <c r="B20" s="107" t="s">
        <v>327</v>
      </c>
      <c r="C20" s="456" t="s">
        <v>331</v>
      </c>
      <c r="D20" s="102">
        <v>643357</v>
      </c>
      <c r="E20" s="109">
        <v>201126</v>
      </c>
      <c r="F20" s="104">
        <v>2.903</v>
      </c>
      <c r="H20" s="262">
        <f t="shared" si="0"/>
        <v>0</v>
      </c>
    </row>
    <row r="21" spans="1:8" ht="15.75">
      <c r="A21" s="82"/>
      <c r="B21" s="107" t="s">
        <v>934</v>
      </c>
      <c r="C21" s="456" t="s">
        <v>332</v>
      </c>
      <c r="D21" s="102">
        <v>848000</v>
      </c>
      <c r="E21" s="109">
        <v>727649</v>
      </c>
      <c r="F21" s="104">
        <v>10.502</v>
      </c>
      <c r="H21" s="262">
        <f t="shared" si="0"/>
        <v>0</v>
      </c>
    </row>
    <row r="22" spans="1:8" ht="15.75">
      <c r="A22" s="82"/>
      <c r="B22" s="107" t="s">
        <v>328</v>
      </c>
      <c r="C22" s="456" t="s">
        <v>333</v>
      </c>
      <c r="D22" s="102">
        <v>8163</v>
      </c>
      <c r="E22" s="109"/>
      <c r="F22" s="104"/>
      <c r="H22" s="262">
        <f t="shared" si="0"/>
        <v>0</v>
      </c>
    </row>
    <row r="23" spans="1:8" ht="15.75">
      <c r="A23" s="82"/>
      <c r="B23" s="107" t="s">
        <v>304</v>
      </c>
      <c r="C23" s="456" t="s">
        <v>334</v>
      </c>
      <c r="D23" s="102">
        <v>27000</v>
      </c>
      <c r="E23" s="109">
        <v>25477</v>
      </c>
      <c r="F23" s="104">
        <v>0.368</v>
      </c>
      <c r="H23" s="262">
        <f t="shared" si="0"/>
        <v>0</v>
      </c>
    </row>
    <row r="24" spans="1:8" ht="15.75">
      <c r="A24" s="82"/>
      <c r="B24" s="107" t="s">
        <v>329</v>
      </c>
      <c r="C24" s="456" t="s">
        <v>334</v>
      </c>
      <c r="D24" s="102">
        <v>54000</v>
      </c>
      <c r="E24" s="109">
        <v>51133</v>
      </c>
      <c r="F24" s="104">
        <v>0.738</v>
      </c>
      <c r="H24" s="262">
        <f t="shared" si="0"/>
        <v>0</v>
      </c>
    </row>
    <row r="25" spans="1:8" ht="15.75">
      <c r="A25" s="82"/>
      <c r="B25" s="107"/>
      <c r="C25" s="456"/>
      <c r="D25" s="102"/>
      <c r="E25" s="109"/>
      <c r="F25" s="104"/>
      <c r="H25" s="262">
        <f t="shared" si="0"/>
        <v>0</v>
      </c>
    </row>
    <row r="26" spans="1:8" ht="15.75">
      <c r="A26" s="82"/>
      <c r="B26" s="107"/>
      <c r="C26" s="456"/>
      <c r="D26" s="102"/>
      <c r="E26" s="109"/>
      <c r="F26" s="104"/>
      <c r="H26" s="262">
        <f t="shared" si="0"/>
        <v>0</v>
      </c>
    </row>
    <row r="27" spans="1:8" ht="15.75">
      <c r="A27" s="82"/>
      <c r="B27" s="107"/>
      <c r="C27" s="456"/>
      <c r="D27" s="102"/>
      <c r="E27" s="109"/>
      <c r="F27" s="104"/>
      <c r="H27" s="262">
        <f t="shared" si="0"/>
        <v>0</v>
      </c>
    </row>
    <row r="28" spans="1:8" ht="15.75">
      <c r="A28" s="82"/>
      <c r="B28" s="107"/>
      <c r="C28" s="456"/>
      <c r="D28" s="102"/>
      <c r="E28" s="109"/>
      <c r="F28" s="104"/>
      <c r="H28" s="262">
        <f t="shared" si="0"/>
        <v>0</v>
      </c>
    </row>
    <row r="29" spans="1:8" ht="15.75">
      <c r="A29" s="82"/>
      <c r="B29" s="107"/>
      <c r="C29" s="456"/>
      <c r="D29" s="102"/>
      <c r="E29" s="109"/>
      <c r="F29" s="104"/>
      <c r="H29" s="262">
        <f t="shared" si="0"/>
        <v>0</v>
      </c>
    </row>
    <row r="30" spans="1:8" ht="15.75">
      <c r="A30" s="82"/>
      <c r="B30" s="107"/>
      <c r="C30" s="456"/>
      <c r="D30" s="102"/>
      <c r="E30" s="109"/>
      <c r="F30" s="104"/>
      <c r="H30" s="262">
        <f t="shared" si="0"/>
        <v>0</v>
      </c>
    </row>
    <row r="31" spans="1:8" ht="15.75">
      <c r="A31" s="82"/>
      <c r="B31" s="107"/>
      <c r="C31" s="456"/>
      <c r="D31" s="102"/>
      <c r="E31" s="109"/>
      <c r="F31" s="104"/>
      <c r="H31" s="262">
        <f t="shared" si="0"/>
        <v>0</v>
      </c>
    </row>
    <row r="32" spans="1:8" ht="15.75">
      <c r="A32" s="82"/>
      <c r="B32" s="107"/>
      <c r="C32" s="456"/>
      <c r="D32" s="102"/>
      <c r="E32" s="109"/>
      <c r="F32" s="104"/>
      <c r="H32" s="262">
        <f t="shared" si="0"/>
        <v>0</v>
      </c>
    </row>
    <row r="33" spans="1:8" ht="15.75">
      <c r="A33" s="82"/>
      <c r="B33" s="107"/>
      <c r="C33" s="456"/>
      <c r="D33" s="102"/>
      <c r="E33" s="109"/>
      <c r="F33" s="104"/>
      <c r="H33" s="262">
        <f t="shared" si="0"/>
        <v>0</v>
      </c>
    </row>
    <row r="34" spans="1:8" ht="15.75">
      <c r="A34" s="82"/>
      <c r="B34" s="107"/>
      <c r="C34" s="456"/>
      <c r="D34" s="102"/>
      <c r="E34" s="109"/>
      <c r="F34" s="104"/>
      <c r="H34" s="262">
        <f t="shared" si="0"/>
        <v>0</v>
      </c>
    </row>
    <row r="35" spans="1:8" ht="15.75">
      <c r="A35" s="82"/>
      <c r="B35" s="107"/>
      <c r="C35" s="456"/>
      <c r="D35" s="102"/>
      <c r="E35" s="109"/>
      <c r="F35" s="104"/>
      <c r="H35" s="262">
        <f t="shared" si="0"/>
        <v>0</v>
      </c>
    </row>
    <row r="36" spans="1:8" ht="15.75">
      <c r="A36" s="82"/>
      <c r="B36" s="107"/>
      <c r="C36" s="456"/>
      <c r="D36" s="102"/>
      <c r="E36" s="109"/>
      <c r="F36" s="104"/>
      <c r="H36" s="262">
        <f t="shared" si="0"/>
        <v>0</v>
      </c>
    </row>
    <row r="37" spans="1:8" ht="15.75">
      <c r="A37" s="82"/>
      <c r="B37" s="107"/>
      <c r="C37" s="456"/>
      <c r="D37" s="102"/>
      <c r="E37" s="109"/>
      <c r="F37" s="104"/>
      <c r="H37" s="262">
        <f t="shared" si="0"/>
        <v>0</v>
      </c>
    </row>
    <row r="38" spans="1:8" ht="15.75">
      <c r="A38" s="82"/>
      <c r="B38" s="107"/>
      <c r="C38" s="456"/>
      <c r="D38" s="102"/>
      <c r="E38" s="109"/>
      <c r="F38" s="104"/>
      <c r="H38" s="262">
        <f t="shared" si="0"/>
        <v>0</v>
      </c>
    </row>
    <row r="39" spans="1:8" ht="15.75">
      <c r="A39" s="82"/>
      <c r="B39" s="107"/>
      <c r="C39" s="456"/>
      <c r="D39" s="102"/>
      <c r="E39" s="109"/>
      <c r="F39" s="104"/>
      <c r="H39" s="262">
        <f t="shared" si="0"/>
        <v>0</v>
      </c>
    </row>
    <row r="40" spans="1:8" ht="15.75">
      <c r="A40" s="82"/>
      <c r="B40" s="107"/>
      <c r="C40" s="456"/>
      <c r="D40" s="102"/>
      <c r="E40" s="109"/>
      <c r="F40" s="104"/>
      <c r="H40" s="262">
        <f t="shared" si="0"/>
        <v>0</v>
      </c>
    </row>
    <row r="41" spans="1:6" ht="15.75">
      <c r="A41" s="110" t="str">
        <f>CONCATENATE("Total Tax Levy Funds Levy Amounts and Levy Rates for ",C4-1," Budget")</f>
        <v>Total Tax Levy Funds Levy Amounts and Levy Rates for 2013 Budget</v>
      </c>
      <c r="B41" s="111"/>
      <c r="C41" s="111"/>
      <c r="D41" s="112"/>
      <c r="E41" s="113">
        <f>SUM(E16:E40)</f>
        <v>3958739</v>
      </c>
      <c r="F41" s="114">
        <f>SUM(F16:F40)</f>
        <v>57.134</v>
      </c>
    </row>
    <row r="42" spans="1:6" ht="15.75">
      <c r="A42" s="81" t="s">
        <v>205</v>
      </c>
      <c r="B42" s="82"/>
      <c r="C42" s="82"/>
      <c r="D42" s="82"/>
      <c r="E42" s="82"/>
      <c r="F42" s="82"/>
    </row>
    <row r="43" spans="1:6" ht="15.75">
      <c r="A43" s="82"/>
      <c r="B43" s="104" t="s">
        <v>335</v>
      </c>
      <c r="C43" s="82"/>
      <c r="D43" s="102">
        <v>59203</v>
      </c>
      <c r="E43" s="82"/>
      <c r="F43" s="82"/>
    </row>
    <row r="44" spans="1:6" ht="15.75">
      <c r="A44" s="82"/>
      <c r="B44" s="104" t="s">
        <v>938</v>
      </c>
      <c r="C44" s="82"/>
      <c r="D44" s="102">
        <v>286277</v>
      </c>
      <c r="E44" s="82"/>
      <c r="F44" s="82"/>
    </row>
    <row r="45" spans="1:6" ht="15.75">
      <c r="A45" s="82"/>
      <c r="B45" s="104" t="s">
        <v>336</v>
      </c>
      <c r="C45" s="82"/>
      <c r="D45" s="102">
        <v>15684</v>
      </c>
      <c r="E45" s="82"/>
      <c r="F45" s="82"/>
    </row>
    <row r="46" spans="1:6" ht="15.75">
      <c r="A46" s="82"/>
      <c r="B46" s="104" t="s">
        <v>337</v>
      </c>
      <c r="C46" s="82"/>
      <c r="D46" s="102">
        <v>90688</v>
      </c>
      <c r="E46" s="82"/>
      <c r="F46" s="82"/>
    </row>
    <row r="47" spans="1:6" ht="15.75">
      <c r="A47" s="82"/>
      <c r="B47" s="104" t="s">
        <v>338</v>
      </c>
      <c r="C47" s="82"/>
      <c r="D47" s="102">
        <v>22385</v>
      </c>
      <c r="E47" s="82"/>
      <c r="F47" s="82"/>
    </row>
    <row r="48" spans="1:6" ht="15.75">
      <c r="A48" s="82"/>
      <c r="B48" s="104"/>
      <c r="C48" s="82"/>
      <c r="D48" s="102"/>
      <c r="E48" s="82"/>
      <c r="F48" s="82"/>
    </row>
    <row r="49" spans="1:6" ht="15.75">
      <c r="A49" s="82"/>
      <c r="B49" s="104"/>
      <c r="C49" s="82"/>
      <c r="D49" s="102"/>
      <c r="E49" s="82"/>
      <c r="F49" s="82"/>
    </row>
    <row r="50" spans="1:6" ht="15.75">
      <c r="A50" s="82"/>
      <c r="B50" s="104"/>
      <c r="C50" s="82"/>
      <c r="D50" s="102"/>
      <c r="E50" s="82"/>
      <c r="F50" s="82"/>
    </row>
    <row r="51" spans="1:6" ht="15.75">
      <c r="A51" s="82"/>
      <c r="B51" s="104"/>
      <c r="C51" s="82"/>
      <c r="D51" s="102"/>
      <c r="E51" s="82"/>
      <c r="F51" s="82"/>
    </row>
    <row r="52" spans="1:6" ht="15.75">
      <c r="A52" s="82"/>
      <c r="B52" s="104"/>
      <c r="C52" s="82"/>
      <c r="D52" s="102"/>
      <c r="E52" s="82"/>
      <c r="F52" s="82"/>
    </row>
    <row r="53" spans="1:6" ht="15.75">
      <c r="A53" s="82"/>
      <c r="B53" s="104"/>
      <c r="C53" s="82"/>
      <c r="D53" s="102"/>
      <c r="E53" s="82"/>
      <c r="F53" s="82"/>
    </row>
    <row r="54" spans="1:6" ht="15.75">
      <c r="A54" s="82"/>
      <c r="B54" s="104"/>
      <c r="C54" s="82"/>
      <c r="D54" s="102"/>
      <c r="E54" s="82"/>
      <c r="F54" s="82"/>
    </row>
    <row r="55" spans="1:6" ht="15.75">
      <c r="A55" s="82"/>
      <c r="B55" s="104"/>
      <c r="C55" s="82"/>
      <c r="D55" s="102"/>
      <c r="E55" s="82"/>
      <c r="F55" s="82"/>
    </row>
    <row r="56" spans="1:6" ht="15.75">
      <c r="A56" s="82"/>
      <c r="B56" s="104"/>
      <c r="C56" s="82"/>
      <c r="D56" s="102"/>
      <c r="E56" s="82"/>
      <c r="F56" s="82"/>
    </row>
    <row r="57" spans="1:6" ht="15.75">
      <c r="A57" s="82"/>
      <c r="B57" s="104"/>
      <c r="C57" s="82"/>
      <c r="D57" s="102"/>
      <c r="E57" s="82"/>
      <c r="F57" s="82"/>
    </row>
    <row r="58" spans="1:6" ht="15.75">
      <c r="A58" s="82"/>
      <c r="B58" s="104"/>
      <c r="C58" s="82"/>
      <c r="D58" s="102"/>
      <c r="E58" s="82"/>
      <c r="F58" s="82"/>
    </row>
    <row r="59" spans="1:6" ht="15.75">
      <c r="A59" s="110" t="str">
        <f>CONCATENATE("Total Expenditures for ",C4-1," Budgeted Year")</f>
        <v>Total Expenditures for 2013 Budgeted Year</v>
      </c>
      <c r="B59" s="115"/>
      <c r="C59" s="116"/>
      <c r="D59" s="117">
        <f>SUM(D16:D40,D43:D58)</f>
        <v>6790894</v>
      </c>
      <c r="E59" s="82"/>
      <c r="F59" s="82"/>
    </row>
    <row r="60" spans="1:6" ht="15.75">
      <c r="A60" s="118"/>
      <c r="B60" s="119"/>
      <c r="C60" s="82"/>
      <c r="D60" s="120"/>
      <c r="E60" s="82"/>
      <c r="F60" s="82"/>
    </row>
    <row r="61" spans="1:6" ht="15.75">
      <c r="A61" s="82" t="s">
        <v>191</v>
      </c>
      <c r="B61" s="119"/>
      <c r="C61" s="82"/>
      <c r="D61" s="82"/>
      <c r="E61" s="82"/>
      <c r="F61" s="82"/>
    </row>
    <row r="62" spans="1:6" ht="15.75">
      <c r="A62" s="82">
        <v>1</v>
      </c>
      <c r="B62" s="104" t="s">
        <v>339</v>
      </c>
      <c r="C62" s="82"/>
      <c r="D62" s="82"/>
      <c r="E62" s="82"/>
      <c r="F62" s="82"/>
    </row>
    <row r="63" spans="1:6" ht="15.75">
      <c r="A63" s="82">
        <v>2</v>
      </c>
      <c r="B63" s="104" t="s">
        <v>340</v>
      </c>
      <c r="C63" s="82"/>
      <c r="D63" s="82"/>
      <c r="E63" s="82"/>
      <c r="F63" s="82"/>
    </row>
    <row r="64" spans="1:6" ht="15.75">
      <c r="A64" s="82">
        <v>3</v>
      </c>
      <c r="B64" s="104" t="s">
        <v>341</v>
      </c>
      <c r="C64" s="82"/>
      <c r="D64" s="82"/>
      <c r="E64" s="82"/>
      <c r="F64" s="82"/>
    </row>
    <row r="65" spans="1:6" ht="15.75">
      <c r="A65" s="82">
        <v>4</v>
      </c>
      <c r="B65" s="104" t="s">
        <v>342</v>
      </c>
      <c r="C65" s="82"/>
      <c r="D65" s="82"/>
      <c r="E65" s="82"/>
      <c r="F65" s="82"/>
    </row>
    <row r="66" spans="1:6" ht="15.75">
      <c r="A66" s="82">
        <v>5</v>
      </c>
      <c r="B66" s="104" t="s">
        <v>343</v>
      </c>
      <c r="C66" s="82"/>
      <c r="D66" s="82"/>
      <c r="E66" s="82"/>
      <c r="F66" s="82"/>
    </row>
    <row r="67" spans="1:6" ht="15.75">
      <c r="A67" s="82" t="s">
        <v>200</v>
      </c>
      <c r="B67" s="119"/>
      <c r="C67" s="82"/>
      <c r="D67" s="82"/>
      <c r="E67" s="82"/>
      <c r="F67" s="82"/>
    </row>
    <row r="68" spans="1:6" ht="15.75">
      <c r="A68" s="82">
        <v>1</v>
      </c>
      <c r="B68" s="104" t="s">
        <v>344</v>
      </c>
      <c r="C68" s="82"/>
      <c r="D68" s="82"/>
      <c r="E68" s="82"/>
      <c r="F68" s="82"/>
    </row>
    <row r="69" spans="1:6" ht="15.75">
      <c r="A69" s="82">
        <v>2</v>
      </c>
      <c r="B69" s="104" t="s">
        <v>345</v>
      </c>
      <c r="C69" s="82"/>
      <c r="D69" s="82"/>
      <c r="E69" s="82"/>
      <c r="F69" s="82"/>
    </row>
    <row r="70" spans="1:6" ht="15.75">
      <c r="A70" s="82">
        <v>3</v>
      </c>
      <c r="B70" s="104" t="s">
        <v>346</v>
      </c>
      <c r="C70" s="82"/>
      <c r="D70" s="82"/>
      <c r="E70" s="82"/>
      <c r="F70" s="82"/>
    </row>
    <row r="71" spans="1:6" ht="15.75">
      <c r="A71" s="82">
        <v>4</v>
      </c>
      <c r="B71" s="104" t="s">
        <v>347</v>
      </c>
      <c r="C71" s="82"/>
      <c r="D71" s="82"/>
      <c r="E71" s="82"/>
      <c r="F71" s="82"/>
    </row>
    <row r="72" spans="1:6" ht="15.75">
      <c r="A72" s="82">
        <v>5</v>
      </c>
      <c r="B72" s="104" t="s">
        <v>348</v>
      </c>
      <c r="C72" s="82"/>
      <c r="D72" s="82"/>
      <c r="E72" s="82"/>
      <c r="F72" s="82"/>
    </row>
    <row r="73" spans="1:6" ht="15.75">
      <c r="A73" s="82" t="s">
        <v>202</v>
      </c>
      <c r="B73" s="119"/>
      <c r="C73" s="82"/>
      <c r="D73" s="82"/>
      <c r="E73" s="82"/>
      <c r="F73" s="82"/>
    </row>
    <row r="74" spans="1:6" ht="15.75">
      <c r="A74" s="82">
        <v>1</v>
      </c>
      <c r="B74" s="104" t="s">
        <v>349</v>
      </c>
      <c r="C74" s="82"/>
      <c r="D74" s="82"/>
      <c r="E74" s="82"/>
      <c r="F74" s="82"/>
    </row>
    <row r="75" spans="1:6" ht="15.75">
      <c r="A75" s="82">
        <v>2</v>
      </c>
      <c r="B75" s="104" t="s">
        <v>483</v>
      </c>
      <c r="C75" s="82"/>
      <c r="D75" s="82"/>
      <c r="E75" s="82"/>
      <c r="F75" s="82"/>
    </row>
    <row r="76" spans="1:6" ht="15.75">
      <c r="A76" s="82">
        <v>3</v>
      </c>
      <c r="B76" s="104" t="s">
        <v>484</v>
      </c>
      <c r="C76" s="82"/>
      <c r="D76" s="82"/>
      <c r="E76" s="82"/>
      <c r="F76" s="82"/>
    </row>
    <row r="77" spans="1:6" ht="15.75">
      <c r="A77" s="82">
        <v>4</v>
      </c>
      <c r="B77" s="104" t="s">
        <v>485</v>
      </c>
      <c r="C77" s="82"/>
      <c r="D77" s="82"/>
      <c r="E77" s="82"/>
      <c r="F77" s="82"/>
    </row>
    <row r="78" spans="1:6" ht="15.75">
      <c r="A78" s="82">
        <v>5</v>
      </c>
      <c r="B78" s="104" t="s">
        <v>600</v>
      </c>
      <c r="C78" s="82"/>
      <c r="D78" s="82"/>
      <c r="E78" s="82"/>
      <c r="F78" s="82"/>
    </row>
    <row r="79" spans="1:6" ht="15.75">
      <c r="A79" s="82" t="s">
        <v>204</v>
      </c>
      <c r="B79" s="119"/>
      <c r="C79" s="82"/>
      <c r="D79" s="82"/>
      <c r="E79" s="82"/>
      <c r="F79" s="82"/>
    </row>
    <row r="80" spans="1:6" ht="15.75">
      <c r="A80" s="82">
        <v>1</v>
      </c>
      <c r="B80" s="104" t="s">
        <v>610</v>
      </c>
      <c r="C80" s="82"/>
      <c r="D80" s="82"/>
      <c r="E80" s="82"/>
      <c r="F80" s="82"/>
    </row>
    <row r="81" spans="1:6" ht="15.75">
      <c r="A81" s="82">
        <v>2</v>
      </c>
      <c r="B81" s="104" t="s">
        <v>597</v>
      </c>
      <c r="C81" s="82"/>
      <c r="D81" s="82"/>
      <c r="E81" s="82"/>
      <c r="F81" s="82"/>
    </row>
    <row r="82" spans="1:6" ht="15.75">
      <c r="A82" s="82">
        <v>3</v>
      </c>
      <c r="B82" s="104" t="s">
        <v>613</v>
      </c>
      <c r="C82" s="82"/>
      <c r="D82" s="82"/>
      <c r="E82" s="82"/>
      <c r="F82" s="82"/>
    </row>
    <row r="83" spans="1:6" ht="15.75">
      <c r="A83" s="82">
        <v>4</v>
      </c>
      <c r="B83" s="104"/>
      <c r="C83" s="82"/>
      <c r="D83" s="82"/>
      <c r="E83" s="82"/>
      <c r="F83" s="82"/>
    </row>
    <row r="84" spans="1:6" ht="15.75">
      <c r="A84" s="82">
        <v>5</v>
      </c>
      <c r="B84" s="104"/>
      <c r="C84" s="82"/>
      <c r="D84" s="82"/>
      <c r="E84" s="82"/>
      <c r="F84" s="82"/>
    </row>
    <row r="85" spans="1:6" ht="15.75">
      <c r="A85" s="110" t="str">
        <f>CONCATENATE("County's Final Assessed Valuation for ",C4-1," (November 1,",C4-2," Abstract):")</f>
        <v>County's Final Assessed Valuation for 2013 (November 1,2012 Abstract):</v>
      </c>
      <c r="B85" s="111"/>
      <c r="C85" s="111"/>
      <c r="D85" s="111"/>
      <c r="E85" s="116"/>
      <c r="F85" s="109">
        <v>69290699</v>
      </c>
    </row>
    <row r="86" spans="1:6" ht="15.75">
      <c r="A86" s="81"/>
      <c r="B86" s="82"/>
      <c r="C86" s="82"/>
      <c r="D86" s="82"/>
      <c r="E86" s="82"/>
      <c r="F86" s="82"/>
    </row>
    <row r="87" spans="1:6" ht="15.75">
      <c r="A87" s="82"/>
      <c r="B87" s="82"/>
      <c r="C87" s="82"/>
      <c r="D87" s="82"/>
      <c r="E87" s="82"/>
      <c r="F87" s="82"/>
    </row>
    <row r="88" spans="1:6" ht="15.75">
      <c r="A88" s="121" t="str">
        <f>CONCATENATE("From the ",C4-1," Budget:")</f>
        <v>From the 2013 Budget:</v>
      </c>
      <c r="B88" s="92"/>
      <c r="C88" s="82"/>
      <c r="D88" s="746" t="str">
        <f>CONCATENATE("",C4-3," Tax Rate (",C4-2," Column)")</f>
        <v>2011 Tax Rate (2012 Column)</v>
      </c>
      <c r="E88" s="122"/>
      <c r="F88" s="82"/>
    </row>
    <row r="89" spans="1:6" ht="15.75">
      <c r="A89" s="121" t="s">
        <v>273</v>
      </c>
      <c r="B89" s="123"/>
      <c r="C89" s="82"/>
      <c r="D89" s="747"/>
      <c r="E89" s="122"/>
      <c r="F89" s="82"/>
    </row>
    <row r="90" spans="1:6" ht="15.75">
      <c r="A90" s="82"/>
      <c r="B90" s="124" t="str">
        <f>B16</f>
        <v>General</v>
      </c>
      <c r="C90" s="82"/>
      <c r="D90" s="104">
        <v>12.35</v>
      </c>
      <c r="E90" s="122"/>
      <c r="F90" s="82"/>
    </row>
    <row r="91" spans="1:6" ht="15.75">
      <c r="A91" s="82"/>
      <c r="B91" s="124" t="str">
        <f>B17</f>
        <v>Bond &amp; Interest</v>
      </c>
      <c r="C91" s="82"/>
      <c r="D91" s="104"/>
      <c r="E91" s="122"/>
      <c r="F91" s="82"/>
    </row>
    <row r="92" spans="1:6" ht="15.75">
      <c r="A92" s="82"/>
      <c r="B92" s="124" t="str">
        <f>B18</f>
        <v>Road &amp; Bridge</v>
      </c>
      <c r="C92" s="82"/>
      <c r="D92" s="104">
        <v>24.328</v>
      </c>
      <c r="E92" s="122"/>
      <c r="F92" s="82"/>
    </row>
    <row r="93" spans="1:6" ht="15.75">
      <c r="A93" s="82"/>
      <c r="B93" s="124" t="str">
        <f aca="true" t="shared" si="1" ref="B93:B114">B19</f>
        <v>Noxious Weed</v>
      </c>
      <c r="C93" s="82"/>
      <c r="D93" s="104">
        <v>1.563</v>
      </c>
      <c r="E93" s="122"/>
      <c r="F93" s="82"/>
    </row>
    <row r="94" spans="1:6" ht="15.75">
      <c r="A94" s="82"/>
      <c r="B94" s="124" t="str">
        <f t="shared" si="1"/>
        <v>Hospital Maintenance</v>
      </c>
      <c r="C94" s="82"/>
      <c r="D94" s="104">
        <v>3.346</v>
      </c>
      <c r="E94" s="122"/>
      <c r="F94" s="82"/>
    </row>
    <row r="95" spans="1:6" ht="15.75">
      <c r="A95" s="82"/>
      <c r="B95" s="124" t="str">
        <f t="shared" si="1"/>
        <v>Employee Benefits</v>
      </c>
      <c r="C95" s="82"/>
      <c r="D95" s="104">
        <v>10.994</v>
      </c>
      <c r="E95" s="122"/>
      <c r="F95" s="82"/>
    </row>
    <row r="96" spans="1:6" ht="15.75">
      <c r="A96" s="82"/>
      <c r="B96" s="124" t="str">
        <f t="shared" si="1"/>
        <v>Ag Extension</v>
      </c>
      <c r="C96" s="82"/>
      <c r="D96" s="104"/>
      <c r="E96" s="122"/>
      <c r="F96" s="82"/>
    </row>
    <row r="97" spans="1:6" ht="15.75">
      <c r="A97" s="82"/>
      <c r="B97" s="124" t="str">
        <f t="shared" si="1"/>
        <v>Mental Health</v>
      </c>
      <c r="C97" s="82"/>
      <c r="D97" s="104">
        <v>0.423</v>
      </c>
      <c r="E97" s="122"/>
      <c r="F97" s="82"/>
    </row>
    <row r="98" spans="1:6" ht="15.75">
      <c r="A98" s="82"/>
      <c r="B98" s="124" t="str">
        <f t="shared" si="1"/>
        <v>Developmental Service</v>
      </c>
      <c r="C98" s="82"/>
      <c r="D98" s="104">
        <v>0.849</v>
      </c>
      <c r="E98" s="122"/>
      <c r="F98" s="82"/>
    </row>
    <row r="99" spans="1:6" ht="15.75">
      <c r="A99" s="82"/>
      <c r="B99" s="124">
        <f t="shared" si="1"/>
        <v>0</v>
      </c>
      <c r="C99" s="82"/>
      <c r="D99" s="104"/>
      <c r="E99" s="122"/>
      <c r="F99" s="82"/>
    </row>
    <row r="100" spans="1:6" ht="15.75">
      <c r="A100" s="82"/>
      <c r="B100" s="124">
        <f t="shared" si="1"/>
        <v>0</v>
      </c>
      <c r="C100" s="82"/>
      <c r="D100" s="104"/>
      <c r="E100" s="122"/>
      <c r="F100" s="82"/>
    </row>
    <row r="101" spans="1:6" ht="15.75">
      <c r="A101" s="82"/>
      <c r="B101" s="124">
        <f t="shared" si="1"/>
        <v>0</v>
      </c>
      <c r="C101" s="82"/>
      <c r="D101" s="104"/>
      <c r="E101" s="122"/>
      <c r="F101" s="82"/>
    </row>
    <row r="102" spans="1:6" ht="15.75">
      <c r="A102" s="82"/>
      <c r="B102" s="124">
        <f t="shared" si="1"/>
        <v>0</v>
      </c>
      <c r="C102" s="82"/>
      <c r="D102" s="104"/>
      <c r="E102" s="122"/>
      <c r="F102" s="82"/>
    </row>
    <row r="103" spans="1:6" ht="15.75">
      <c r="A103" s="82"/>
      <c r="B103" s="124">
        <f t="shared" si="1"/>
        <v>0</v>
      </c>
      <c r="C103" s="82"/>
      <c r="D103" s="104"/>
      <c r="E103" s="122"/>
      <c r="F103" s="82"/>
    </row>
    <row r="104" spans="1:6" ht="15.75">
      <c r="A104" s="82"/>
      <c r="B104" s="124">
        <f t="shared" si="1"/>
        <v>0</v>
      </c>
      <c r="C104" s="82"/>
      <c r="D104" s="104"/>
      <c r="E104" s="122"/>
      <c r="F104" s="82"/>
    </row>
    <row r="105" spans="1:6" ht="15.75">
      <c r="A105" s="82"/>
      <c r="B105" s="124">
        <f t="shared" si="1"/>
        <v>0</v>
      </c>
      <c r="C105" s="82"/>
      <c r="D105" s="104"/>
      <c r="E105" s="122"/>
      <c r="F105" s="82"/>
    </row>
    <row r="106" spans="1:6" ht="15.75">
      <c r="A106" s="82"/>
      <c r="B106" s="124">
        <f t="shared" si="1"/>
        <v>0</v>
      </c>
      <c r="C106" s="82"/>
      <c r="D106" s="104"/>
      <c r="E106" s="122"/>
      <c r="F106" s="82"/>
    </row>
    <row r="107" spans="1:6" ht="15.75">
      <c r="A107" s="82"/>
      <c r="B107" s="124">
        <f t="shared" si="1"/>
        <v>0</v>
      </c>
      <c r="C107" s="82"/>
      <c r="D107" s="104"/>
      <c r="E107" s="122"/>
      <c r="F107" s="82"/>
    </row>
    <row r="108" spans="1:6" ht="15.75">
      <c r="A108" s="82"/>
      <c r="B108" s="124">
        <f t="shared" si="1"/>
        <v>0</v>
      </c>
      <c r="C108" s="82"/>
      <c r="D108" s="104"/>
      <c r="E108" s="122"/>
      <c r="F108" s="82"/>
    </row>
    <row r="109" spans="1:6" ht="15.75">
      <c r="A109" s="82"/>
      <c r="B109" s="124">
        <f t="shared" si="1"/>
        <v>0</v>
      </c>
      <c r="C109" s="82"/>
      <c r="D109" s="104"/>
      <c r="E109" s="122"/>
      <c r="F109" s="82"/>
    </row>
    <row r="110" spans="1:6" ht="15.75">
      <c r="A110" s="82"/>
      <c r="B110" s="124">
        <f t="shared" si="1"/>
        <v>0</v>
      </c>
      <c r="C110" s="82"/>
      <c r="D110" s="104"/>
      <c r="E110" s="122"/>
      <c r="F110" s="82"/>
    </row>
    <row r="111" spans="1:6" ht="15.75">
      <c r="A111" s="82"/>
      <c r="B111" s="124">
        <f t="shared" si="1"/>
        <v>0</v>
      </c>
      <c r="C111" s="82"/>
      <c r="D111" s="104"/>
      <c r="E111" s="122"/>
      <c r="F111" s="82"/>
    </row>
    <row r="112" spans="1:6" ht="15.75">
      <c r="A112" s="82"/>
      <c r="B112" s="124">
        <f t="shared" si="1"/>
        <v>0</v>
      </c>
      <c r="C112" s="82"/>
      <c r="D112" s="104"/>
      <c r="E112" s="122"/>
      <c r="F112" s="82"/>
    </row>
    <row r="113" spans="1:6" ht="15.75">
      <c r="A113" s="82"/>
      <c r="B113" s="124">
        <f t="shared" si="1"/>
        <v>0</v>
      </c>
      <c r="C113" s="82"/>
      <c r="D113" s="104"/>
      <c r="E113" s="122"/>
      <c r="F113" s="82"/>
    </row>
    <row r="114" spans="1:6" ht="15.75">
      <c r="A114" s="82"/>
      <c r="B114" s="124">
        <f t="shared" si="1"/>
        <v>0</v>
      </c>
      <c r="C114" s="82"/>
      <c r="D114" s="104"/>
      <c r="E114" s="122"/>
      <c r="F114" s="82"/>
    </row>
    <row r="115" spans="1:6" ht="15.75">
      <c r="A115" s="111" t="s">
        <v>283</v>
      </c>
      <c r="B115" s="111"/>
      <c r="C115" s="116"/>
      <c r="D115" s="114">
        <f>SUM(D90:D114)</f>
        <v>53.853</v>
      </c>
      <c r="E115" s="122"/>
      <c r="F115" s="82"/>
    </row>
    <row r="116" spans="1:6" ht="15.75">
      <c r="A116" s="82"/>
      <c r="B116" s="82"/>
      <c r="C116" s="82"/>
      <c r="D116" s="82"/>
      <c r="E116" s="82"/>
      <c r="F116" s="82"/>
    </row>
    <row r="117" spans="1:6" ht="15.75">
      <c r="A117" s="125" t="str">
        <f>CONCATENATE("Total Tax Levied (",C4-2," budget column)")</f>
        <v>Total Tax Levied (2012 budget column)</v>
      </c>
      <c r="B117" s="126"/>
      <c r="C117" s="111"/>
      <c r="D117" s="111"/>
      <c r="E117" s="116"/>
      <c r="F117" s="109">
        <v>3272650</v>
      </c>
    </row>
    <row r="118" spans="1:6" ht="15.75">
      <c r="A118" s="127" t="str">
        <f>CONCATENATE("Assessed Valuation  (",C4-2," budget column)")</f>
        <v>Assessed Valuation  (2012 budget column)</v>
      </c>
      <c r="B118" s="128"/>
      <c r="C118" s="129"/>
      <c r="D118" s="129"/>
      <c r="E118" s="112"/>
      <c r="F118" s="109">
        <v>60770036</v>
      </c>
    </row>
    <row r="119" spans="1:6" ht="15.75">
      <c r="A119" s="118"/>
      <c r="B119" s="85"/>
      <c r="C119" s="85"/>
      <c r="D119" s="85"/>
      <c r="E119" s="85"/>
      <c r="F119" s="130"/>
    </row>
    <row r="120" spans="1:6" ht="15.75">
      <c r="A120" s="131" t="str">
        <f>CONCATENATE("From the ",C4-1," Budget, Budget Summary Page:")</f>
        <v>From the 2013 Budget, Budget Summary Page:</v>
      </c>
      <c r="B120" s="132"/>
      <c r="C120" s="122"/>
      <c r="D120" s="122"/>
      <c r="E120" s="122"/>
      <c r="F120" s="122"/>
    </row>
    <row r="121" spans="1:6" ht="15.75">
      <c r="A121" s="133" t="s">
        <v>177</v>
      </c>
      <c r="B121" s="133"/>
      <c r="C121" s="134"/>
      <c r="D121" s="135">
        <f>C4-3</f>
        <v>2011</v>
      </c>
      <c r="E121" s="136">
        <f>C4-2</f>
        <v>2012</v>
      </c>
      <c r="F121" s="122"/>
    </row>
    <row r="122" spans="1:6" ht="15.75">
      <c r="A122" s="137" t="s">
        <v>178</v>
      </c>
      <c r="B122" s="137"/>
      <c r="C122" s="138"/>
      <c r="D122" s="102">
        <v>255000</v>
      </c>
      <c r="E122" s="102">
        <v>0</v>
      </c>
      <c r="F122" s="122"/>
    </row>
    <row r="123" spans="1:6" s="140" customFormat="1" ht="15.75">
      <c r="A123" s="139" t="s">
        <v>179</v>
      </c>
      <c r="B123" s="139"/>
      <c r="C123" s="138"/>
      <c r="D123" s="102">
        <v>0</v>
      </c>
      <c r="E123" s="102">
        <v>0</v>
      </c>
      <c r="F123" s="134"/>
    </row>
    <row r="124" spans="1:6" s="140" customFormat="1" ht="15.75">
      <c r="A124" s="139" t="s">
        <v>180</v>
      </c>
      <c r="B124" s="139"/>
      <c r="C124" s="138"/>
      <c r="D124" s="102">
        <v>0</v>
      </c>
      <c r="E124" s="102">
        <v>0</v>
      </c>
      <c r="F124" s="134"/>
    </row>
    <row r="125" spans="1:6" s="140" customFormat="1" ht="15.75">
      <c r="A125" s="139" t="s">
        <v>181</v>
      </c>
      <c r="B125" s="139"/>
      <c r="C125" s="138"/>
      <c r="D125" s="102">
        <v>124328</v>
      </c>
      <c r="E125" s="102">
        <v>42783</v>
      </c>
      <c r="F125" s="134"/>
    </row>
    <row r="126" s="140" customFormat="1" ht="15.75"/>
  </sheetData>
  <sheetProtection/>
  <mergeCells count="4">
    <mergeCell ref="D88:D89"/>
    <mergeCell ref="A9:F9"/>
    <mergeCell ref="A1:F1"/>
    <mergeCell ref="H6:I11"/>
  </mergeCells>
  <printOptions/>
  <pageMargins left="0.5" right="0.5" top="1" bottom="0.5" header="0.5" footer="0.25"/>
  <pageSetup blackAndWhite="1" fitToHeight="3" fitToWidth="1" horizontalDpi="120" verticalDpi="120" orientation="portrait" scale="90" r:id="rId1"/>
</worksheet>
</file>

<file path=xl/worksheets/sheet20.xml><?xml version="1.0" encoding="utf-8"?>
<worksheet xmlns="http://schemas.openxmlformats.org/spreadsheetml/2006/main" xmlns:r="http://schemas.openxmlformats.org/officeDocument/2006/relationships">
  <dimension ref="B1:E58"/>
  <sheetViews>
    <sheetView zoomScalePageLayoutView="0" workbookViewId="0" topLeftCell="A1">
      <selection activeCell="E52" sqref="E52"/>
    </sheetView>
  </sheetViews>
  <sheetFormatPr defaultColWidth="8.796875" defaultRowHeight="15"/>
  <cols>
    <col min="1" max="1" width="2.3984375" style="70" customWidth="1"/>
    <col min="2" max="2" width="31.09765625" style="70" customWidth="1"/>
    <col min="3" max="4" width="15.796875" style="70" customWidth="1"/>
    <col min="5" max="5" width="16.09765625" style="70" customWidth="1"/>
    <col min="6" max="16384" width="8.8984375" style="70" customWidth="1"/>
  </cols>
  <sheetData>
    <row r="1" spans="2:5" ht="15.75">
      <c r="B1" s="224" t="str">
        <f>(inputPrYr!C2)</f>
        <v>Gove County</v>
      </c>
      <c r="C1" s="82"/>
      <c r="D1" s="82"/>
      <c r="E1" s="283">
        <f>inputPrYr!C4</f>
        <v>2014</v>
      </c>
    </row>
    <row r="2" spans="2:5" ht="15.75">
      <c r="B2" s="82"/>
      <c r="C2" s="82"/>
      <c r="D2" s="82"/>
      <c r="E2" s="236"/>
    </row>
    <row r="3" spans="2:5" ht="15.75">
      <c r="B3" s="149" t="s">
        <v>987</v>
      </c>
      <c r="C3" s="328"/>
      <c r="D3" s="328"/>
      <c r="E3" s="329"/>
    </row>
    <row r="4" spans="2:5" ht="15.75">
      <c r="B4" s="82"/>
      <c r="C4" s="322"/>
      <c r="D4" s="322"/>
      <c r="E4" s="322"/>
    </row>
    <row r="5" spans="2:5" ht="15.75">
      <c r="B5" s="81" t="s">
        <v>312</v>
      </c>
      <c r="C5" s="318" t="str">
        <f>general!C4</f>
        <v>Prior Year </v>
      </c>
      <c r="D5" s="211" t="str">
        <f>general!D4</f>
        <v>Current Year </v>
      </c>
      <c r="E5" s="211" t="str">
        <f>general!E4</f>
        <v>Proposed Budget </v>
      </c>
    </row>
    <row r="6" spans="2:5" ht="15.75">
      <c r="B6" s="473" t="str">
        <f>inputPrYr!B43</f>
        <v>Noxious Weed Capital Outlay</v>
      </c>
      <c r="C6" s="312" t="str">
        <f>general!C5</f>
        <v>Actual for 2012</v>
      </c>
      <c r="D6" s="312" t="str">
        <f>general!D5</f>
        <v>Estimate for 2013</v>
      </c>
      <c r="E6" s="299" t="str">
        <f>general!E5</f>
        <v>Year for 2014</v>
      </c>
    </row>
    <row r="7" spans="2:5" ht="15.75">
      <c r="B7" s="145" t="s">
        <v>1028</v>
      </c>
      <c r="C7" s="109">
        <v>49203</v>
      </c>
      <c r="D7" s="262">
        <f>C21</f>
        <v>65703</v>
      </c>
      <c r="E7" s="262">
        <f>D21</f>
        <v>70703</v>
      </c>
    </row>
    <row r="8" spans="2:5" ht="15.75">
      <c r="B8" s="331" t="s">
        <v>1030</v>
      </c>
      <c r="C8" s="105"/>
      <c r="D8" s="105"/>
      <c r="E8" s="105"/>
    </row>
    <row r="9" spans="2:5" ht="15.75">
      <c r="B9" s="313" t="s">
        <v>571</v>
      </c>
      <c r="C9" s="109">
        <v>16500</v>
      </c>
      <c r="D9" s="109">
        <v>5000</v>
      </c>
      <c r="E9" s="109">
        <v>5000</v>
      </c>
    </row>
    <row r="10" spans="2:5" ht="15.75">
      <c r="B10" s="313"/>
      <c r="C10" s="109"/>
      <c r="D10" s="109"/>
      <c r="E10" s="109"/>
    </row>
    <row r="11" spans="2:5" ht="15.75">
      <c r="B11" s="306" t="s">
        <v>867</v>
      </c>
      <c r="C11" s="109"/>
      <c r="D11" s="301"/>
      <c r="E11" s="301"/>
    </row>
    <row r="12" spans="2:5" ht="15.75">
      <c r="B12" s="306" t="s">
        <v>808</v>
      </c>
      <c r="C12" s="470">
        <f>IF(C13*0.1&lt;C11,"Exceed 10% Rule","")</f>
      </c>
      <c r="D12" s="307">
        <f>IF(D13*0.1&lt;D11,"Exceed 10% Rule","")</f>
      </c>
      <c r="E12" s="307">
        <f>IF(E13*0.1&lt;E11,"Exceed 10% Rule","")</f>
      </c>
    </row>
    <row r="13" spans="2:5" ht="15.75">
      <c r="B13" s="308" t="s">
        <v>918</v>
      </c>
      <c r="C13" s="346">
        <f>SUM(C9:C11)</f>
        <v>16500</v>
      </c>
      <c r="D13" s="346">
        <f>SUM(D9:D11)</f>
        <v>5000</v>
      </c>
      <c r="E13" s="346">
        <f>SUM(E9:E11)</f>
        <v>5000</v>
      </c>
    </row>
    <row r="14" spans="2:5" ht="15.75">
      <c r="B14" s="308" t="s">
        <v>919</v>
      </c>
      <c r="C14" s="346">
        <f>C13+C7</f>
        <v>65703</v>
      </c>
      <c r="D14" s="346">
        <f>D13+D7</f>
        <v>70703</v>
      </c>
      <c r="E14" s="346">
        <f>E13+E7</f>
        <v>75703</v>
      </c>
    </row>
    <row r="15" spans="2:5" ht="15.75">
      <c r="B15" s="145" t="s">
        <v>921</v>
      </c>
      <c r="C15" s="262"/>
      <c r="D15" s="262"/>
      <c r="E15" s="262"/>
    </row>
    <row r="16" spans="2:5" ht="15.75">
      <c r="B16" s="313" t="s">
        <v>559</v>
      </c>
      <c r="C16" s="109"/>
      <c r="D16" s="109"/>
      <c r="E16" s="109">
        <v>75703</v>
      </c>
    </row>
    <row r="17" spans="2:5" ht="15.75">
      <c r="B17" s="313"/>
      <c r="C17" s="109"/>
      <c r="D17" s="109"/>
      <c r="E17" s="109"/>
    </row>
    <row r="18" spans="2:5" ht="15.75">
      <c r="B18" s="306" t="s">
        <v>867</v>
      </c>
      <c r="C18" s="109"/>
      <c r="D18" s="301"/>
      <c r="E18" s="301"/>
    </row>
    <row r="19" spans="2:5" ht="15.75">
      <c r="B19" s="306" t="s">
        <v>807</v>
      </c>
      <c r="C19" s="470">
        <f>IF(C20*0.1&lt;C18,"Exceed 10% Rule","")</f>
      </c>
      <c r="D19" s="307">
        <f>IF(D20*0.1&lt;D18,"Exceed 10% Rule","")</f>
      </c>
      <c r="E19" s="307">
        <f>IF(E20*0.1&lt;E18,"Exceed 10% Rule","")</f>
      </c>
    </row>
    <row r="20" spans="2:5" ht="15.75">
      <c r="B20" s="308" t="s">
        <v>922</v>
      </c>
      <c r="C20" s="346">
        <f>SUM(C16:C18)</f>
        <v>0</v>
      </c>
      <c r="D20" s="346">
        <f>SUM(D16:D18)</f>
        <v>0</v>
      </c>
      <c r="E20" s="346">
        <f>SUM(E16:E18)</f>
        <v>75703</v>
      </c>
    </row>
    <row r="21" spans="2:5" ht="15.75">
      <c r="B21" s="145" t="s">
        <v>1029</v>
      </c>
      <c r="C21" s="117">
        <f>C14-C20</f>
        <v>65703</v>
      </c>
      <c r="D21" s="117">
        <f>D14-D20</f>
        <v>70703</v>
      </c>
      <c r="E21" s="117">
        <f>E14-E20</f>
        <v>0</v>
      </c>
    </row>
    <row r="22" spans="2:5" ht="15.75">
      <c r="B22" s="284" t="str">
        <f>CONCATENATE("",E$1-2,"/",E$1-1," Budget Authority Amount:")</f>
        <v>2012/2013 Budget Authority Amount:</v>
      </c>
      <c r="C22" s="276">
        <f>inputOth!B55</f>
        <v>55203</v>
      </c>
      <c r="D22" s="276">
        <f>inputPrYr!D43</f>
        <v>59203</v>
      </c>
      <c r="E22" s="469">
        <f>IF(E21&lt;0,"See Tab E","")</f>
      </c>
    </row>
    <row r="23" spans="2:5" ht="15.75">
      <c r="B23" s="284"/>
      <c r="C23" s="316">
        <f>IF(C20&gt;C22,"See Tab A","")</f>
      </c>
      <c r="D23" s="316">
        <f>IF(D20&gt;D22,"See Tab C","")</f>
      </c>
      <c r="E23" s="142"/>
    </row>
    <row r="24" spans="2:5" ht="15.75">
      <c r="B24" s="284"/>
      <c r="C24" s="316">
        <f>IF(C21&lt;0,"See Tab B","")</f>
      </c>
      <c r="D24" s="316">
        <f>IF(D21&lt;0,"See Tab D","")</f>
      </c>
      <c r="E24" s="142"/>
    </row>
    <row r="25" spans="2:5" ht="15.75">
      <c r="B25" s="82"/>
      <c r="C25" s="142"/>
      <c r="D25" s="142"/>
      <c r="E25" s="142"/>
    </row>
    <row r="26" spans="2:5" ht="15.75">
      <c r="B26" s="81" t="s">
        <v>312</v>
      </c>
      <c r="C26" s="322"/>
      <c r="D26" s="322"/>
      <c r="E26" s="322"/>
    </row>
    <row r="27" spans="2:5" ht="15.75">
      <c r="B27" s="82"/>
      <c r="C27" s="318" t="str">
        <f aca="true" t="shared" si="0" ref="C27:E28">C5</f>
        <v>Prior Year </v>
      </c>
      <c r="D27" s="211" t="str">
        <f t="shared" si="0"/>
        <v>Current Year </v>
      </c>
      <c r="E27" s="211" t="str">
        <f t="shared" si="0"/>
        <v>Proposed Budget </v>
      </c>
    </row>
    <row r="28" spans="2:5" ht="15.75">
      <c r="B28" s="472" t="str">
        <f>inputPrYr!B44</f>
        <v>Solid Waste</v>
      </c>
      <c r="C28" s="312" t="str">
        <f t="shared" si="0"/>
        <v>Actual for 2012</v>
      </c>
      <c r="D28" s="312" t="str">
        <f t="shared" si="0"/>
        <v>Estimate for 2013</v>
      </c>
      <c r="E28" s="299" t="str">
        <f t="shared" si="0"/>
        <v>Year for 2014</v>
      </c>
    </row>
    <row r="29" spans="2:5" ht="15.75">
      <c r="B29" s="145" t="s">
        <v>1028</v>
      </c>
      <c r="C29" s="109">
        <v>71077</v>
      </c>
      <c r="D29" s="262">
        <f>C49</f>
        <v>63854</v>
      </c>
      <c r="E29" s="262">
        <f>D49</f>
        <v>145309</v>
      </c>
    </row>
    <row r="30" spans="2:5" ht="15.75">
      <c r="B30" s="145" t="s">
        <v>1030</v>
      </c>
      <c r="C30" s="105"/>
      <c r="D30" s="105"/>
      <c r="E30" s="105"/>
    </row>
    <row r="31" spans="2:5" ht="15.75">
      <c r="B31" s="313" t="s">
        <v>572</v>
      </c>
      <c r="C31" s="109">
        <v>139154</v>
      </c>
      <c r="D31" s="109">
        <v>204000</v>
      </c>
      <c r="E31" s="109">
        <v>215000</v>
      </c>
    </row>
    <row r="32" spans="2:5" ht="15.75">
      <c r="B32" s="313" t="s">
        <v>573</v>
      </c>
      <c r="C32" s="109">
        <v>13952</v>
      </c>
      <c r="D32" s="109">
        <v>15530</v>
      </c>
      <c r="E32" s="109">
        <v>20000</v>
      </c>
    </row>
    <row r="33" spans="2:5" ht="15.75">
      <c r="B33" s="313" t="s">
        <v>574</v>
      </c>
      <c r="C33" s="109">
        <v>3163</v>
      </c>
      <c r="D33" s="109">
        <v>3300</v>
      </c>
      <c r="E33" s="109">
        <v>3500</v>
      </c>
    </row>
    <row r="34" spans="2:5" ht="15.75">
      <c r="B34" s="305" t="s">
        <v>575</v>
      </c>
      <c r="C34" s="109">
        <v>551</v>
      </c>
      <c r="D34" s="109">
        <v>625</v>
      </c>
      <c r="E34" s="109">
        <v>2000</v>
      </c>
    </row>
    <row r="35" spans="2:5" ht="15.75">
      <c r="B35" s="306" t="s">
        <v>867</v>
      </c>
      <c r="C35" s="109"/>
      <c r="D35" s="301"/>
      <c r="E35" s="301"/>
    </row>
    <row r="36" spans="2:5" ht="15.75">
      <c r="B36" s="306" t="s">
        <v>808</v>
      </c>
      <c r="C36" s="470">
        <f>IF(C37*0.1&lt;C35,"Exceed 10% Rule","")</f>
      </c>
      <c r="D36" s="307">
        <f>IF(D37*0.1&lt;D35,"Exceed 10% Rule","")</f>
      </c>
      <c r="E36" s="307">
        <f>IF(E37*0.1&lt;E35,"Exceed 10% Rule","")</f>
      </c>
    </row>
    <row r="37" spans="2:5" ht="15.75">
      <c r="B37" s="308" t="s">
        <v>918</v>
      </c>
      <c r="C37" s="346">
        <f>SUM(C31:C35)</f>
        <v>156820</v>
      </c>
      <c r="D37" s="346">
        <f>SUM(D31:D35)</f>
        <v>223455</v>
      </c>
      <c r="E37" s="346">
        <f>SUM(E31:E35)</f>
        <v>240500</v>
      </c>
    </row>
    <row r="38" spans="2:5" ht="15.75">
      <c r="B38" s="308" t="s">
        <v>919</v>
      </c>
      <c r="C38" s="346">
        <f>C29+C37</f>
        <v>227897</v>
      </c>
      <c r="D38" s="346">
        <f>D29+D37</f>
        <v>287309</v>
      </c>
      <c r="E38" s="346">
        <f>E29+E37</f>
        <v>385809</v>
      </c>
    </row>
    <row r="39" spans="2:5" ht="15.75">
      <c r="B39" s="145" t="s">
        <v>921</v>
      </c>
      <c r="C39" s="262"/>
      <c r="D39" s="262"/>
      <c r="E39" s="262"/>
    </row>
    <row r="40" spans="2:5" ht="15.75">
      <c r="B40" s="313" t="s">
        <v>576</v>
      </c>
      <c r="C40" s="109">
        <v>120520</v>
      </c>
      <c r="D40" s="109">
        <v>113900</v>
      </c>
      <c r="E40" s="109">
        <v>150000</v>
      </c>
    </row>
    <row r="41" spans="2:5" ht="15.75">
      <c r="B41" s="313" t="s">
        <v>557</v>
      </c>
      <c r="C41" s="109">
        <v>28610</v>
      </c>
      <c r="D41" s="109">
        <v>20000</v>
      </c>
      <c r="E41" s="109">
        <v>110000</v>
      </c>
    </row>
    <row r="42" spans="2:5" ht="15.75">
      <c r="B42" s="313" t="s">
        <v>558</v>
      </c>
      <c r="C42" s="109"/>
      <c r="D42" s="109">
        <v>3500</v>
      </c>
      <c r="E42" s="109">
        <v>3500</v>
      </c>
    </row>
    <row r="43" spans="2:5" ht="15.75">
      <c r="B43" s="313" t="s">
        <v>559</v>
      </c>
      <c r="C43" s="109">
        <v>14483</v>
      </c>
      <c r="D43" s="109">
        <v>4600</v>
      </c>
      <c r="E43" s="109">
        <v>122309</v>
      </c>
    </row>
    <row r="44" spans="2:5" ht="15.75">
      <c r="B44" s="313" t="s">
        <v>577</v>
      </c>
      <c r="C44" s="109">
        <v>430</v>
      </c>
      <c r="D44" s="109"/>
      <c r="E44" s="109"/>
    </row>
    <row r="45" spans="2:5" ht="15.75">
      <c r="B45" s="313"/>
      <c r="C45" s="109"/>
      <c r="D45" s="109"/>
      <c r="E45" s="109"/>
    </row>
    <row r="46" spans="2:5" ht="15.75">
      <c r="B46" s="306" t="s">
        <v>867</v>
      </c>
      <c r="C46" s="109"/>
      <c r="D46" s="301"/>
      <c r="E46" s="301"/>
    </row>
    <row r="47" spans="2:5" ht="15.75">
      <c r="B47" s="306" t="s">
        <v>807</v>
      </c>
      <c r="C47" s="470">
        <f>IF(C48*0.1&lt;C46,"Exceed 10% Rule","")</f>
      </c>
      <c r="D47" s="307">
        <f>IF(D48*0.1&lt;D46,"Exceed 10% Rule","")</f>
      </c>
      <c r="E47" s="307">
        <f>IF(E48*0.1&lt;E46,"Exceed 10% Rule","")</f>
      </c>
    </row>
    <row r="48" spans="2:5" ht="15.75">
      <c r="B48" s="308" t="s">
        <v>922</v>
      </c>
      <c r="C48" s="346">
        <f>SUM(C40:C46)</f>
        <v>164043</v>
      </c>
      <c r="D48" s="346">
        <f>SUM(D40:D46)</f>
        <v>142000</v>
      </c>
      <c r="E48" s="346">
        <f>SUM(E40:E46)</f>
        <v>385809</v>
      </c>
    </row>
    <row r="49" spans="2:5" ht="15.75">
      <c r="B49" s="145" t="s">
        <v>1029</v>
      </c>
      <c r="C49" s="117">
        <f>C38-C48</f>
        <v>63854</v>
      </c>
      <c r="D49" s="117">
        <f>D38-D48</f>
        <v>145309</v>
      </c>
      <c r="E49" s="117">
        <f>E38-E48</f>
        <v>0</v>
      </c>
    </row>
    <row r="50" spans="2:5" ht="15.75">
      <c r="B50" s="284" t="str">
        <f>CONCATENATE("",E$1-2,"/",E$1-1," Budget Authority Amount:")</f>
        <v>2012/2013 Budget Authority Amount:</v>
      </c>
      <c r="C50" s="276">
        <f>inputOth!B56</f>
        <v>303824</v>
      </c>
      <c r="D50" s="276">
        <f>inputPrYr!D44</f>
        <v>286277</v>
      </c>
      <c r="E50" s="468">
        <f>IF(E49&lt;0,"See Tab E","")</f>
      </c>
    </row>
    <row r="51" spans="2:5" ht="15.75">
      <c r="B51" s="284"/>
      <c r="C51" s="316">
        <f>IF(C48&gt;C50,"See Tab A","")</f>
      </c>
      <c r="D51" s="316">
        <f>IF(D48&gt;D50,"See Tab C","")</f>
      </c>
      <c r="E51" s="82"/>
    </row>
    <row r="52" spans="2:5" ht="15.75">
      <c r="B52" s="284"/>
      <c r="C52" s="316">
        <f>IF(C49&lt;0,"See Tab B","")</f>
      </c>
      <c r="D52" s="316">
        <f>IF(D49&lt;0,"See Tab D","")</f>
      </c>
      <c r="E52" s="82"/>
    </row>
    <row r="53" spans="2:5" ht="15.75">
      <c r="B53" s="82"/>
      <c r="C53" s="82"/>
      <c r="D53" s="82"/>
      <c r="E53" s="82"/>
    </row>
    <row r="54" spans="2:5" ht="15.75">
      <c r="B54" s="82"/>
      <c r="C54" s="82"/>
      <c r="D54" s="82"/>
      <c r="E54" s="82"/>
    </row>
    <row r="55" spans="2:5" ht="15.75">
      <c r="B55" s="82"/>
      <c r="C55" s="82"/>
      <c r="D55" s="82"/>
      <c r="E55" s="82"/>
    </row>
    <row r="56" spans="2:5" ht="15.75">
      <c r="B56" s="82"/>
      <c r="C56" s="82"/>
      <c r="D56" s="82"/>
      <c r="E56" s="82"/>
    </row>
    <row r="57" spans="2:5" ht="15.75">
      <c r="B57" s="82"/>
      <c r="C57" s="82"/>
      <c r="D57" s="82"/>
      <c r="E57" s="82"/>
    </row>
    <row r="58" spans="2:5" ht="15.75">
      <c r="B58" s="284"/>
      <c r="C58" s="722" t="s">
        <v>607</v>
      </c>
      <c r="D58" s="82"/>
      <c r="E58" s="82"/>
    </row>
  </sheetData>
  <sheetProtection/>
  <conditionalFormatting sqref="C18">
    <cfRule type="cellIs" priority="7" dxfId="154" operator="greaterThan" stopIfTrue="1">
      <formula>$C$20*0.1</formula>
    </cfRule>
  </conditionalFormatting>
  <conditionalFormatting sqref="D18">
    <cfRule type="cellIs" priority="8" dxfId="154" operator="greaterThan" stopIfTrue="1">
      <formula>$D$20*0.1</formula>
    </cfRule>
  </conditionalFormatting>
  <conditionalFormatting sqref="E18">
    <cfRule type="cellIs" priority="9" dxfId="154" operator="greaterThan" stopIfTrue="1">
      <formula>$E$20*0.1</formula>
    </cfRule>
  </conditionalFormatting>
  <conditionalFormatting sqref="C11">
    <cfRule type="cellIs" priority="10" dxfId="154" operator="greaterThan" stopIfTrue="1">
      <formula>$C$13*0.1</formula>
    </cfRule>
  </conditionalFormatting>
  <conditionalFormatting sqref="D11">
    <cfRule type="cellIs" priority="11" dxfId="154" operator="greaterThan" stopIfTrue="1">
      <formula>$D$13*0.1</formula>
    </cfRule>
  </conditionalFormatting>
  <conditionalFormatting sqref="E11">
    <cfRule type="cellIs" priority="12" dxfId="154" operator="greaterThan" stopIfTrue="1">
      <formula>$E$13*0.1</formula>
    </cfRule>
  </conditionalFormatting>
  <conditionalFormatting sqref="C35">
    <cfRule type="cellIs" priority="13" dxfId="154" operator="greaterThan" stopIfTrue="1">
      <formula>$C$37*0.1</formula>
    </cfRule>
  </conditionalFormatting>
  <conditionalFormatting sqref="D35">
    <cfRule type="cellIs" priority="14" dxfId="154" operator="greaterThan" stopIfTrue="1">
      <formula>$D$37*0.1</formula>
    </cfRule>
  </conditionalFormatting>
  <conditionalFormatting sqref="E35">
    <cfRule type="cellIs" priority="15" dxfId="154" operator="greaterThan" stopIfTrue="1">
      <formula>$E$37*0.1</formula>
    </cfRule>
  </conditionalFormatting>
  <conditionalFormatting sqref="C46">
    <cfRule type="cellIs" priority="16" dxfId="154" operator="greaterThan" stopIfTrue="1">
      <formula>$C$48*0.1</formula>
    </cfRule>
  </conditionalFormatting>
  <conditionalFormatting sqref="D46">
    <cfRule type="cellIs" priority="17" dxfId="154" operator="greaterThan" stopIfTrue="1">
      <formula>$D$48*0.1</formula>
    </cfRule>
  </conditionalFormatting>
  <conditionalFormatting sqref="E46">
    <cfRule type="cellIs" priority="18" dxfId="154" operator="greaterThan" stopIfTrue="1">
      <formula>$E$48*0.1</formula>
    </cfRule>
  </conditionalFormatting>
  <conditionalFormatting sqref="E49 C49 E21">
    <cfRule type="cellIs" priority="19" dxfId="2" operator="lessThan" stopIfTrue="1">
      <formula>0</formula>
    </cfRule>
  </conditionalFormatting>
  <conditionalFormatting sqref="D48">
    <cfRule type="cellIs" priority="20" dxfId="2" operator="greaterThan" stopIfTrue="1">
      <formula>$D$50</formula>
    </cfRule>
  </conditionalFormatting>
  <conditionalFormatting sqref="C48">
    <cfRule type="cellIs" priority="21" dxfId="2" operator="greaterThan" stopIfTrue="1">
      <formula>$C$50</formula>
    </cfRule>
  </conditionalFormatting>
  <conditionalFormatting sqref="C20">
    <cfRule type="cellIs" priority="6" dxfId="0" operator="greaterThan" stopIfTrue="1">
      <formula>$C$22</formula>
    </cfRule>
  </conditionalFormatting>
  <conditionalFormatting sqref="D20">
    <cfRule type="cellIs" priority="5" dxfId="0" operator="greaterThan" stopIfTrue="1">
      <formula>$D$22</formula>
    </cfRule>
  </conditionalFormatting>
  <conditionalFormatting sqref="C21">
    <cfRule type="cellIs" priority="4" dxfId="0" operator="lessThan" stopIfTrue="1">
      <formula>0</formula>
    </cfRule>
  </conditionalFormatting>
  <conditionalFormatting sqref="D21">
    <cfRule type="cellIs" priority="2" dxfId="0" operator="lessThan" stopIfTrue="1">
      <formula>0</formula>
    </cfRule>
    <cfRule type="cellIs" priority="3" dxfId="0" operator="lessThan" stopIfTrue="1">
      <formula>0</formula>
    </cfRule>
  </conditionalFormatting>
  <conditionalFormatting sqref="D49">
    <cfRule type="cellIs" priority="1" dxfId="0" operator="lessThan" stopIfTrue="1">
      <formula>0</formula>
    </cfRule>
  </conditionalFormatting>
  <printOptions/>
  <pageMargins left="0.7" right="0.5" top="0.86" bottom="0.34" header="0.5" footer="0"/>
  <pageSetup blackAndWhite="1" horizontalDpi="120" verticalDpi="120" orientation="portrait" scale="85" r:id="rId1"/>
  <headerFooter alignWithMargins="0">
    <oddHeader>&amp;RState of Kansas
County
</oddHeader>
  </headerFooter>
</worksheet>
</file>

<file path=xl/worksheets/sheet21.xml><?xml version="1.0" encoding="utf-8"?>
<worksheet xmlns="http://schemas.openxmlformats.org/spreadsheetml/2006/main" xmlns:r="http://schemas.openxmlformats.org/officeDocument/2006/relationships">
  <dimension ref="B1:E59"/>
  <sheetViews>
    <sheetView zoomScalePageLayoutView="0" workbookViewId="0" topLeftCell="A1">
      <selection activeCell="E52" sqref="E52"/>
    </sheetView>
  </sheetViews>
  <sheetFormatPr defaultColWidth="8.796875" defaultRowHeight="15"/>
  <cols>
    <col min="1" max="1" width="2.3984375" style="70" customWidth="1"/>
    <col min="2" max="2" width="31.09765625" style="70" customWidth="1"/>
    <col min="3" max="4" width="15.796875" style="70" customWidth="1"/>
    <col min="5" max="5" width="16.09765625" style="70" customWidth="1"/>
    <col min="6" max="16384" width="8.8984375" style="70" customWidth="1"/>
  </cols>
  <sheetData>
    <row r="1" spans="2:5" ht="15.75">
      <c r="B1" s="224" t="str">
        <f>(inputPrYr!C2)</f>
        <v>Gove County</v>
      </c>
      <c r="C1" s="82"/>
      <c r="D1" s="82"/>
      <c r="E1" s="283">
        <f>inputPrYr!C4</f>
        <v>2014</v>
      </c>
    </row>
    <row r="2" spans="2:5" ht="15.75">
      <c r="B2" s="82"/>
      <c r="C2" s="82"/>
      <c r="D2" s="82"/>
      <c r="E2" s="236"/>
    </row>
    <row r="3" spans="2:5" ht="15.75">
      <c r="B3" s="149" t="s">
        <v>987</v>
      </c>
      <c r="C3" s="328"/>
      <c r="D3" s="328"/>
      <c r="E3" s="329"/>
    </row>
    <row r="4" spans="2:5" ht="15.75">
      <c r="B4" s="82"/>
      <c r="C4" s="322"/>
      <c r="D4" s="322"/>
      <c r="E4" s="322"/>
    </row>
    <row r="5" spans="2:5" ht="15.75">
      <c r="B5" s="81" t="s">
        <v>312</v>
      </c>
      <c r="C5" s="318" t="str">
        <f>general!C4</f>
        <v>Prior Year </v>
      </c>
      <c r="D5" s="211" t="str">
        <f>general!D4</f>
        <v>Current Year </v>
      </c>
      <c r="E5" s="211" t="str">
        <f>general!E4</f>
        <v>Proposed Budget </v>
      </c>
    </row>
    <row r="6" spans="2:5" ht="15.75">
      <c r="B6" s="473" t="str">
        <f>inputPrYr!B45</f>
        <v>Special Alcohol &amp; Drug</v>
      </c>
      <c r="C6" s="312" t="str">
        <f>general!C5</f>
        <v>Actual for 2012</v>
      </c>
      <c r="D6" s="312" t="str">
        <f>general!D5</f>
        <v>Estimate for 2013</v>
      </c>
      <c r="E6" s="299" t="str">
        <f>general!E5</f>
        <v>Year for 2014</v>
      </c>
    </row>
    <row r="7" spans="2:5" ht="15.75">
      <c r="B7" s="145" t="s">
        <v>1028</v>
      </c>
      <c r="C7" s="109">
        <v>12285</v>
      </c>
      <c r="D7" s="262">
        <f>C22</f>
        <v>13196</v>
      </c>
      <c r="E7" s="262">
        <f>D22</f>
        <v>14046</v>
      </c>
    </row>
    <row r="8" spans="2:5" ht="15.75">
      <c r="B8" s="331" t="s">
        <v>1030</v>
      </c>
      <c r="C8" s="105"/>
      <c r="D8" s="105"/>
      <c r="E8" s="105"/>
    </row>
    <row r="9" spans="2:5" ht="15.75">
      <c r="B9" s="313" t="s">
        <v>578</v>
      </c>
      <c r="C9" s="109">
        <v>1111</v>
      </c>
      <c r="D9" s="109">
        <v>1250</v>
      </c>
      <c r="E9" s="109">
        <v>1250</v>
      </c>
    </row>
    <row r="10" spans="2:5" ht="15.75">
      <c r="B10" s="313"/>
      <c r="C10" s="109"/>
      <c r="D10" s="109"/>
      <c r="E10" s="109"/>
    </row>
    <row r="11" spans="2:5" ht="15.75">
      <c r="B11" s="313"/>
      <c r="C11" s="109"/>
      <c r="D11" s="109"/>
      <c r="E11" s="109"/>
    </row>
    <row r="12" spans="2:5" ht="15.75">
      <c r="B12" s="306" t="s">
        <v>867</v>
      </c>
      <c r="C12" s="109"/>
      <c r="D12" s="301"/>
      <c r="E12" s="301"/>
    </row>
    <row r="13" spans="2:5" ht="15.75">
      <c r="B13" s="306" t="s">
        <v>808</v>
      </c>
      <c r="C13" s="470">
        <f>IF(C14*0.1&lt;C12,"Exceed 10% Rule","")</f>
      </c>
      <c r="D13" s="307">
        <f>IF(D14*0.1&lt;D12,"Exceed 10% Rule","")</f>
      </c>
      <c r="E13" s="307">
        <f>IF(E14*0.1&lt;E12,"Exceed 10% Rule","")</f>
      </c>
    </row>
    <row r="14" spans="2:5" ht="15.75">
      <c r="B14" s="308" t="s">
        <v>918</v>
      </c>
      <c r="C14" s="346">
        <f>SUM(C9:C12)</f>
        <v>1111</v>
      </c>
      <c r="D14" s="346">
        <f>SUM(D9:D12)</f>
        <v>1250</v>
      </c>
      <c r="E14" s="346">
        <f>SUM(E9:E12)</f>
        <v>1250</v>
      </c>
    </row>
    <row r="15" spans="2:5" ht="15.75">
      <c r="B15" s="308" t="s">
        <v>919</v>
      </c>
      <c r="C15" s="346">
        <f>C14+C7</f>
        <v>13396</v>
      </c>
      <c r="D15" s="346">
        <f>D14+D7</f>
        <v>14446</v>
      </c>
      <c r="E15" s="346">
        <f>E14+E7</f>
        <v>15296</v>
      </c>
    </row>
    <row r="16" spans="2:5" ht="15.75">
      <c r="B16" s="145" t="s">
        <v>921</v>
      </c>
      <c r="C16" s="262"/>
      <c r="D16" s="262"/>
      <c r="E16" s="262"/>
    </row>
    <row r="17" spans="2:5" ht="15.75">
      <c r="B17" s="313" t="s">
        <v>557</v>
      </c>
      <c r="C17" s="109">
        <v>200</v>
      </c>
      <c r="D17" s="109">
        <v>400</v>
      </c>
      <c r="E17" s="109">
        <v>15296</v>
      </c>
    </row>
    <row r="18" spans="2:5" ht="15.75">
      <c r="B18" s="313"/>
      <c r="C18" s="109"/>
      <c r="D18" s="109"/>
      <c r="E18" s="109"/>
    </row>
    <row r="19" spans="2:5" ht="15.75">
      <c r="B19" s="306" t="s">
        <v>867</v>
      </c>
      <c r="C19" s="109"/>
      <c r="D19" s="301"/>
      <c r="E19" s="301"/>
    </row>
    <row r="20" spans="2:5" ht="15.75">
      <c r="B20" s="306" t="s">
        <v>807</v>
      </c>
      <c r="C20" s="470">
        <f>IF(C21*0.1&lt;C19,"Exceed 10% Rule","")</f>
      </c>
      <c r="D20" s="307">
        <f>IF(D21*0.1&lt;D19,"Exceed 10% Rule","")</f>
      </c>
      <c r="E20" s="307">
        <f>IF(E21*0.1&lt;E19,"Exceed 10% Rule","")</f>
      </c>
    </row>
    <row r="21" spans="2:5" ht="15.75">
      <c r="B21" s="308" t="s">
        <v>922</v>
      </c>
      <c r="C21" s="346">
        <f>SUM(C17:C19)</f>
        <v>200</v>
      </c>
      <c r="D21" s="346">
        <f>SUM(D17:D19)</f>
        <v>400</v>
      </c>
      <c r="E21" s="346">
        <f>SUM(E17:E19)</f>
        <v>15296</v>
      </c>
    </row>
    <row r="22" spans="2:5" ht="15.75">
      <c r="B22" s="145" t="s">
        <v>1029</v>
      </c>
      <c r="C22" s="117">
        <f>C15-C21</f>
        <v>13196</v>
      </c>
      <c r="D22" s="117">
        <f>D15-D21</f>
        <v>14046</v>
      </c>
      <c r="E22" s="117">
        <f>E15-E21</f>
        <v>0</v>
      </c>
    </row>
    <row r="23" spans="2:5" ht="15.75">
      <c r="B23" s="284" t="str">
        <f>CONCATENATE("",E$1-2,"/",E$1-1," Budget Authority Amount:")</f>
        <v>2012/2013 Budget Authority Amount:</v>
      </c>
      <c r="C23" s="276">
        <f>inputOth!B57</f>
        <v>15211</v>
      </c>
      <c r="D23" s="276">
        <f>inputPrYr!D45</f>
        <v>15684</v>
      </c>
      <c r="E23" s="469">
        <f>IF(E22&lt;0,"See Tab E","")</f>
      </c>
    </row>
    <row r="24" spans="2:5" ht="15.75">
      <c r="B24" s="284"/>
      <c r="C24" s="316">
        <f>IF(C21&gt;C23,"See Tab A","")</f>
      </c>
      <c r="D24" s="316">
        <f>IF(D21&gt;D23,"See Tab C","")</f>
      </c>
      <c r="E24" s="142"/>
    </row>
    <row r="25" spans="2:5" ht="15.75">
      <c r="B25" s="284"/>
      <c r="C25" s="316">
        <f>IF(C22&lt;0,"See Tab B","")</f>
      </c>
      <c r="D25" s="316">
        <f>IF(D22&lt;0,"See Tab D","")</f>
      </c>
      <c r="E25" s="142"/>
    </row>
    <row r="26" spans="2:5" ht="15.75">
      <c r="B26" s="82"/>
      <c r="C26" s="142"/>
      <c r="D26" s="142"/>
      <c r="E26" s="142"/>
    </row>
    <row r="27" spans="2:5" ht="15.75">
      <c r="B27" s="81" t="s">
        <v>312</v>
      </c>
      <c r="C27" s="322"/>
      <c r="D27" s="322"/>
      <c r="E27" s="322"/>
    </row>
    <row r="28" spans="2:5" ht="15.75">
      <c r="B28" s="82"/>
      <c r="C28" s="318" t="str">
        <f aca="true" t="shared" si="0" ref="C28:E29">C5</f>
        <v>Prior Year </v>
      </c>
      <c r="D28" s="211" t="str">
        <f t="shared" si="0"/>
        <v>Current Year </v>
      </c>
      <c r="E28" s="211" t="str">
        <f t="shared" si="0"/>
        <v>Proposed Budget </v>
      </c>
    </row>
    <row r="29" spans="2:5" ht="15.75">
      <c r="B29" s="472" t="str">
        <f>inputPrYr!B46</f>
        <v>911 Emergency Service</v>
      </c>
      <c r="C29" s="312" t="str">
        <f t="shared" si="0"/>
        <v>Actual for 2012</v>
      </c>
      <c r="D29" s="312" t="str">
        <f t="shared" si="0"/>
        <v>Estimate for 2013</v>
      </c>
      <c r="E29" s="312" t="str">
        <f t="shared" si="0"/>
        <v>Year for 2014</v>
      </c>
    </row>
    <row r="30" spans="2:5" ht="15.75">
      <c r="B30" s="145" t="s">
        <v>1028</v>
      </c>
      <c r="C30" s="109">
        <v>56688</v>
      </c>
      <c r="D30" s="262">
        <f>C46</f>
        <v>55796</v>
      </c>
      <c r="E30" s="262">
        <f>D46</f>
        <v>55796</v>
      </c>
    </row>
    <row r="31" spans="2:5" ht="15.75">
      <c r="B31" s="145" t="s">
        <v>1030</v>
      </c>
      <c r="C31" s="105"/>
      <c r="D31" s="105"/>
      <c r="E31" s="105"/>
    </row>
    <row r="32" spans="2:5" ht="15.75">
      <c r="B32" s="313" t="s">
        <v>579</v>
      </c>
      <c r="C32" s="109">
        <v>3020</v>
      </c>
      <c r="D32" s="109"/>
      <c r="E32" s="109"/>
    </row>
    <row r="33" spans="2:5" ht="15.75">
      <c r="B33" s="313"/>
      <c r="C33" s="109"/>
      <c r="D33" s="109"/>
      <c r="E33" s="109"/>
    </row>
    <row r="34" spans="2:5" ht="15.75">
      <c r="B34" s="306" t="s">
        <v>867</v>
      </c>
      <c r="C34" s="109"/>
      <c r="D34" s="301"/>
      <c r="E34" s="301"/>
    </row>
    <row r="35" spans="2:5" ht="15.75">
      <c r="B35" s="306" t="s">
        <v>808</v>
      </c>
      <c r="C35" s="470">
        <f>IF(C36*0.1&lt;C34,"Exceed 10% Rule","")</f>
      </c>
      <c r="D35" s="307">
        <f>IF(D36*0.1&lt;D34,"Exceed 10% Rule","")</f>
      </c>
      <c r="E35" s="307">
        <f>IF(E36*0.1&lt;E34,"Exceed 10% Rule","")</f>
      </c>
    </row>
    <row r="36" spans="2:5" ht="15.75">
      <c r="B36" s="308" t="s">
        <v>918</v>
      </c>
      <c r="C36" s="346">
        <f>SUM(C32:C34)</f>
        <v>3020</v>
      </c>
      <c r="D36" s="346">
        <f>SUM(D32:D34)</f>
        <v>0</v>
      </c>
      <c r="E36" s="346">
        <f>SUM(E32:E34)</f>
        <v>0</v>
      </c>
    </row>
    <row r="37" spans="2:5" ht="15.75">
      <c r="B37" s="308" t="s">
        <v>919</v>
      </c>
      <c r="C37" s="346">
        <f>C30+C36</f>
        <v>59708</v>
      </c>
      <c r="D37" s="346">
        <f>D30+D36</f>
        <v>55796</v>
      </c>
      <c r="E37" s="346">
        <f>E30+E36</f>
        <v>55796</v>
      </c>
    </row>
    <row r="38" spans="2:5" ht="15.75">
      <c r="B38" s="145" t="s">
        <v>921</v>
      </c>
      <c r="C38" s="262"/>
      <c r="D38" s="262"/>
      <c r="E38" s="262"/>
    </row>
    <row r="39" spans="2:5" ht="15.75">
      <c r="B39" s="313" t="s">
        <v>557</v>
      </c>
      <c r="C39" s="109">
        <v>2132</v>
      </c>
      <c r="D39" s="109"/>
      <c r="E39" s="109">
        <v>55796</v>
      </c>
    </row>
    <row r="40" spans="2:5" ht="15.75">
      <c r="B40" s="313" t="s">
        <v>558</v>
      </c>
      <c r="C40" s="109">
        <v>1780</v>
      </c>
      <c r="D40" s="109"/>
      <c r="E40" s="109"/>
    </row>
    <row r="41" spans="2:5" ht="15.75">
      <c r="B41" s="313" t="s">
        <v>559</v>
      </c>
      <c r="C41" s="109"/>
      <c r="D41" s="109"/>
      <c r="E41" s="109"/>
    </row>
    <row r="42" spans="2:5" ht="15.75">
      <c r="B42" s="313"/>
      <c r="C42" s="109"/>
      <c r="D42" s="109"/>
      <c r="E42" s="109"/>
    </row>
    <row r="43" spans="2:5" ht="15.75">
      <c r="B43" s="306" t="s">
        <v>867</v>
      </c>
      <c r="C43" s="109"/>
      <c r="D43" s="301"/>
      <c r="E43" s="301"/>
    </row>
    <row r="44" spans="2:5" ht="15.75">
      <c r="B44" s="306" t="s">
        <v>807</v>
      </c>
      <c r="C44" s="470">
        <f>IF(C45*0.1&lt;C43,"Exceed 10% Rule","")</f>
      </c>
      <c r="D44" s="307">
        <f>IF(D45*0.1&lt;D43,"Exceed 10% Rule","")</f>
      </c>
      <c r="E44" s="307">
        <f>IF(E45*0.1&lt;E43,"Exceed 10% Rule","")</f>
      </c>
    </row>
    <row r="45" spans="2:5" ht="15.75">
      <c r="B45" s="308" t="s">
        <v>922</v>
      </c>
      <c r="C45" s="346">
        <f>SUM(C39:C43)</f>
        <v>3912</v>
      </c>
      <c r="D45" s="346">
        <f>SUM(D39:D43)</f>
        <v>0</v>
      </c>
      <c r="E45" s="346">
        <f>SUM(E39:E43)</f>
        <v>55796</v>
      </c>
    </row>
    <row r="46" spans="2:5" ht="15.75">
      <c r="B46" s="145" t="s">
        <v>1029</v>
      </c>
      <c r="C46" s="117">
        <f>C37-C45</f>
        <v>55796</v>
      </c>
      <c r="D46" s="117">
        <f>D37-D45</f>
        <v>55796</v>
      </c>
      <c r="E46" s="117">
        <f>E37-E45</f>
        <v>0</v>
      </c>
    </row>
    <row r="47" spans="2:5" ht="15.75">
      <c r="B47" s="284" t="str">
        <f>CONCATENATE("",E$1-2,"/",E$1-1," Budget Authority Amount:")</f>
        <v>2012/2013 Budget Authority Amount:</v>
      </c>
      <c r="C47" s="276">
        <f>inputOth!B58</f>
        <v>78728</v>
      </c>
      <c r="D47" s="276">
        <f>inputPrYr!D46</f>
        <v>90688</v>
      </c>
      <c r="E47" s="468">
        <f>IF(E46&lt;0,"See Tab E","")</f>
      </c>
    </row>
    <row r="48" spans="2:5" ht="15.75">
      <c r="B48" s="284"/>
      <c r="C48" s="316">
        <f>IF(C45&gt;C47,"See Tab A","")</f>
      </c>
      <c r="D48" s="316">
        <f>IF(D45&gt;D47,"See Tab C","")</f>
      </c>
      <c r="E48" s="82"/>
    </row>
    <row r="49" spans="2:5" ht="15.75">
      <c r="B49" s="284"/>
      <c r="C49" s="316">
        <f>IF(C46&lt;0,"See Tab B","")</f>
      </c>
      <c r="D49" s="316">
        <f>IF(D46&lt;0,"See Tab D","")</f>
      </c>
      <c r="E49" s="82"/>
    </row>
    <row r="50" spans="2:5" ht="15.75">
      <c r="B50" s="82"/>
      <c r="C50" s="82"/>
      <c r="D50" s="82"/>
      <c r="E50" s="82"/>
    </row>
    <row r="51" spans="2:5" ht="15.75">
      <c r="B51" s="82"/>
      <c r="C51" s="82"/>
      <c r="D51" s="82"/>
      <c r="E51" s="82"/>
    </row>
    <row r="52" spans="2:5" ht="15.75">
      <c r="B52" s="82"/>
      <c r="C52" s="82"/>
      <c r="D52" s="82"/>
      <c r="E52" s="82"/>
    </row>
    <row r="53" spans="2:5" ht="15.75">
      <c r="B53" s="82"/>
      <c r="C53" s="82"/>
      <c r="D53" s="82"/>
      <c r="E53" s="82"/>
    </row>
    <row r="54" spans="2:5" ht="15.75">
      <c r="B54" s="82"/>
      <c r="C54" s="82"/>
      <c r="D54" s="82"/>
      <c r="E54" s="82"/>
    </row>
    <row r="55" spans="2:5" ht="15.75">
      <c r="B55" s="82"/>
      <c r="C55" s="82"/>
      <c r="D55" s="82"/>
      <c r="E55" s="82"/>
    </row>
    <row r="56" spans="2:5" ht="15.75">
      <c r="B56" s="82"/>
      <c r="C56" s="82"/>
      <c r="D56" s="82"/>
      <c r="E56" s="82"/>
    </row>
    <row r="57" spans="2:5" ht="15.75">
      <c r="B57" s="82"/>
      <c r="C57" s="82"/>
      <c r="D57" s="82"/>
      <c r="E57" s="82"/>
    </row>
    <row r="58" spans="2:5" ht="15.75">
      <c r="B58" s="82"/>
      <c r="C58" s="82"/>
      <c r="D58" s="82"/>
      <c r="E58" s="82"/>
    </row>
    <row r="59" spans="2:5" ht="15.75">
      <c r="B59" s="284"/>
      <c r="C59" s="722" t="s">
        <v>608</v>
      </c>
      <c r="D59" s="82"/>
      <c r="E59" s="82"/>
    </row>
  </sheetData>
  <sheetProtection/>
  <conditionalFormatting sqref="C19">
    <cfRule type="cellIs" priority="3" dxfId="154" operator="greaterThan" stopIfTrue="1">
      <formula>$C$21*0.1</formula>
    </cfRule>
  </conditionalFormatting>
  <conditionalFormatting sqref="D19">
    <cfRule type="cellIs" priority="4" dxfId="154" operator="greaterThan" stopIfTrue="1">
      <formula>$D$21*0.1</formula>
    </cfRule>
  </conditionalFormatting>
  <conditionalFormatting sqref="E19">
    <cfRule type="cellIs" priority="5" dxfId="154" operator="greaterThan" stopIfTrue="1">
      <formula>$E$21*0.1</formula>
    </cfRule>
  </conditionalFormatting>
  <conditionalFormatting sqref="C12">
    <cfRule type="cellIs" priority="6" dxfId="154" operator="greaterThan" stopIfTrue="1">
      <formula>$C$14*0.1</formula>
    </cfRule>
  </conditionalFormatting>
  <conditionalFormatting sqref="D12">
    <cfRule type="cellIs" priority="7" dxfId="154" operator="greaterThan" stopIfTrue="1">
      <formula>$D$14*0.1</formula>
    </cfRule>
  </conditionalFormatting>
  <conditionalFormatting sqref="E12">
    <cfRule type="cellIs" priority="8" dxfId="154" operator="greaterThan" stopIfTrue="1">
      <formula>$E$14*0.1</formula>
    </cfRule>
  </conditionalFormatting>
  <conditionalFormatting sqref="C34">
    <cfRule type="cellIs" priority="9" dxfId="154" operator="greaterThan" stopIfTrue="1">
      <formula>$C$36*0.1</formula>
    </cfRule>
  </conditionalFormatting>
  <conditionalFormatting sqref="D34">
    <cfRule type="cellIs" priority="10" dxfId="154" operator="greaterThan" stopIfTrue="1">
      <formula>$D$36*0.1</formula>
    </cfRule>
  </conditionalFormatting>
  <conditionalFormatting sqref="E34">
    <cfRule type="cellIs" priority="11" dxfId="154" operator="greaterThan" stopIfTrue="1">
      <formula>$E$36*0.1</formula>
    </cfRule>
  </conditionalFormatting>
  <conditionalFormatting sqref="C43">
    <cfRule type="cellIs" priority="12" dxfId="154" operator="greaterThan" stopIfTrue="1">
      <formula>$C$45*0.1</formula>
    </cfRule>
  </conditionalFormatting>
  <conditionalFormatting sqref="D43">
    <cfRule type="cellIs" priority="13" dxfId="154" operator="greaterThan" stopIfTrue="1">
      <formula>$D$45*0.1</formula>
    </cfRule>
  </conditionalFormatting>
  <conditionalFormatting sqref="E43">
    <cfRule type="cellIs" priority="14" dxfId="154" operator="greaterThan" stopIfTrue="1">
      <formula>$E$45*0.1</formula>
    </cfRule>
  </conditionalFormatting>
  <conditionalFormatting sqref="E46 C46 E22 C22">
    <cfRule type="cellIs" priority="15" dxfId="2" operator="lessThan" stopIfTrue="1">
      <formula>0</formula>
    </cfRule>
  </conditionalFormatting>
  <conditionalFormatting sqref="D21">
    <cfRule type="cellIs" priority="16" dxfId="2" operator="greaterThan" stopIfTrue="1">
      <formula>$D$23</formula>
    </cfRule>
  </conditionalFormatting>
  <conditionalFormatting sqref="C21">
    <cfRule type="cellIs" priority="17" dxfId="2" operator="greaterThan" stopIfTrue="1">
      <formula>$C$23</formula>
    </cfRule>
  </conditionalFormatting>
  <conditionalFormatting sqref="D45">
    <cfRule type="cellIs" priority="18" dxfId="2" operator="greaterThan" stopIfTrue="1">
      <formula>$D$47</formula>
    </cfRule>
  </conditionalFormatting>
  <conditionalFormatting sqref="C45">
    <cfRule type="cellIs" priority="19" dxfId="2" operator="greaterThan" stopIfTrue="1">
      <formula>$C$47</formula>
    </cfRule>
  </conditionalFormatting>
  <conditionalFormatting sqref="D22">
    <cfRule type="cellIs" priority="2" dxfId="0" operator="lessThan" stopIfTrue="1">
      <formula>0</formula>
    </cfRule>
  </conditionalFormatting>
  <conditionalFormatting sqref="D46">
    <cfRule type="cellIs" priority="1" dxfId="0" operator="lessThan" stopIfTrue="1">
      <formula>0</formula>
    </cfRule>
  </conditionalFormatting>
  <printOptions/>
  <pageMargins left="0.78" right="0.5" top="0.74" bottom="0.34" header="0.5" footer="0"/>
  <pageSetup blackAndWhite="1" horizontalDpi="120" verticalDpi="120" orientation="portrait" scale="85" r:id="rId1"/>
  <headerFooter alignWithMargins="0">
    <oddHeader>&amp;RState of Kansas
County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8"/>
  <sheetViews>
    <sheetView zoomScalePageLayoutView="0" workbookViewId="0" topLeftCell="A1">
      <selection activeCell="E52" sqref="E52"/>
    </sheetView>
  </sheetViews>
  <sheetFormatPr defaultColWidth="8.796875" defaultRowHeight="15"/>
  <cols>
    <col min="1" max="1" width="2.3984375" style="70" customWidth="1"/>
    <col min="2" max="2" width="31.09765625" style="70" customWidth="1"/>
    <col min="3" max="4" width="15.796875" style="70" customWidth="1"/>
    <col min="5" max="5" width="16.19921875" style="70" customWidth="1"/>
    <col min="6" max="16384" width="8.8984375" style="70" customWidth="1"/>
  </cols>
  <sheetData>
    <row r="1" spans="2:5" ht="15.75">
      <c r="B1" s="224" t="str">
        <f>(inputPrYr!C2)</f>
        <v>Gove County</v>
      </c>
      <c r="C1" s="82"/>
      <c r="D1" s="82"/>
      <c r="E1" s="283">
        <f>inputPrYr!C4</f>
        <v>2014</v>
      </c>
    </row>
    <row r="2" spans="2:5" ht="15.75">
      <c r="B2" s="82"/>
      <c r="C2" s="82"/>
      <c r="D2" s="82"/>
      <c r="E2" s="236"/>
    </row>
    <row r="3" spans="2:5" ht="15.75">
      <c r="B3" s="149" t="s">
        <v>987</v>
      </c>
      <c r="C3" s="328"/>
      <c r="D3" s="328"/>
      <c r="E3" s="329"/>
    </row>
    <row r="4" spans="2:5" ht="15.75">
      <c r="B4" s="82"/>
      <c r="C4" s="322"/>
      <c r="D4" s="322"/>
      <c r="E4" s="322"/>
    </row>
    <row r="5" spans="2:5" ht="15.75">
      <c r="B5" s="81" t="s">
        <v>312</v>
      </c>
      <c r="C5" s="318" t="str">
        <f>general!C4</f>
        <v>Prior Year </v>
      </c>
      <c r="D5" s="211" t="str">
        <f>general!D4</f>
        <v>Current Year </v>
      </c>
      <c r="E5" s="211" t="str">
        <f>general!E4</f>
        <v>Proposed Budget </v>
      </c>
    </row>
    <row r="6" spans="2:5" ht="15.75">
      <c r="B6" s="473" t="str">
        <f>inputPrYr!B47</f>
        <v>911 Wireless</v>
      </c>
      <c r="C6" s="312" t="str">
        <f>general!C5</f>
        <v>Actual for 2012</v>
      </c>
      <c r="D6" s="312" t="str">
        <f>general!D5</f>
        <v>Estimate for 2013</v>
      </c>
      <c r="E6" s="299" t="str">
        <f>general!E5</f>
        <v>Year for 2014</v>
      </c>
    </row>
    <row r="7" spans="2:5" ht="15.75">
      <c r="B7" s="145" t="s">
        <v>1028</v>
      </c>
      <c r="C7" s="109">
        <v>7685</v>
      </c>
      <c r="D7" s="262">
        <f>C22</f>
        <v>7699</v>
      </c>
      <c r="E7" s="262">
        <f>D22</f>
        <v>7699</v>
      </c>
    </row>
    <row r="8" spans="2:5" ht="15.75">
      <c r="B8" s="331" t="s">
        <v>1030</v>
      </c>
      <c r="C8" s="105"/>
      <c r="D8" s="105"/>
      <c r="E8" s="105"/>
    </row>
    <row r="9" spans="2:5" ht="15.75">
      <c r="B9" s="313" t="s">
        <v>580</v>
      </c>
      <c r="C9" s="109"/>
      <c r="D9" s="109"/>
      <c r="E9" s="109"/>
    </row>
    <row r="10" spans="2:5" ht="15.75">
      <c r="B10" s="313" t="s">
        <v>917</v>
      </c>
      <c r="C10" s="109">
        <v>14</v>
      </c>
      <c r="D10" s="109"/>
      <c r="E10" s="109"/>
    </row>
    <row r="11" spans="2:5" ht="15.75">
      <c r="B11" s="313"/>
      <c r="C11" s="109"/>
      <c r="D11" s="109"/>
      <c r="E11" s="109"/>
    </row>
    <row r="12" spans="2:5" ht="15.75">
      <c r="B12" s="306" t="s">
        <v>867</v>
      </c>
      <c r="C12" s="109"/>
      <c r="D12" s="301"/>
      <c r="E12" s="301"/>
    </row>
    <row r="13" spans="2:5" ht="15.75">
      <c r="B13" s="306" t="s">
        <v>808</v>
      </c>
      <c r="C13" s="470">
        <f>IF(C14*0.1&lt;C12,"Exceed 10% Rule","")</f>
      </c>
      <c r="D13" s="307">
        <f>IF(D14*0.1&lt;D12,"Exceed 10% Rule","")</f>
      </c>
      <c r="E13" s="307">
        <f>IF(E14*0.1&lt;E12,"Exceed 10% Rule","")</f>
      </c>
    </row>
    <row r="14" spans="2:5" ht="15.75">
      <c r="B14" s="308" t="s">
        <v>918</v>
      </c>
      <c r="C14" s="346">
        <f>SUM(C9:C12)</f>
        <v>14</v>
      </c>
      <c r="D14" s="346">
        <f>SUM(D9:D12)</f>
        <v>0</v>
      </c>
      <c r="E14" s="346">
        <f>SUM(E9:E12)</f>
        <v>0</v>
      </c>
    </row>
    <row r="15" spans="2:5" ht="15.75">
      <c r="B15" s="308" t="s">
        <v>919</v>
      </c>
      <c r="C15" s="346">
        <f>C14+C7</f>
        <v>7699</v>
      </c>
      <c r="D15" s="346">
        <f>D14+D7</f>
        <v>7699</v>
      </c>
      <c r="E15" s="346">
        <f>E14+E7</f>
        <v>7699</v>
      </c>
    </row>
    <row r="16" spans="2:5" ht="15.75">
      <c r="B16" s="145" t="s">
        <v>921</v>
      </c>
      <c r="C16" s="262"/>
      <c r="D16" s="262"/>
      <c r="E16" s="262"/>
    </row>
    <row r="17" spans="2:5" ht="15.75">
      <c r="B17" s="313" t="s">
        <v>557</v>
      </c>
      <c r="C17" s="109"/>
      <c r="D17" s="109"/>
      <c r="E17" s="109">
        <v>7699</v>
      </c>
    </row>
    <row r="18" spans="2:5" ht="15.75">
      <c r="B18" s="313"/>
      <c r="C18" s="109"/>
      <c r="D18" s="109"/>
      <c r="E18" s="109"/>
    </row>
    <row r="19" spans="2:5" ht="15.75">
      <c r="B19" s="306" t="s">
        <v>867</v>
      </c>
      <c r="C19" s="109"/>
      <c r="D19" s="301"/>
      <c r="E19" s="301"/>
    </row>
    <row r="20" spans="2:5" ht="15.75">
      <c r="B20" s="306" t="s">
        <v>807</v>
      </c>
      <c r="C20" s="470">
        <f>IF(C21*0.1&lt;C19,"Exceed 10% Rule","")</f>
      </c>
      <c r="D20" s="307">
        <f>IF(D21*0.1&lt;D19,"Exceed 10% Rule","")</f>
      </c>
      <c r="E20" s="307">
        <f>IF(E21*0.1&lt;E19,"Exceed 10% Rule","")</f>
      </c>
    </row>
    <row r="21" spans="2:5" ht="15.75">
      <c r="B21" s="308" t="s">
        <v>922</v>
      </c>
      <c r="C21" s="346">
        <f>SUM(C17:C19)</f>
        <v>0</v>
      </c>
      <c r="D21" s="346">
        <f>SUM(D17:D19)</f>
        <v>0</v>
      </c>
      <c r="E21" s="346">
        <f>SUM(E17:E19)</f>
        <v>7699</v>
      </c>
    </row>
    <row r="22" spans="2:5" ht="15.75">
      <c r="B22" s="145" t="s">
        <v>1029</v>
      </c>
      <c r="C22" s="117">
        <f>C15-C21</f>
        <v>7699</v>
      </c>
      <c r="D22" s="117">
        <f>D15-D21</f>
        <v>7699</v>
      </c>
      <c r="E22" s="117">
        <f>E15-E21</f>
        <v>0</v>
      </c>
    </row>
    <row r="23" spans="2:5" ht="15.75">
      <c r="B23" s="284" t="str">
        <f>CONCATENATE("",E$1-2,"/",E$1-1," Budget Authority Amount:")</f>
        <v>2012/2013 Budget Authority Amount:</v>
      </c>
      <c r="C23" s="276">
        <f>inputOth!B59</f>
        <v>18322</v>
      </c>
      <c r="D23" s="276">
        <f>inputPrYr!D47</f>
        <v>22385</v>
      </c>
      <c r="E23" s="469">
        <f>IF(E22&lt;0,"See Tab E","")</f>
      </c>
    </row>
    <row r="24" spans="2:5" ht="15.75">
      <c r="B24" s="284"/>
      <c r="C24" s="316">
        <f>IF(C21&gt;C23,"See Tab A","")</f>
      </c>
      <c r="D24" s="316">
        <f>IF(D21&gt;D23,"See Tab C","")</f>
      </c>
      <c r="E24" s="142"/>
    </row>
    <row r="25" spans="2:5" ht="15.75">
      <c r="B25" s="284"/>
      <c r="C25" s="316">
        <f>IF(C22&lt;0,"See Tab B","")</f>
      </c>
      <c r="D25" s="316">
        <f>IF(D22&lt;0,"See Tab D","")</f>
      </c>
      <c r="E25" s="142"/>
    </row>
    <row r="26" spans="2:5" ht="15.75">
      <c r="B26" s="82"/>
      <c r="C26" s="142"/>
      <c r="D26" s="142"/>
      <c r="E26" s="142"/>
    </row>
    <row r="27" spans="2:5" ht="15.75">
      <c r="B27" s="118"/>
      <c r="C27" s="724"/>
      <c r="D27" s="724"/>
      <c r="E27" s="724"/>
    </row>
    <row r="28" spans="2:5" ht="15.75">
      <c r="B28" s="85"/>
      <c r="C28" s="725"/>
      <c r="D28" s="726"/>
      <c r="E28" s="726"/>
    </row>
    <row r="29" spans="2:5" ht="15.75">
      <c r="B29" s="473"/>
      <c r="C29" s="727"/>
      <c r="D29" s="727"/>
      <c r="E29" s="727"/>
    </row>
    <row r="30" spans="2:5" ht="15.75">
      <c r="B30" s="118"/>
      <c r="C30" s="728"/>
      <c r="D30" s="120"/>
      <c r="E30" s="120"/>
    </row>
    <row r="31" spans="2:5" ht="15.75">
      <c r="B31" s="118"/>
      <c r="C31" s="85"/>
      <c r="D31" s="85"/>
      <c r="E31" s="85"/>
    </row>
    <row r="32" spans="2:5" ht="15.75">
      <c r="B32" s="729"/>
      <c r="C32" s="728"/>
      <c r="D32" s="728"/>
      <c r="E32" s="728"/>
    </row>
    <row r="33" spans="2:5" ht="15.75">
      <c r="B33" s="729"/>
      <c r="C33" s="728"/>
      <c r="D33" s="728"/>
      <c r="E33" s="728"/>
    </row>
    <row r="34" spans="2:5" ht="15.75">
      <c r="B34" s="729"/>
      <c r="C34" s="728"/>
      <c r="D34" s="728"/>
      <c r="E34" s="728"/>
    </row>
    <row r="35" spans="2:5" ht="15.75">
      <c r="B35" s="730"/>
      <c r="C35" s="728"/>
      <c r="D35" s="728"/>
      <c r="E35" s="728"/>
    </row>
    <row r="36" spans="2:5" ht="15.75">
      <c r="B36" s="85"/>
      <c r="C36" s="728"/>
      <c r="D36" s="728"/>
      <c r="E36" s="728"/>
    </row>
    <row r="37" spans="2:5" ht="15.75">
      <c r="B37" s="85"/>
      <c r="C37" s="731"/>
      <c r="D37" s="731"/>
      <c r="E37" s="731"/>
    </row>
    <row r="38" spans="2:5" ht="15.75">
      <c r="B38" s="732"/>
      <c r="C38" s="733"/>
      <c r="D38" s="733"/>
      <c r="E38" s="733"/>
    </row>
    <row r="39" spans="2:5" ht="15.75">
      <c r="B39" s="732"/>
      <c r="C39" s="733"/>
      <c r="D39" s="733"/>
      <c r="E39" s="733"/>
    </row>
    <row r="40" spans="2:5" ht="15.75">
      <c r="B40" s="118"/>
      <c r="C40" s="120"/>
      <c r="D40" s="120"/>
      <c r="E40" s="120"/>
    </row>
    <row r="41" spans="2:5" ht="15.75">
      <c r="B41" s="729"/>
      <c r="C41" s="728"/>
      <c r="D41" s="728"/>
      <c r="E41" s="728"/>
    </row>
    <row r="42" spans="2:5" ht="15.75">
      <c r="B42" s="729"/>
      <c r="C42" s="728"/>
      <c r="D42" s="728"/>
      <c r="E42" s="728"/>
    </row>
    <row r="43" spans="2:5" ht="15.75">
      <c r="B43" s="729"/>
      <c r="C43" s="728"/>
      <c r="D43" s="728"/>
      <c r="E43" s="728"/>
    </row>
    <row r="44" spans="2:5" ht="15.75">
      <c r="B44" s="729"/>
      <c r="C44" s="728"/>
      <c r="D44" s="728"/>
      <c r="E44" s="728"/>
    </row>
    <row r="45" spans="2:5" ht="15.75">
      <c r="B45" s="729"/>
      <c r="C45" s="728"/>
      <c r="D45" s="728"/>
      <c r="E45" s="728"/>
    </row>
    <row r="46" spans="2:5" ht="15.75">
      <c r="B46" s="729"/>
      <c r="C46" s="728"/>
      <c r="D46" s="728"/>
      <c r="E46" s="728"/>
    </row>
    <row r="47" spans="2:5" ht="15.75">
      <c r="B47" s="729"/>
      <c r="C47" s="728"/>
      <c r="D47" s="728"/>
      <c r="E47" s="728"/>
    </row>
    <row r="48" spans="2:5" ht="15.75">
      <c r="B48" s="729"/>
      <c r="C48" s="728"/>
      <c r="D48" s="728"/>
      <c r="E48" s="728"/>
    </row>
    <row r="49" spans="2:5" ht="15.75">
      <c r="B49" s="729"/>
      <c r="C49" s="728"/>
      <c r="D49" s="728"/>
      <c r="E49" s="728"/>
    </row>
    <row r="50" spans="2:5" ht="15.75">
      <c r="B50" s="85"/>
      <c r="C50" s="728"/>
      <c r="D50" s="728"/>
      <c r="E50" s="728"/>
    </row>
    <row r="51" spans="2:5" ht="15.75">
      <c r="B51" s="85"/>
      <c r="C51" s="731"/>
      <c r="D51" s="731"/>
      <c r="E51" s="731"/>
    </row>
    <row r="52" spans="2:5" ht="15.75">
      <c r="B52" s="732"/>
      <c r="C52" s="733"/>
      <c r="D52" s="733"/>
      <c r="E52" s="733"/>
    </row>
    <row r="53" spans="2:5" ht="15.75">
      <c r="B53" s="118"/>
      <c r="C53" s="734"/>
      <c r="D53" s="734"/>
      <c r="E53" s="734"/>
    </row>
    <row r="54" spans="2:5" ht="15.75">
      <c r="B54" s="735"/>
      <c r="C54" s="736"/>
      <c r="D54" s="736"/>
      <c r="E54" s="737"/>
    </row>
    <row r="55" spans="2:5" ht="15.75">
      <c r="B55" s="735"/>
      <c r="C55" s="737"/>
      <c r="D55" s="737"/>
      <c r="E55" s="85"/>
    </row>
    <row r="56" spans="2:5" ht="15.75">
      <c r="B56" s="284"/>
      <c r="C56" s="316">
        <f>IF(C53&lt;0,"See Tab B","")</f>
      </c>
      <c r="D56" s="316">
        <f>IF(D53&lt;0,"See Tab D","")</f>
      </c>
      <c r="E56" s="82"/>
    </row>
    <row r="57" spans="2:5" ht="15.75">
      <c r="B57" s="82"/>
      <c r="C57" s="82"/>
      <c r="D57" s="82"/>
      <c r="E57" s="82"/>
    </row>
    <row r="58" spans="2:5" ht="15.75">
      <c r="B58" s="284"/>
      <c r="C58" s="722" t="s">
        <v>609</v>
      </c>
      <c r="D58" s="82"/>
      <c r="E58" s="82"/>
    </row>
  </sheetData>
  <sheetProtection/>
  <conditionalFormatting sqref="C19">
    <cfRule type="cellIs" priority="3" dxfId="154" operator="greaterThan" stopIfTrue="1">
      <formula>$C$21*0.1</formula>
    </cfRule>
  </conditionalFormatting>
  <conditionalFormatting sqref="D19">
    <cfRule type="cellIs" priority="4" dxfId="154" operator="greaterThan" stopIfTrue="1">
      <formula>$D$21*0.1</formula>
    </cfRule>
  </conditionalFormatting>
  <conditionalFormatting sqref="E19">
    <cfRule type="cellIs" priority="5" dxfId="154" operator="greaterThan" stopIfTrue="1">
      <formula>$E$21*0.1</formula>
    </cfRule>
  </conditionalFormatting>
  <conditionalFormatting sqref="C12">
    <cfRule type="cellIs" priority="6" dxfId="154" operator="greaterThan" stopIfTrue="1">
      <formula>$C$14*0.1</formula>
    </cfRule>
  </conditionalFormatting>
  <conditionalFormatting sqref="D12">
    <cfRule type="cellIs" priority="7" dxfId="154" operator="greaterThan" stopIfTrue="1">
      <formula>$D$14*0.1</formula>
    </cfRule>
  </conditionalFormatting>
  <conditionalFormatting sqref="E12">
    <cfRule type="cellIs" priority="8" dxfId="154" operator="greaterThan" stopIfTrue="1">
      <formula>$E$14*0.1</formula>
    </cfRule>
  </conditionalFormatting>
  <conditionalFormatting sqref="C36">
    <cfRule type="cellIs" priority="9" dxfId="154" operator="greaterThan" stopIfTrue="1">
      <formula>$C$38*0.1</formula>
    </cfRule>
  </conditionalFormatting>
  <conditionalFormatting sqref="D36">
    <cfRule type="cellIs" priority="10" dxfId="154" operator="greaterThan" stopIfTrue="1">
      <formula>$D$38*0.1</formula>
    </cfRule>
  </conditionalFormatting>
  <conditionalFormatting sqref="E36">
    <cfRule type="cellIs" priority="11" dxfId="154" operator="greaterThan" stopIfTrue="1">
      <formula>$E$38*0.1</formula>
    </cfRule>
  </conditionalFormatting>
  <conditionalFormatting sqref="C50">
    <cfRule type="cellIs" priority="12" dxfId="154" operator="greaterThan" stopIfTrue="1">
      <formula>$C$52*0.1</formula>
    </cfRule>
  </conditionalFormatting>
  <conditionalFormatting sqref="D50">
    <cfRule type="cellIs" priority="13" dxfId="154" operator="greaterThan" stopIfTrue="1">
      <formula>$D$52*0.1</formula>
    </cfRule>
  </conditionalFormatting>
  <conditionalFormatting sqref="E50">
    <cfRule type="cellIs" priority="14" dxfId="154" operator="greaterThan" stopIfTrue="1">
      <formula>$E$52*0.1</formula>
    </cfRule>
  </conditionalFormatting>
  <conditionalFormatting sqref="E22 C22 E53 C53">
    <cfRule type="cellIs" priority="15" dxfId="2" operator="lessThan" stopIfTrue="1">
      <formula>0</formula>
    </cfRule>
  </conditionalFormatting>
  <conditionalFormatting sqref="D21">
    <cfRule type="cellIs" priority="16" dxfId="2" operator="greaterThan" stopIfTrue="1">
      <formula>$D$23</formula>
    </cfRule>
  </conditionalFormatting>
  <conditionalFormatting sqref="C21">
    <cfRule type="cellIs" priority="17" dxfId="2" operator="greaterThan" stopIfTrue="1">
      <formula>$C$23</formula>
    </cfRule>
  </conditionalFormatting>
  <conditionalFormatting sqref="D52">
    <cfRule type="cellIs" priority="18" dxfId="2" operator="greaterThan" stopIfTrue="1">
      <formula>$D$54</formula>
    </cfRule>
  </conditionalFormatting>
  <conditionalFormatting sqref="C52">
    <cfRule type="cellIs" priority="19" dxfId="2" operator="greaterThan" stopIfTrue="1">
      <formula>$C$54</formula>
    </cfRule>
  </conditionalFormatting>
  <conditionalFormatting sqref="D22">
    <cfRule type="cellIs" priority="2" dxfId="0" operator="lessThan" stopIfTrue="1">
      <formula>0</formula>
    </cfRule>
  </conditionalFormatting>
  <conditionalFormatting sqref="D53">
    <cfRule type="cellIs" priority="1" dxfId="0" operator="lessThan" stopIfTrue="1">
      <formula>0</formula>
    </cfRule>
  </conditionalFormatting>
  <printOptions/>
  <pageMargins left="0.68" right="0.5" top="0.74" bottom="0.34" header="0.5" footer="0"/>
  <pageSetup blackAndWhite="1" fitToHeight="1" fitToWidth="1" horizontalDpi="120" verticalDpi="120" orientation="portrait" scale="80" r:id="rId1"/>
  <headerFooter alignWithMargins="0">
    <oddHeader>&amp;RState of Kansas
County
</oddHeader>
  </headerFooter>
</worksheet>
</file>

<file path=xl/worksheets/sheet23.xml><?xml version="1.0" encoding="utf-8"?>
<worksheet xmlns="http://schemas.openxmlformats.org/spreadsheetml/2006/main" xmlns:r="http://schemas.openxmlformats.org/officeDocument/2006/relationships">
  <dimension ref="A1:L47"/>
  <sheetViews>
    <sheetView zoomScalePageLayoutView="0" workbookViewId="0" topLeftCell="A1">
      <selection activeCell="E52" sqref="E52"/>
    </sheetView>
  </sheetViews>
  <sheetFormatPr defaultColWidth="8.796875" defaultRowHeight="15"/>
  <cols>
    <col min="1" max="1" width="11.59765625" style="70" customWidth="1"/>
    <col min="2" max="2" width="7.3984375" style="70" customWidth="1"/>
    <col min="3" max="3" width="11.59765625" style="70" customWidth="1"/>
    <col min="4" max="4" width="7.3984375" style="70" customWidth="1"/>
    <col min="5" max="5" width="11.59765625" style="70" customWidth="1"/>
    <col min="6" max="6" width="7.3984375" style="70" customWidth="1"/>
    <col min="7" max="7" width="11.59765625" style="70" customWidth="1"/>
    <col min="8" max="8" width="7.3984375" style="70" customWidth="1"/>
    <col min="9" max="9" width="11.59765625" style="70" customWidth="1"/>
    <col min="10" max="16384" width="8.8984375" style="70" customWidth="1"/>
  </cols>
  <sheetData>
    <row r="1" spans="1:11" ht="15.75">
      <c r="A1" s="141" t="str">
        <f>inputPrYr!$C$2</f>
        <v>Gove County</v>
      </c>
      <c r="B1" s="349"/>
      <c r="C1" s="122"/>
      <c r="D1" s="122"/>
      <c r="E1" s="122"/>
      <c r="F1" s="350" t="s">
        <v>190</v>
      </c>
      <c r="G1" s="122"/>
      <c r="H1" s="122"/>
      <c r="I1" s="122"/>
      <c r="J1" s="122"/>
      <c r="K1" s="122">
        <f>inputPrYr!$C$4</f>
        <v>2014</v>
      </c>
    </row>
    <row r="2" spans="1:11" ht="15.75">
      <c r="A2" s="122"/>
      <c r="B2" s="122"/>
      <c r="C2" s="122"/>
      <c r="D2" s="122"/>
      <c r="E2" s="122"/>
      <c r="F2" s="351" t="str">
        <f>CONCATENATE("(Only the actual budget year for ",K1-2," is to be shown)")</f>
        <v>(Only the actual budget year for 2012 is to be shown)</v>
      </c>
      <c r="G2" s="122"/>
      <c r="H2" s="122"/>
      <c r="I2" s="122"/>
      <c r="J2" s="122"/>
      <c r="K2" s="122"/>
    </row>
    <row r="3" spans="1:11" ht="15.75">
      <c r="A3" s="122" t="s">
        <v>191</v>
      </c>
      <c r="B3" s="122"/>
      <c r="C3" s="122"/>
      <c r="D3" s="122"/>
      <c r="E3" s="122"/>
      <c r="F3" s="349"/>
      <c r="G3" s="122"/>
      <c r="H3" s="122"/>
      <c r="I3" s="122"/>
      <c r="J3" s="122"/>
      <c r="K3" s="122"/>
    </row>
    <row r="4" spans="1:11" ht="15.75">
      <c r="A4" s="122" t="s">
        <v>192</v>
      </c>
      <c r="B4" s="122"/>
      <c r="C4" s="122" t="s">
        <v>193</v>
      </c>
      <c r="D4" s="122"/>
      <c r="E4" s="122" t="s">
        <v>194</v>
      </c>
      <c r="F4" s="349"/>
      <c r="G4" s="122" t="s">
        <v>195</v>
      </c>
      <c r="H4" s="122"/>
      <c r="I4" s="122" t="s">
        <v>196</v>
      </c>
      <c r="J4" s="122"/>
      <c r="K4" s="122"/>
    </row>
    <row r="5" spans="1:11" ht="15.75">
      <c r="A5" s="810" t="str">
        <f>IF(inputPrYr!B62&gt;" ",(inputPrYr!B62)," ")</f>
        <v>Special Highway Improv.</v>
      </c>
      <c r="B5" s="811"/>
      <c r="C5" s="810" t="str">
        <f>IF(inputPrYr!B63&gt;" ",(inputPrYr!B63)," ")</f>
        <v>Special Machinery</v>
      </c>
      <c r="D5" s="811"/>
      <c r="E5" s="810" t="str">
        <f>IF(inputPrYr!B64&gt;" ",(inputPrYr!B64)," ")</f>
        <v>Register of Deeds Tech</v>
      </c>
      <c r="F5" s="811"/>
      <c r="G5" s="810" t="str">
        <f>IF(inputPrYr!B65&gt;" ",(inputPrYr!B65)," ")</f>
        <v>Bio Terrorism Local</v>
      </c>
      <c r="H5" s="811"/>
      <c r="I5" s="810" t="str">
        <f>IF(inputPrYr!B66&gt;" ",(inputPrYr!B66)," ")</f>
        <v>Bio Terr. Regionalization</v>
      </c>
      <c r="J5" s="811"/>
      <c r="K5" s="353"/>
    </row>
    <row r="6" spans="1:11" ht="15.75">
      <c r="A6" s="354" t="s">
        <v>197</v>
      </c>
      <c r="B6" s="355"/>
      <c r="C6" s="356" t="s">
        <v>197</v>
      </c>
      <c r="D6" s="357"/>
      <c r="E6" s="356" t="s">
        <v>197</v>
      </c>
      <c r="F6" s="352"/>
      <c r="G6" s="356" t="s">
        <v>197</v>
      </c>
      <c r="H6" s="358"/>
      <c r="I6" s="356" t="s">
        <v>197</v>
      </c>
      <c r="J6" s="122"/>
      <c r="K6" s="359" t="s">
        <v>283</v>
      </c>
    </row>
    <row r="7" spans="1:11" ht="15.75">
      <c r="A7" s="360" t="s">
        <v>878</v>
      </c>
      <c r="B7" s="361">
        <v>154926</v>
      </c>
      <c r="C7" s="362" t="s">
        <v>878</v>
      </c>
      <c r="D7" s="361">
        <v>313044</v>
      </c>
      <c r="E7" s="362" t="s">
        <v>878</v>
      </c>
      <c r="F7" s="361">
        <v>6496</v>
      </c>
      <c r="G7" s="362" t="s">
        <v>878</v>
      </c>
      <c r="H7" s="361">
        <v>7382</v>
      </c>
      <c r="I7" s="362" t="s">
        <v>878</v>
      </c>
      <c r="J7" s="361">
        <v>16813</v>
      </c>
      <c r="K7" s="363">
        <f>SUM(B7+D7+F7+H7+J7)</f>
        <v>498661</v>
      </c>
    </row>
    <row r="8" spans="1:11" ht="15.75">
      <c r="A8" s="364" t="s">
        <v>1030</v>
      </c>
      <c r="B8" s="365"/>
      <c r="C8" s="364" t="s">
        <v>1030</v>
      </c>
      <c r="D8" s="366"/>
      <c r="E8" s="364" t="s">
        <v>1030</v>
      </c>
      <c r="F8" s="349"/>
      <c r="G8" s="364" t="s">
        <v>1030</v>
      </c>
      <c r="H8" s="122"/>
      <c r="I8" s="364" t="s">
        <v>1030</v>
      </c>
      <c r="J8" s="122"/>
      <c r="K8" s="349"/>
    </row>
    <row r="9" spans="1:11" ht="15.75">
      <c r="A9" s="367" t="s">
        <v>581</v>
      </c>
      <c r="B9" s="361">
        <v>447000</v>
      </c>
      <c r="C9" s="367" t="s">
        <v>581</v>
      </c>
      <c r="D9" s="361">
        <v>141000</v>
      </c>
      <c r="E9" s="367" t="s">
        <v>582</v>
      </c>
      <c r="F9" s="361">
        <v>16601</v>
      </c>
      <c r="G9" s="367" t="s">
        <v>583</v>
      </c>
      <c r="H9" s="361">
        <v>3907</v>
      </c>
      <c r="I9" s="367" t="s">
        <v>583</v>
      </c>
      <c r="J9" s="361">
        <v>49031</v>
      </c>
      <c r="K9" s="349"/>
    </row>
    <row r="10" spans="1:11" ht="15.75">
      <c r="A10" s="367"/>
      <c r="B10" s="361"/>
      <c r="C10" s="367"/>
      <c r="D10" s="361"/>
      <c r="E10" s="367" t="s">
        <v>917</v>
      </c>
      <c r="F10" s="361">
        <v>17</v>
      </c>
      <c r="G10" s="367" t="s">
        <v>584</v>
      </c>
      <c r="H10" s="361"/>
      <c r="I10" s="367" t="s">
        <v>585</v>
      </c>
      <c r="J10" s="361"/>
      <c r="K10" s="349"/>
    </row>
    <row r="11" spans="1:11" ht="15.75">
      <c r="A11" s="367"/>
      <c r="B11" s="361"/>
      <c r="C11" s="368"/>
      <c r="D11" s="361"/>
      <c r="E11" s="368"/>
      <c r="F11" s="361"/>
      <c r="G11" s="368" t="s">
        <v>585</v>
      </c>
      <c r="H11" s="361">
        <v>518</v>
      </c>
      <c r="I11" s="369" t="s">
        <v>867</v>
      </c>
      <c r="J11" s="361"/>
      <c r="K11" s="349"/>
    </row>
    <row r="12" spans="1:11" ht="15.75">
      <c r="A12" s="367"/>
      <c r="B12" s="361"/>
      <c r="C12" s="367"/>
      <c r="D12" s="361"/>
      <c r="E12" s="370"/>
      <c r="F12" s="361"/>
      <c r="G12" s="370" t="s">
        <v>867</v>
      </c>
      <c r="H12" s="361"/>
      <c r="I12" s="370"/>
      <c r="J12" s="361"/>
      <c r="K12" s="349"/>
    </row>
    <row r="13" spans="1:11" ht="15.75">
      <c r="A13" s="371"/>
      <c r="B13" s="361"/>
      <c r="C13" s="372"/>
      <c r="D13" s="361"/>
      <c r="E13" s="372"/>
      <c r="F13" s="361"/>
      <c r="G13" s="372"/>
      <c r="H13" s="361"/>
      <c r="I13" s="369"/>
      <c r="J13" s="361"/>
      <c r="K13" s="349"/>
    </row>
    <row r="14" spans="1:11" ht="15.75">
      <c r="A14" s="367"/>
      <c r="B14" s="361"/>
      <c r="C14" s="370"/>
      <c r="D14" s="361"/>
      <c r="E14" s="370"/>
      <c r="F14" s="361"/>
      <c r="G14" s="370"/>
      <c r="H14" s="361"/>
      <c r="I14" s="370"/>
      <c r="J14" s="361"/>
      <c r="K14" s="349"/>
    </row>
    <row r="15" spans="1:11" ht="15.75">
      <c r="A15" s="367"/>
      <c r="B15" s="361"/>
      <c r="C15" s="370"/>
      <c r="D15" s="361"/>
      <c r="E15" s="370"/>
      <c r="F15" s="361"/>
      <c r="G15" s="370"/>
      <c r="H15" s="361"/>
      <c r="I15" s="370"/>
      <c r="J15" s="361"/>
      <c r="K15" s="349"/>
    </row>
    <row r="16" spans="1:11" ht="15.75">
      <c r="A16" s="367"/>
      <c r="B16" s="361"/>
      <c r="C16" s="367"/>
      <c r="D16" s="361"/>
      <c r="E16" s="367"/>
      <c r="F16" s="361"/>
      <c r="G16" s="370"/>
      <c r="H16" s="361"/>
      <c r="I16" s="367"/>
      <c r="J16" s="361"/>
      <c r="K16" s="349"/>
    </row>
    <row r="17" spans="1:11" ht="15.75">
      <c r="A17" s="364" t="s">
        <v>918</v>
      </c>
      <c r="B17" s="373">
        <f>SUM(B9:B16)</f>
        <v>447000</v>
      </c>
      <c r="C17" s="364" t="s">
        <v>918</v>
      </c>
      <c r="D17" s="363">
        <f>SUM(D9:D16)</f>
        <v>141000</v>
      </c>
      <c r="E17" s="364" t="s">
        <v>918</v>
      </c>
      <c r="F17" s="439">
        <f>SUM(F9:F16)</f>
        <v>16618</v>
      </c>
      <c r="G17" s="364" t="s">
        <v>918</v>
      </c>
      <c r="H17" s="363">
        <f>SUM(H9:H16)</f>
        <v>4425</v>
      </c>
      <c r="I17" s="364" t="s">
        <v>918</v>
      </c>
      <c r="J17" s="363">
        <f>SUM(J9:J16)</f>
        <v>49031</v>
      </c>
      <c r="K17" s="363">
        <f>SUM(B17+D17+F17+H17+J17)</f>
        <v>658074</v>
      </c>
    </row>
    <row r="18" spans="1:11" ht="15.75">
      <c r="A18" s="364" t="s">
        <v>919</v>
      </c>
      <c r="B18" s="373">
        <f>SUM(B7+B17)</f>
        <v>601926</v>
      </c>
      <c r="C18" s="364" t="s">
        <v>919</v>
      </c>
      <c r="D18" s="363">
        <f>SUM(D7+D17)</f>
        <v>454044</v>
      </c>
      <c r="E18" s="364" t="s">
        <v>919</v>
      </c>
      <c r="F18" s="363">
        <f>SUM(F7+F17)</f>
        <v>23114</v>
      </c>
      <c r="G18" s="364" t="s">
        <v>919</v>
      </c>
      <c r="H18" s="363">
        <f>SUM(H7+H17)</f>
        <v>11807</v>
      </c>
      <c r="I18" s="364" t="s">
        <v>919</v>
      </c>
      <c r="J18" s="363">
        <f>SUM(J7+J17)</f>
        <v>65844</v>
      </c>
      <c r="K18" s="363">
        <f>SUM(B18+D18+F18+H18+J18)</f>
        <v>1156735</v>
      </c>
    </row>
    <row r="19" spans="1:11" ht="15.75">
      <c r="A19" s="364" t="s">
        <v>921</v>
      </c>
      <c r="B19" s="365"/>
      <c r="C19" s="364" t="s">
        <v>921</v>
      </c>
      <c r="D19" s="366"/>
      <c r="E19" s="364" t="s">
        <v>921</v>
      </c>
      <c r="F19" s="349"/>
      <c r="G19" s="364" t="s">
        <v>921</v>
      </c>
      <c r="H19" s="122"/>
      <c r="I19" s="364" t="s">
        <v>921</v>
      </c>
      <c r="J19" s="122"/>
      <c r="K19" s="349"/>
    </row>
    <row r="20" spans="1:11" ht="15.75">
      <c r="A20" s="367" t="s">
        <v>557</v>
      </c>
      <c r="B20" s="361"/>
      <c r="C20" s="370" t="s">
        <v>559</v>
      </c>
      <c r="D20" s="361">
        <v>309894</v>
      </c>
      <c r="E20" s="370" t="s">
        <v>867</v>
      </c>
      <c r="F20" s="361">
        <v>16411</v>
      </c>
      <c r="G20" s="370" t="s">
        <v>556</v>
      </c>
      <c r="H20" s="361"/>
      <c r="I20" s="370" t="s">
        <v>556</v>
      </c>
      <c r="J20" s="361">
        <v>44424</v>
      </c>
      <c r="K20" s="349"/>
    </row>
    <row r="21" spans="1:11" ht="15.75">
      <c r="A21" s="367" t="s">
        <v>558</v>
      </c>
      <c r="B21" s="361">
        <v>55194</v>
      </c>
      <c r="C21" s="370"/>
      <c r="D21" s="361"/>
      <c r="E21" s="370"/>
      <c r="F21" s="361"/>
      <c r="G21" s="370" t="s">
        <v>557</v>
      </c>
      <c r="H21" s="361">
        <v>334</v>
      </c>
      <c r="I21" s="370" t="s">
        <v>557</v>
      </c>
      <c r="J21" s="361">
        <v>13744</v>
      </c>
      <c r="K21" s="349"/>
    </row>
    <row r="22" spans="1:11" ht="15.75">
      <c r="A22" s="367"/>
      <c r="B22" s="361"/>
      <c r="C22" s="372"/>
      <c r="D22" s="361"/>
      <c r="E22" s="372"/>
      <c r="F22" s="361"/>
      <c r="G22" s="372" t="s">
        <v>558</v>
      </c>
      <c r="H22" s="361">
        <v>3591</v>
      </c>
      <c r="I22" s="369" t="s">
        <v>558</v>
      </c>
      <c r="J22" s="361">
        <v>342</v>
      </c>
      <c r="K22" s="349"/>
    </row>
    <row r="23" spans="1:11" ht="15.75">
      <c r="A23" s="367"/>
      <c r="B23" s="361"/>
      <c r="C23" s="370"/>
      <c r="D23" s="361"/>
      <c r="E23" s="370"/>
      <c r="F23" s="361"/>
      <c r="G23" s="370" t="s">
        <v>559</v>
      </c>
      <c r="H23" s="361"/>
      <c r="I23" s="370" t="s">
        <v>559</v>
      </c>
      <c r="J23" s="361"/>
      <c r="K23" s="349"/>
    </row>
    <row r="24" spans="1:11" ht="15.75">
      <c r="A24" s="367"/>
      <c r="B24" s="361"/>
      <c r="C24" s="372"/>
      <c r="D24" s="361"/>
      <c r="E24" s="372"/>
      <c r="F24" s="361"/>
      <c r="G24" s="372"/>
      <c r="H24" s="361"/>
      <c r="I24" s="369"/>
      <c r="J24" s="361"/>
      <c r="K24" s="349"/>
    </row>
    <row r="25" spans="1:11" ht="15.75">
      <c r="A25" s="367"/>
      <c r="B25" s="361"/>
      <c r="C25" s="370"/>
      <c r="D25" s="361"/>
      <c r="E25" s="370"/>
      <c r="F25" s="361"/>
      <c r="G25" s="370"/>
      <c r="H25" s="361"/>
      <c r="I25" s="370"/>
      <c r="J25" s="361"/>
      <c r="K25" s="349"/>
    </row>
    <row r="26" spans="1:11" ht="15.75">
      <c r="A26" s="367"/>
      <c r="B26" s="361"/>
      <c r="C26" s="370"/>
      <c r="D26" s="361"/>
      <c r="E26" s="370"/>
      <c r="F26" s="361"/>
      <c r="G26" s="370"/>
      <c r="H26" s="361"/>
      <c r="I26" s="370"/>
      <c r="J26" s="361"/>
      <c r="K26" s="349"/>
    </row>
    <row r="27" spans="1:11" ht="15.75">
      <c r="A27" s="367"/>
      <c r="B27" s="361"/>
      <c r="C27" s="367"/>
      <c r="D27" s="361"/>
      <c r="E27" s="367"/>
      <c r="F27" s="361"/>
      <c r="G27" s="370"/>
      <c r="H27" s="361"/>
      <c r="I27" s="370"/>
      <c r="J27" s="361"/>
      <c r="K27" s="349"/>
    </row>
    <row r="28" spans="1:11" ht="15.75">
      <c r="A28" s="364" t="s">
        <v>922</v>
      </c>
      <c r="B28" s="363">
        <f>SUM(B20:B27)</f>
        <v>55194</v>
      </c>
      <c r="C28" s="364" t="s">
        <v>922</v>
      </c>
      <c r="D28" s="363">
        <f>SUM(D20:D27)</f>
        <v>309894</v>
      </c>
      <c r="E28" s="364" t="s">
        <v>922</v>
      </c>
      <c r="F28" s="439">
        <f>SUM(F20:F27)</f>
        <v>16411</v>
      </c>
      <c r="G28" s="364" t="s">
        <v>922</v>
      </c>
      <c r="H28" s="439">
        <f>SUM(H20:H27)</f>
        <v>3925</v>
      </c>
      <c r="I28" s="364" t="s">
        <v>922</v>
      </c>
      <c r="J28" s="363">
        <f>SUM(J20:J27)</f>
        <v>58510</v>
      </c>
      <c r="K28" s="363">
        <f>SUM(B28+D28+F28+H28+J28)</f>
        <v>443934</v>
      </c>
    </row>
    <row r="29" spans="1:12" ht="15.75">
      <c r="A29" s="364" t="s">
        <v>198</v>
      </c>
      <c r="B29" s="363">
        <f>B18-B28</f>
        <v>546732</v>
      </c>
      <c r="C29" s="364" t="s">
        <v>198</v>
      </c>
      <c r="D29" s="363">
        <f>D18-D28</f>
        <v>144150</v>
      </c>
      <c r="E29" s="364" t="s">
        <v>198</v>
      </c>
      <c r="F29" s="363">
        <f>F18-F28</f>
        <v>6703</v>
      </c>
      <c r="G29" s="364" t="s">
        <v>198</v>
      </c>
      <c r="H29" s="363">
        <f>H18-H28</f>
        <v>7882</v>
      </c>
      <c r="I29" s="364" t="s">
        <v>198</v>
      </c>
      <c r="J29" s="363">
        <f>J18-J28</f>
        <v>7334</v>
      </c>
      <c r="K29" s="374">
        <f>SUM(B29+D29+F29+H29+J29)</f>
        <v>712801</v>
      </c>
      <c r="L29" s="70" t="s">
        <v>235</v>
      </c>
    </row>
    <row r="30" spans="1:12" ht="15.75">
      <c r="A30" s="364"/>
      <c r="B30" s="405">
        <f>IF(B29&lt;0,"See Tab B","")</f>
      </c>
      <c r="C30" s="364"/>
      <c r="D30" s="405">
        <f>IF(D29&lt;0,"See Tab B","")</f>
      </c>
      <c r="E30" s="364"/>
      <c r="F30" s="405">
        <f>IF(F29&lt;0,"See Tab B","")</f>
      </c>
      <c r="G30" s="122"/>
      <c r="H30" s="405">
        <f>IF(H29&lt;0,"See Tab B","")</f>
      </c>
      <c r="I30" s="122"/>
      <c r="J30" s="405">
        <f>IF(J29&lt;0,"See Tab B","")</f>
      </c>
      <c r="K30" s="374">
        <f>SUM(K7+K17-K28)</f>
        <v>712801</v>
      </c>
      <c r="L30" s="70" t="s">
        <v>235</v>
      </c>
    </row>
    <row r="31" spans="1:11" ht="15.75">
      <c r="A31" s="122"/>
      <c r="B31" s="375"/>
      <c r="C31" s="122"/>
      <c r="D31" s="349"/>
      <c r="E31" s="122"/>
      <c r="F31" s="122"/>
      <c r="G31" s="79" t="s">
        <v>236</v>
      </c>
      <c r="H31" s="79"/>
      <c r="I31" s="79"/>
      <c r="J31" s="79"/>
      <c r="K31" s="122"/>
    </row>
    <row r="32" spans="1:11" ht="15.75">
      <c r="A32" s="122"/>
      <c r="B32" s="375"/>
      <c r="C32" s="122"/>
      <c r="D32" s="122"/>
      <c r="E32" s="122"/>
      <c r="F32" s="122"/>
      <c r="G32" s="122"/>
      <c r="H32" s="122"/>
      <c r="I32" s="122"/>
      <c r="J32" s="122"/>
      <c r="K32" s="122"/>
    </row>
    <row r="33" spans="1:11" ht="15.75">
      <c r="A33" s="122"/>
      <c r="B33" s="375"/>
      <c r="C33" s="122"/>
      <c r="D33" s="122"/>
      <c r="E33" s="122"/>
      <c r="F33" s="122"/>
      <c r="G33" s="122"/>
      <c r="H33" s="122"/>
      <c r="I33" s="122"/>
      <c r="J33" s="122"/>
      <c r="K33" s="122"/>
    </row>
    <row r="34" spans="1:11" ht="15.75">
      <c r="A34" s="122"/>
      <c r="B34" s="375"/>
      <c r="C34" s="122"/>
      <c r="D34" s="122"/>
      <c r="E34" s="122"/>
      <c r="F34" s="122"/>
      <c r="G34" s="122"/>
      <c r="H34" s="122"/>
      <c r="I34" s="122"/>
      <c r="J34" s="122"/>
      <c r="K34" s="122"/>
    </row>
    <row r="35" spans="1:11" ht="15.75">
      <c r="A35" s="122"/>
      <c r="B35" s="375"/>
      <c r="C35" s="122"/>
      <c r="D35" s="122"/>
      <c r="E35" s="122"/>
      <c r="F35" s="122"/>
      <c r="G35" s="122"/>
      <c r="H35" s="122"/>
      <c r="I35" s="122"/>
      <c r="J35" s="122"/>
      <c r="K35" s="122"/>
    </row>
    <row r="36" spans="1:11" ht="15.75">
      <c r="A36" s="122"/>
      <c r="B36" s="375"/>
      <c r="C36" s="122"/>
      <c r="D36" s="122"/>
      <c r="E36" s="122"/>
      <c r="F36" s="122"/>
      <c r="G36" s="122"/>
      <c r="H36" s="122"/>
      <c r="I36" s="122"/>
      <c r="J36" s="122"/>
      <c r="K36" s="122"/>
    </row>
    <row r="37" spans="1:11" ht="15.75">
      <c r="A37" s="122"/>
      <c r="B37" s="375"/>
      <c r="C37" s="122"/>
      <c r="D37" s="122"/>
      <c r="E37" s="122"/>
      <c r="F37" s="122"/>
      <c r="G37" s="122"/>
      <c r="H37" s="122"/>
      <c r="I37" s="122"/>
      <c r="J37" s="122"/>
      <c r="K37" s="122"/>
    </row>
    <row r="38" spans="1:11" ht="15.75">
      <c r="A38" s="122"/>
      <c r="B38" s="375"/>
      <c r="C38" s="122"/>
      <c r="D38" s="122"/>
      <c r="E38" s="122"/>
      <c r="F38" s="122"/>
      <c r="G38" s="122"/>
      <c r="H38" s="122"/>
      <c r="I38" s="122"/>
      <c r="J38" s="122"/>
      <c r="K38" s="122"/>
    </row>
    <row r="39" spans="1:11" ht="15.75">
      <c r="A39" s="122"/>
      <c r="B39" s="375"/>
      <c r="C39" s="122"/>
      <c r="D39" s="122"/>
      <c r="E39" s="317" t="s">
        <v>940</v>
      </c>
      <c r="F39" s="343">
        <v>16</v>
      </c>
      <c r="G39" s="122"/>
      <c r="H39" s="122"/>
      <c r="I39" s="122"/>
      <c r="J39" s="122"/>
      <c r="K39" s="122"/>
    </row>
    <row r="40" ht="15.75">
      <c r="B40" s="376"/>
    </row>
    <row r="41" ht="15.75">
      <c r="B41" s="376"/>
    </row>
    <row r="42" ht="15.75">
      <c r="B42" s="376"/>
    </row>
    <row r="43" ht="15.75">
      <c r="B43" s="376"/>
    </row>
    <row r="44" ht="15.75">
      <c r="B44" s="376"/>
    </row>
    <row r="45" ht="15.75">
      <c r="B45" s="376"/>
    </row>
    <row r="46" ht="15.75">
      <c r="B46" s="376"/>
    </row>
    <row r="47" ht="15.75">
      <c r="B47" s="376"/>
    </row>
  </sheetData>
  <sheetProtection/>
  <mergeCells count="5">
    <mergeCell ref="I5:J5"/>
    <mergeCell ref="A5:B5"/>
    <mergeCell ref="C5:D5"/>
    <mergeCell ref="E5:F5"/>
    <mergeCell ref="G5:H5"/>
  </mergeCells>
  <printOptions/>
  <pageMargins left="0.6" right="0.75" top="1" bottom="0.66" header="0.5" footer="0.5"/>
  <pageSetup blackAndWhite="1" horizontalDpi="600" verticalDpi="600" orientation="landscape" scale="90" r:id="rId1"/>
  <headerFooter alignWithMargins="0">
    <oddHeader>&amp;RState of Kansas
County</oddHeader>
  </headerFooter>
</worksheet>
</file>

<file path=xl/worksheets/sheet24.xml><?xml version="1.0" encoding="utf-8"?>
<worksheet xmlns="http://schemas.openxmlformats.org/spreadsheetml/2006/main" xmlns:r="http://schemas.openxmlformats.org/officeDocument/2006/relationships">
  <dimension ref="A1:L47"/>
  <sheetViews>
    <sheetView view="pageBreakPreview" zoomScaleSheetLayoutView="100" zoomScalePageLayoutView="0" workbookViewId="0" topLeftCell="A1">
      <selection activeCell="E52" sqref="E52"/>
    </sheetView>
  </sheetViews>
  <sheetFormatPr defaultColWidth="8.796875" defaultRowHeight="15"/>
  <cols>
    <col min="1" max="1" width="11.59765625" style="70" customWidth="1"/>
    <col min="2" max="2" width="7.3984375" style="70" customWidth="1"/>
    <col min="3" max="3" width="11.59765625" style="70" customWidth="1"/>
    <col min="4" max="4" width="7.3984375" style="70" customWidth="1"/>
    <col min="5" max="5" width="11.59765625" style="70" customWidth="1"/>
    <col min="6" max="6" width="7.3984375" style="70" customWidth="1"/>
    <col min="7" max="7" width="11.59765625" style="70" customWidth="1"/>
    <col min="8" max="8" width="7.3984375" style="70" customWidth="1"/>
    <col min="9" max="9" width="11.59765625" style="70" customWidth="1"/>
    <col min="10" max="16384" width="8.8984375" style="70" customWidth="1"/>
  </cols>
  <sheetData>
    <row r="1" spans="1:11" ht="15.75">
      <c r="A1" s="141" t="str">
        <f>inputPrYr!$C$2</f>
        <v>Gove County</v>
      </c>
      <c r="B1" s="349"/>
      <c r="C1" s="122"/>
      <c r="D1" s="122"/>
      <c r="E1" s="122"/>
      <c r="F1" s="350" t="s">
        <v>199</v>
      </c>
      <c r="G1" s="122"/>
      <c r="H1" s="122"/>
      <c r="I1" s="122"/>
      <c r="J1" s="122"/>
      <c r="K1" s="122">
        <f>inputPrYr!$C$4</f>
        <v>2014</v>
      </c>
    </row>
    <row r="2" spans="1:11" ht="15.75">
      <c r="A2" s="122"/>
      <c r="B2" s="122"/>
      <c r="C2" s="122"/>
      <c r="D2" s="122"/>
      <c r="E2" s="122"/>
      <c r="F2" s="351" t="str">
        <f>CONCATENATE("(Only the actual budget year for ",K1-2," is to be shown)")</f>
        <v>(Only the actual budget year for 2012 is to be shown)</v>
      </c>
      <c r="G2" s="122"/>
      <c r="H2" s="122"/>
      <c r="I2" s="122"/>
      <c r="J2" s="122"/>
      <c r="K2" s="122"/>
    </row>
    <row r="3" spans="1:11" ht="15.75">
      <c r="A3" s="122" t="s">
        <v>200</v>
      </c>
      <c r="B3" s="122"/>
      <c r="C3" s="122"/>
      <c r="D3" s="122"/>
      <c r="E3" s="122"/>
      <c r="F3" s="349"/>
      <c r="G3" s="122"/>
      <c r="H3" s="122"/>
      <c r="I3" s="122"/>
      <c r="J3" s="122"/>
      <c r="K3" s="122"/>
    </row>
    <row r="4" spans="1:11" ht="15.75">
      <c r="A4" s="122" t="s">
        <v>192</v>
      </c>
      <c r="B4" s="122"/>
      <c r="C4" s="122" t="s">
        <v>193</v>
      </c>
      <c r="D4" s="122"/>
      <c r="E4" s="122" t="s">
        <v>194</v>
      </c>
      <c r="F4" s="349"/>
      <c r="G4" s="122" t="s">
        <v>195</v>
      </c>
      <c r="H4" s="122"/>
      <c r="I4" s="122" t="s">
        <v>196</v>
      </c>
      <c r="J4" s="122"/>
      <c r="K4" s="122"/>
    </row>
    <row r="5" spans="1:11" ht="15.75">
      <c r="A5" s="810" t="str">
        <f>IF(inputPrYr!B68&gt;" ",(inputPrYr!B68)," ")</f>
        <v>Sheriff Relief</v>
      </c>
      <c r="B5" s="811"/>
      <c r="C5" s="810" t="str">
        <f>IF(inputPrYr!B69&gt;" ",(inputPrYr!B69)," ")</f>
        <v>DEA Sheriff</v>
      </c>
      <c r="D5" s="811"/>
      <c r="E5" s="810" t="str">
        <f>IF(inputPrYr!B70&gt;" ",(inputPrYr!B70)," ")</f>
        <v>Diversion Fees</v>
      </c>
      <c r="F5" s="811"/>
      <c r="G5" s="810" t="str">
        <f>IF(inputPrYr!B71&gt;" ",(inputPrYr!B71)," ")</f>
        <v>Treasurer Motor Vehicle</v>
      </c>
      <c r="H5" s="811"/>
      <c r="I5" s="810" t="str">
        <f>IF(inputPrYr!B72&gt;" ",(inputPrYr!B72)," ")</f>
        <v>Pros. Attorney Training</v>
      </c>
      <c r="J5" s="811"/>
      <c r="K5" s="353"/>
    </row>
    <row r="6" spans="1:11" ht="15.75">
      <c r="A6" s="354" t="s">
        <v>197</v>
      </c>
      <c r="B6" s="355"/>
      <c r="C6" s="356" t="s">
        <v>197</v>
      </c>
      <c r="D6" s="357"/>
      <c r="E6" s="356" t="s">
        <v>197</v>
      </c>
      <c r="F6" s="352"/>
      <c r="G6" s="356" t="s">
        <v>197</v>
      </c>
      <c r="H6" s="358"/>
      <c r="I6" s="356" t="s">
        <v>197</v>
      </c>
      <c r="J6" s="122"/>
      <c r="K6" s="359" t="s">
        <v>283</v>
      </c>
    </row>
    <row r="7" spans="1:11" ht="15.75">
      <c r="A7" s="360" t="s">
        <v>878</v>
      </c>
      <c r="B7" s="361">
        <v>173</v>
      </c>
      <c r="C7" s="362" t="s">
        <v>878</v>
      </c>
      <c r="D7" s="361">
        <v>458</v>
      </c>
      <c r="E7" s="362" t="s">
        <v>878</v>
      </c>
      <c r="F7" s="361">
        <v>7678</v>
      </c>
      <c r="G7" s="362" t="s">
        <v>878</v>
      </c>
      <c r="H7" s="361">
        <v>11770</v>
      </c>
      <c r="I7" s="362" t="s">
        <v>878</v>
      </c>
      <c r="J7" s="361">
        <v>5383</v>
      </c>
      <c r="K7" s="363">
        <f>SUM(B7+D7+F7+H7+J7)</f>
        <v>25462</v>
      </c>
    </row>
    <row r="8" spans="1:11" ht="15.75">
      <c r="A8" s="364" t="s">
        <v>1030</v>
      </c>
      <c r="B8" s="365"/>
      <c r="C8" s="364" t="s">
        <v>1030</v>
      </c>
      <c r="D8" s="366"/>
      <c r="E8" s="364" t="s">
        <v>1030</v>
      </c>
      <c r="F8" s="349"/>
      <c r="G8" s="364" t="s">
        <v>1030</v>
      </c>
      <c r="H8" s="122"/>
      <c r="I8" s="364" t="s">
        <v>1030</v>
      </c>
      <c r="J8" s="122"/>
      <c r="K8" s="349"/>
    </row>
    <row r="9" spans="1:11" ht="15.75">
      <c r="A9" s="367" t="s">
        <v>867</v>
      </c>
      <c r="B9" s="361"/>
      <c r="C9" s="367" t="s">
        <v>586</v>
      </c>
      <c r="D9" s="361"/>
      <c r="E9" s="367" t="s">
        <v>346</v>
      </c>
      <c r="F9" s="361">
        <v>1225</v>
      </c>
      <c r="G9" s="367" t="s">
        <v>588</v>
      </c>
      <c r="H9" s="361">
        <f>427593-387631-2007</f>
        <v>37955</v>
      </c>
      <c r="I9" s="367" t="s">
        <v>590</v>
      </c>
      <c r="J9" s="361">
        <v>3653</v>
      </c>
      <c r="K9" s="349"/>
    </row>
    <row r="10" spans="1:11" ht="15.75">
      <c r="A10" s="367"/>
      <c r="B10" s="361"/>
      <c r="C10" s="367"/>
      <c r="D10" s="361"/>
      <c r="E10" s="367"/>
      <c r="F10" s="361"/>
      <c r="G10" s="367" t="s">
        <v>587</v>
      </c>
      <c r="H10" s="361">
        <v>775</v>
      </c>
      <c r="I10" s="367"/>
      <c r="J10" s="361"/>
      <c r="K10" s="349"/>
    </row>
    <row r="11" spans="1:11" ht="15.75">
      <c r="A11" s="367"/>
      <c r="B11" s="361"/>
      <c r="C11" s="368"/>
      <c r="D11" s="361"/>
      <c r="E11" s="368"/>
      <c r="F11" s="361"/>
      <c r="G11" s="368" t="s">
        <v>867</v>
      </c>
      <c r="H11" s="361">
        <v>30</v>
      </c>
      <c r="I11" s="369"/>
      <c r="J11" s="361"/>
      <c r="K11" s="349"/>
    </row>
    <row r="12" spans="1:11" ht="15.75">
      <c r="A12" s="367"/>
      <c r="B12" s="361"/>
      <c r="C12" s="367"/>
      <c r="D12" s="361"/>
      <c r="E12" s="370"/>
      <c r="F12" s="361"/>
      <c r="G12" s="370"/>
      <c r="H12" s="361"/>
      <c r="I12" s="370"/>
      <c r="J12" s="361"/>
      <c r="K12" s="349"/>
    </row>
    <row r="13" spans="1:11" ht="15.75">
      <c r="A13" s="371"/>
      <c r="B13" s="361"/>
      <c r="C13" s="372"/>
      <c r="D13" s="361"/>
      <c r="E13" s="372"/>
      <c r="F13" s="361"/>
      <c r="G13" s="372"/>
      <c r="H13" s="361"/>
      <c r="I13" s="369"/>
      <c r="J13" s="361"/>
      <c r="K13" s="349"/>
    </row>
    <row r="14" spans="1:11" ht="15.75">
      <c r="A14" s="367"/>
      <c r="B14" s="361"/>
      <c r="C14" s="370"/>
      <c r="D14" s="361"/>
      <c r="E14" s="370"/>
      <c r="F14" s="361"/>
      <c r="G14" s="370"/>
      <c r="H14" s="361"/>
      <c r="I14" s="370"/>
      <c r="J14" s="361"/>
      <c r="K14" s="349"/>
    </row>
    <row r="15" spans="1:11" ht="15.75">
      <c r="A15" s="367"/>
      <c r="B15" s="361"/>
      <c r="C15" s="370"/>
      <c r="D15" s="361"/>
      <c r="E15" s="370"/>
      <c r="F15" s="361"/>
      <c r="G15" s="370"/>
      <c r="H15" s="361"/>
      <c r="I15" s="370"/>
      <c r="J15" s="361"/>
      <c r="K15" s="349"/>
    </row>
    <row r="16" spans="1:11" ht="15.75">
      <c r="A16" s="367"/>
      <c r="B16" s="361"/>
      <c r="C16" s="367"/>
      <c r="D16" s="361"/>
      <c r="E16" s="367"/>
      <c r="F16" s="361"/>
      <c r="G16" s="370"/>
      <c r="H16" s="361"/>
      <c r="I16" s="367"/>
      <c r="J16" s="361"/>
      <c r="K16" s="349"/>
    </row>
    <row r="17" spans="1:11" ht="15.75">
      <c r="A17" s="364" t="s">
        <v>918</v>
      </c>
      <c r="B17" s="363">
        <f>SUM(B9:B16)</f>
        <v>0</v>
      </c>
      <c r="C17" s="364" t="s">
        <v>918</v>
      </c>
      <c r="D17" s="363">
        <f>SUM(D9:D16)</f>
        <v>0</v>
      </c>
      <c r="E17" s="364" t="s">
        <v>918</v>
      </c>
      <c r="F17" s="439">
        <f>SUM(F9:F16)</f>
        <v>1225</v>
      </c>
      <c r="G17" s="364" t="s">
        <v>918</v>
      </c>
      <c r="H17" s="363">
        <f>SUM(H9:H16)</f>
        <v>38760</v>
      </c>
      <c r="I17" s="364" t="s">
        <v>918</v>
      </c>
      <c r="J17" s="363">
        <f>SUM(J9:J16)</f>
        <v>3653</v>
      </c>
      <c r="K17" s="363">
        <f>SUM(B17+D17+F17+H17+J17)</f>
        <v>43638</v>
      </c>
    </row>
    <row r="18" spans="1:11" ht="15.75">
      <c r="A18" s="364" t="s">
        <v>919</v>
      </c>
      <c r="B18" s="363">
        <f>SUM(B7+B17)</f>
        <v>173</v>
      </c>
      <c r="C18" s="364" t="s">
        <v>919</v>
      </c>
      <c r="D18" s="363">
        <f>SUM(D7+D17)</f>
        <v>458</v>
      </c>
      <c r="E18" s="364" t="s">
        <v>919</v>
      </c>
      <c r="F18" s="363">
        <f>SUM(F7+F17)</f>
        <v>8903</v>
      </c>
      <c r="G18" s="364" t="s">
        <v>919</v>
      </c>
      <c r="H18" s="363">
        <f>SUM(H7+H17)</f>
        <v>50530</v>
      </c>
      <c r="I18" s="364" t="s">
        <v>919</v>
      </c>
      <c r="J18" s="363">
        <f>SUM(J7+J17)</f>
        <v>9036</v>
      </c>
      <c r="K18" s="363">
        <f>SUM(B18+D18+F18+H18+J18)</f>
        <v>69100</v>
      </c>
    </row>
    <row r="19" spans="1:11" ht="15.75">
      <c r="A19" s="364" t="s">
        <v>921</v>
      </c>
      <c r="B19" s="365"/>
      <c r="C19" s="364" t="s">
        <v>921</v>
      </c>
      <c r="D19" s="366"/>
      <c r="E19" s="364" t="s">
        <v>921</v>
      </c>
      <c r="F19" s="349"/>
      <c r="G19" s="364" t="s">
        <v>921</v>
      </c>
      <c r="H19" s="122"/>
      <c r="I19" s="364" t="s">
        <v>921</v>
      </c>
      <c r="J19" s="122"/>
      <c r="K19" s="349"/>
    </row>
    <row r="20" spans="1:11" ht="15.75">
      <c r="A20" s="367" t="s">
        <v>557</v>
      </c>
      <c r="B20" s="361"/>
      <c r="C20" s="370" t="s">
        <v>557</v>
      </c>
      <c r="D20" s="361"/>
      <c r="E20" s="370" t="s">
        <v>557</v>
      </c>
      <c r="F20" s="361">
        <v>240</v>
      </c>
      <c r="G20" s="370" t="s">
        <v>556</v>
      </c>
      <c r="H20" s="361">
        <v>6616</v>
      </c>
      <c r="I20" s="370" t="s">
        <v>591</v>
      </c>
      <c r="J20" s="361">
        <v>2316</v>
      </c>
      <c r="K20" s="349"/>
    </row>
    <row r="21" spans="1:11" ht="15.75">
      <c r="A21" s="367"/>
      <c r="B21" s="361"/>
      <c r="C21" s="370"/>
      <c r="D21" s="361"/>
      <c r="E21" s="370"/>
      <c r="F21" s="361"/>
      <c r="G21" s="370" t="s">
        <v>557</v>
      </c>
      <c r="H21" s="361">
        <v>6905</v>
      </c>
      <c r="I21" s="370" t="s">
        <v>557</v>
      </c>
      <c r="J21" s="361">
        <v>1676</v>
      </c>
      <c r="K21" s="349"/>
    </row>
    <row r="22" spans="1:11" ht="15.75">
      <c r="A22" s="367"/>
      <c r="B22" s="361"/>
      <c r="C22" s="372"/>
      <c r="D22" s="361"/>
      <c r="E22" s="372"/>
      <c r="F22" s="361"/>
      <c r="G22" s="372" t="s">
        <v>558</v>
      </c>
      <c r="H22" s="361">
        <v>1751</v>
      </c>
      <c r="I22" s="369"/>
      <c r="J22" s="361"/>
      <c r="K22" s="349"/>
    </row>
    <row r="23" spans="1:11" ht="15.75">
      <c r="A23" s="367"/>
      <c r="B23" s="361"/>
      <c r="C23" s="370"/>
      <c r="D23" s="361"/>
      <c r="E23" s="370"/>
      <c r="F23" s="361"/>
      <c r="G23" s="370" t="s">
        <v>559</v>
      </c>
      <c r="H23" s="361">
        <v>1708</v>
      </c>
      <c r="I23" s="370"/>
      <c r="J23" s="361"/>
      <c r="K23" s="349"/>
    </row>
    <row r="24" spans="1:11" ht="15.75">
      <c r="A24" s="367"/>
      <c r="B24" s="361"/>
      <c r="C24" s="372"/>
      <c r="D24" s="361"/>
      <c r="E24" s="372"/>
      <c r="F24" s="361"/>
      <c r="G24" s="372" t="s">
        <v>589</v>
      </c>
      <c r="H24" s="361">
        <v>11770</v>
      </c>
      <c r="I24" s="369"/>
      <c r="J24" s="361"/>
      <c r="K24" s="349"/>
    </row>
    <row r="25" spans="1:11" ht="15.75">
      <c r="A25" s="367"/>
      <c r="B25" s="361"/>
      <c r="C25" s="370"/>
      <c r="D25" s="361"/>
      <c r="E25" s="370"/>
      <c r="F25" s="361"/>
      <c r="G25" s="370"/>
      <c r="H25" s="361"/>
      <c r="I25" s="370"/>
      <c r="J25" s="361"/>
      <c r="K25" s="349"/>
    </row>
    <row r="26" spans="1:11" ht="15.75">
      <c r="A26" s="367"/>
      <c r="B26" s="361"/>
      <c r="C26" s="370"/>
      <c r="D26" s="361"/>
      <c r="E26" s="370"/>
      <c r="F26" s="361"/>
      <c r="G26" s="370"/>
      <c r="H26" s="361"/>
      <c r="I26" s="370"/>
      <c r="J26" s="361"/>
      <c r="K26" s="349"/>
    </row>
    <row r="27" spans="1:11" ht="15.75">
      <c r="A27" s="367"/>
      <c r="B27" s="361"/>
      <c r="C27" s="367"/>
      <c r="D27" s="361"/>
      <c r="E27" s="367"/>
      <c r="F27" s="361"/>
      <c r="G27" s="370"/>
      <c r="H27" s="361"/>
      <c r="I27" s="370"/>
      <c r="J27" s="361"/>
      <c r="K27" s="349"/>
    </row>
    <row r="28" spans="1:11" ht="15.75">
      <c r="A28" s="364" t="s">
        <v>922</v>
      </c>
      <c r="B28" s="363">
        <f>SUM(B20:B27)</f>
        <v>0</v>
      </c>
      <c r="C28" s="364" t="s">
        <v>922</v>
      </c>
      <c r="D28" s="363">
        <f>SUM(D20:D27)</f>
        <v>0</v>
      </c>
      <c r="E28" s="364" t="s">
        <v>922</v>
      </c>
      <c r="F28" s="439">
        <f>SUM(F20:F27)</f>
        <v>240</v>
      </c>
      <c r="G28" s="364" t="s">
        <v>922</v>
      </c>
      <c r="H28" s="439">
        <f>SUM(H20:H27)</f>
        <v>28750</v>
      </c>
      <c r="I28" s="364" t="s">
        <v>922</v>
      </c>
      <c r="J28" s="363">
        <f>SUM(J20:J27)</f>
        <v>3992</v>
      </c>
      <c r="K28" s="363">
        <f>SUM(B28+D28+F28+H28+J28)</f>
        <v>32982</v>
      </c>
    </row>
    <row r="29" spans="1:12" ht="15.75">
      <c r="A29" s="364" t="s">
        <v>198</v>
      </c>
      <c r="B29" s="363">
        <f>B18-B28</f>
        <v>173</v>
      </c>
      <c r="C29" s="364" t="s">
        <v>198</v>
      </c>
      <c r="D29" s="363">
        <f>D18-D28</f>
        <v>458</v>
      </c>
      <c r="E29" s="364" t="s">
        <v>198</v>
      </c>
      <c r="F29" s="363">
        <f>F18-F28</f>
        <v>8663</v>
      </c>
      <c r="G29" s="364" t="s">
        <v>198</v>
      </c>
      <c r="H29" s="363">
        <f>H18-H28</f>
        <v>21780</v>
      </c>
      <c r="I29" s="364" t="s">
        <v>198</v>
      </c>
      <c r="J29" s="363">
        <f>J18-J28</f>
        <v>5044</v>
      </c>
      <c r="K29" s="374">
        <f>SUM(B29+D29+F29+H29+J29)</f>
        <v>36118</v>
      </c>
      <c r="L29" s="70" t="s">
        <v>235</v>
      </c>
    </row>
    <row r="30" spans="1:12" ht="15.75">
      <c r="A30" s="364"/>
      <c r="B30" s="405">
        <f>IF(B29&lt;0,"See Tab B","")</f>
      </c>
      <c r="C30" s="364"/>
      <c r="D30" s="405">
        <f>IF(D29&lt;0,"See Tab B","")</f>
      </c>
      <c r="E30" s="364"/>
      <c r="F30" s="405">
        <f>IF(F29&lt;0,"See Tab B","")</f>
      </c>
      <c r="G30" s="122"/>
      <c r="H30" s="405">
        <f>IF(H29&lt;0,"See Tab B","")</f>
      </c>
      <c r="I30" s="122"/>
      <c r="J30" s="405">
        <f>IF(J29&lt;0,"See Tab B","")</f>
      </c>
      <c r="K30" s="374">
        <f>SUM(K7+K17-K28)</f>
        <v>36118</v>
      </c>
      <c r="L30" s="70" t="s">
        <v>235</v>
      </c>
    </row>
    <row r="31" spans="1:11" ht="15.75">
      <c r="A31" s="122"/>
      <c r="B31" s="375"/>
      <c r="C31" s="122"/>
      <c r="D31" s="349"/>
      <c r="E31" s="122"/>
      <c r="F31" s="122"/>
      <c r="G31" s="79" t="s">
        <v>236</v>
      </c>
      <c r="H31" s="79"/>
      <c r="I31" s="79"/>
      <c r="J31" s="79"/>
      <c r="K31" s="122"/>
    </row>
    <row r="32" spans="1:11" ht="15.75">
      <c r="A32" s="122"/>
      <c r="B32" s="375"/>
      <c r="C32" s="122"/>
      <c r="D32" s="122"/>
      <c r="E32" s="122"/>
      <c r="F32" s="122"/>
      <c r="G32" s="122"/>
      <c r="H32" s="122"/>
      <c r="I32" s="122"/>
      <c r="J32" s="122"/>
      <c r="K32" s="122"/>
    </row>
    <row r="33" spans="1:11" ht="15.75">
      <c r="A33" s="122"/>
      <c r="B33" s="375"/>
      <c r="C33" s="122"/>
      <c r="D33" s="122"/>
      <c r="E33" s="122"/>
      <c r="F33" s="122"/>
      <c r="G33" s="122"/>
      <c r="H33" s="122"/>
      <c r="I33" s="122"/>
      <c r="J33" s="122"/>
      <c r="K33" s="122"/>
    </row>
    <row r="34" spans="1:11" ht="15.75">
      <c r="A34" s="122"/>
      <c r="B34" s="375"/>
      <c r="C34" s="122"/>
      <c r="D34" s="122"/>
      <c r="E34" s="122"/>
      <c r="F34" s="122"/>
      <c r="G34" s="122"/>
      <c r="H34" s="122"/>
      <c r="I34" s="122"/>
      <c r="J34" s="122"/>
      <c r="K34" s="122"/>
    </row>
    <row r="35" spans="1:11" ht="15.75">
      <c r="A35" s="122"/>
      <c r="B35" s="375"/>
      <c r="C35" s="122"/>
      <c r="D35" s="122"/>
      <c r="E35" s="122"/>
      <c r="F35" s="122"/>
      <c r="G35" s="122"/>
      <c r="H35" s="122"/>
      <c r="I35" s="122"/>
      <c r="J35" s="122"/>
      <c r="K35" s="122"/>
    </row>
    <row r="36" spans="1:11" ht="15.75">
      <c r="A36" s="122"/>
      <c r="B36" s="375"/>
      <c r="C36" s="122"/>
      <c r="D36" s="122"/>
      <c r="E36" s="122"/>
      <c r="F36" s="122"/>
      <c r="G36" s="122"/>
      <c r="H36" s="122"/>
      <c r="I36" s="122"/>
      <c r="J36" s="122"/>
      <c r="K36" s="122"/>
    </row>
    <row r="37" spans="1:11" ht="15.75">
      <c r="A37" s="122"/>
      <c r="B37" s="375"/>
      <c r="C37" s="122"/>
      <c r="D37" s="122"/>
      <c r="E37" s="122"/>
      <c r="F37" s="122"/>
      <c r="G37" s="122"/>
      <c r="H37" s="122"/>
      <c r="I37" s="122"/>
      <c r="J37" s="122"/>
      <c r="K37" s="122"/>
    </row>
    <row r="38" spans="1:11" ht="15.75">
      <c r="A38" s="122"/>
      <c r="B38" s="375"/>
      <c r="C38" s="122"/>
      <c r="D38" s="122"/>
      <c r="E38" s="122"/>
      <c r="F38" s="122"/>
      <c r="G38" s="122"/>
      <c r="H38" s="122"/>
      <c r="I38" s="122"/>
      <c r="J38" s="122"/>
      <c r="K38" s="122"/>
    </row>
    <row r="39" spans="1:11" ht="15.75">
      <c r="A39" s="122"/>
      <c r="B39" s="375"/>
      <c r="C39" s="122"/>
      <c r="D39" s="122"/>
      <c r="E39" s="317" t="s">
        <v>940</v>
      </c>
      <c r="F39" s="343">
        <v>17</v>
      </c>
      <c r="G39" s="122"/>
      <c r="H39" s="122"/>
      <c r="I39" s="122"/>
      <c r="J39" s="122"/>
      <c r="K39" s="122"/>
    </row>
    <row r="40" ht="15.75">
      <c r="B40" s="376"/>
    </row>
    <row r="41" ht="15.75">
      <c r="B41" s="376"/>
    </row>
    <row r="42" ht="15.75">
      <c r="B42" s="376"/>
    </row>
    <row r="43" ht="15.75">
      <c r="B43" s="376"/>
    </row>
    <row r="44" ht="15.75">
      <c r="B44" s="376"/>
    </row>
    <row r="45" ht="15.75">
      <c r="B45" s="376"/>
    </row>
    <row r="46" ht="15.75">
      <c r="B46" s="376"/>
    </row>
    <row r="47" ht="15.75">
      <c r="B47" s="376"/>
    </row>
  </sheetData>
  <sheetProtection/>
  <mergeCells count="5">
    <mergeCell ref="I5:J5"/>
    <mergeCell ref="A5:B5"/>
    <mergeCell ref="C5:D5"/>
    <mergeCell ref="E5:F5"/>
    <mergeCell ref="G5:H5"/>
  </mergeCells>
  <printOptions/>
  <pageMargins left="0.56" right="0.75" top="1" bottom="0.7" header="0.5" footer="0.5"/>
  <pageSetup blackAndWhite="1" horizontalDpi="600" verticalDpi="600" orientation="landscape" scale="90" r:id="rId1"/>
  <headerFooter alignWithMargins="0">
    <oddHeader>&amp;RState of Kansas
County</oddHeader>
  </headerFooter>
</worksheet>
</file>

<file path=xl/worksheets/sheet25.xml><?xml version="1.0" encoding="utf-8"?>
<worksheet xmlns="http://schemas.openxmlformats.org/spreadsheetml/2006/main" xmlns:r="http://schemas.openxmlformats.org/officeDocument/2006/relationships">
  <dimension ref="A1:L47"/>
  <sheetViews>
    <sheetView view="pageBreakPreview" zoomScale="60" zoomScalePageLayoutView="0" workbookViewId="0" topLeftCell="A1">
      <selection activeCell="E52" sqref="E52"/>
    </sheetView>
  </sheetViews>
  <sheetFormatPr defaultColWidth="8.796875" defaultRowHeight="15"/>
  <cols>
    <col min="1" max="1" width="11.59765625" style="70" customWidth="1"/>
    <col min="2" max="2" width="7.3984375" style="70" customWidth="1"/>
    <col min="3" max="3" width="11.59765625" style="70" customWidth="1"/>
    <col min="4" max="4" width="7.3984375" style="70" customWidth="1"/>
    <col min="5" max="5" width="11.59765625" style="70" customWidth="1"/>
    <col min="6" max="6" width="7.3984375" style="70" customWidth="1"/>
    <col min="7" max="7" width="11.59765625" style="70" customWidth="1"/>
    <col min="8" max="8" width="7.3984375" style="70" customWidth="1"/>
    <col min="9" max="9" width="11.59765625" style="70" customWidth="1"/>
    <col min="10" max="16384" width="8.8984375" style="70" customWidth="1"/>
  </cols>
  <sheetData>
    <row r="1" spans="1:11" ht="15.75">
      <c r="A1" s="141" t="str">
        <f>inputPrYr!$C$2</f>
        <v>Gove County</v>
      </c>
      <c r="B1" s="349"/>
      <c r="C1" s="122"/>
      <c r="D1" s="122"/>
      <c r="E1" s="122"/>
      <c r="F1" s="350" t="s">
        <v>201</v>
      </c>
      <c r="G1" s="122"/>
      <c r="H1" s="122"/>
      <c r="I1" s="122"/>
      <c r="J1" s="122"/>
      <c r="K1" s="122">
        <f>inputPrYr!$C$4</f>
        <v>2014</v>
      </c>
    </row>
    <row r="2" spans="1:11" ht="15.75">
      <c r="A2" s="122"/>
      <c r="B2" s="122"/>
      <c r="C2" s="122"/>
      <c r="D2" s="122"/>
      <c r="E2" s="122"/>
      <c r="F2" s="351" t="str">
        <f>CONCATENATE("(Only the actual budget year for ",K1-2," is to be shown)")</f>
        <v>(Only the actual budget year for 2012 is to be shown)</v>
      </c>
      <c r="G2" s="122"/>
      <c r="H2" s="122"/>
      <c r="I2" s="122"/>
      <c r="J2" s="122"/>
      <c r="K2" s="122"/>
    </row>
    <row r="3" spans="1:11" ht="15.75">
      <c r="A3" s="122" t="s">
        <v>202</v>
      </c>
      <c r="B3" s="122"/>
      <c r="C3" s="122"/>
      <c r="D3" s="122"/>
      <c r="E3" s="122"/>
      <c r="F3" s="349"/>
      <c r="G3" s="122"/>
      <c r="H3" s="122"/>
      <c r="I3" s="122"/>
      <c r="J3" s="122"/>
      <c r="K3" s="122"/>
    </row>
    <row r="4" spans="1:11" ht="15.75">
      <c r="A4" s="122" t="s">
        <v>192</v>
      </c>
      <c r="B4" s="122"/>
      <c r="C4" s="122" t="s">
        <v>193</v>
      </c>
      <c r="D4" s="122"/>
      <c r="E4" s="122" t="s">
        <v>194</v>
      </c>
      <c r="F4" s="349"/>
      <c r="G4" s="122" t="s">
        <v>195</v>
      </c>
      <c r="H4" s="122"/>
      <c r="I4" s="122" t="s">
        <v>196</v>
      </c>
      <c r="J4" s="122"/>
      <c r="K4" s="122"/>
    </row>
    <row r="5" spans="1:11" ht="15.75">
      <c r="A5" s="810" t="str">
        <f>IF(inputPrYr!B74&gt;" ",(inputPrYr!B74)," ")</f>
        <v>Attorney's Trust</v>
      </c>
      <c r="B5" s="811"/>
      <c r="C5" s="810" t="str">
        <f>IF(inputPrYr!B75&gt;" ",(inputPrYr!B75)," ")</f>
        <v>Sheriff's Spec. Law Enf.</v>
      </c>
      <c r="D5" s="811"/>
      <c r="E5" s="810" t="str">
        <f>IF(inputPrYr!B76&gt;" ",(inputPrYr!B76)," ")</f>
        <v>Concealed Carry</v>
      </c>
      <c r="F5" s="811"/>
      <c r="G5" s="810" t="str">
        <f>IF(inputPrYr!B77&gt;" ",(inputPrYr!B77)," ")</f>
        <v>K-9</v>
      </c>
      <c r="H5" s="811"/>
      <c r="I5" s="810" t="str">
        <f>IF(inputPrYr!B78&gt;" ",(inputPrYr!B78)," ")</f>
        <v>Porta Count Machine</v>
      </c>
      <c r="J5" s="811"/>
      <c r="K5" s="353"/>
    </row>
    <row r="6" spans="1:11" ht="15.75">
      <c r="A6" s="354" t="s">
        <v>197</v>
      </c>
      <c r="B6" s="355"/>
      <c r="C6" s="356" t="s">
        <v>197</v>
      </c>
      <c r="D6" s="357"/>
      <c r="E6" s="356" t="s">
        <v>197</v>
      </c>
      <c r="F6" s="352"/>
      <c r="G6" s="356" t="s">
        <v>197</v>
      </c>
      <c r="H6" s="358"/>
      <c r="I6" s="356" t="s">
        <v>197</v>
      </c>
      <c r="J6" s="122"/>
      <c r="K6" s="359" t="s">
        <v>283</v>
      </c>
    </row>
    <row r="7" spans="1:11" ht="15.75">
      <c r="A7" s="360" t="s">
        <v>878</v>
      </c>
      <c r="B7" s="361">
        <v>18928</v>
      </c>
      <c r="C7" s="362" t="s">
        <v>878</v>
      </c>
      <c r="D7" s="361">
        <v>48492</v>
      </c>
      <c r="E7" s="362" t="s">
        <v>878</v>
      </c>
      <c r="F7" s="361">
        <v>2168</v>
      </c>
      <c r="G7" s="362" t="s">
        <v>878</v>
      </c>
      <c r="H7" s="361">
        <v>390</v>
      </c>
      <c r="I7" s="362" t="s">
        <v>878</v>
      </c>
      <c r="J7" s="361">
        <v>5</v>
      </c>
      <c r="K7" s="363">
        <f>SUM(B7+D7+F7+H7+J7)</f>
        <v>69983</v>
      </c>
    </row>
    <row r="8" spans="1:11" ht="15.75">
      <c r="A8" s="364" t="s">
        <v>1030</v>
      </c>
      <c r="B8" s="365"/>
      <c r="C8" s="364" t="s">
        <v>1030</v>
      </c>
      <c r="D8" s="366"/>
      <c r="E8" s="364" t="s">
        <v>1030</v>
      </c>
      <c r="F8" s="349"/>
      <c r="G8" s="364" t="s">
        <v>1030</v>
      </c>
      <c r="H8" s="122"/>
      <c r="I8" s="364" t="s">
        <v>1030</v>
      </c>
      <c r="J8" s="122"/>
      <c r="K8" s="349"/>
    </row>
    <row r="9" spans="1:11" ht="15.75">
      <c r="A9" s="367" t="s">
        <v>592</v>
      </c>
      <c r="B9" s="361">
        <v>70</v>
      </c>
      <c r="C9" s="367" t="s">
        <v>594</v>
      </c>
      <c r="D9" s="361"/>
      <c r="E9" s="367" t="s">
        <v>595</v>
      </c>
      <c r="F9" s="361">
        <v>910</v>
      </c>
      <c r="G9" s="367" t="s">
        <v>553</v>
      </c>
      <c r="H9" s="361">
        <v>85</v>
      </c>
      <c r="I9" s="367" t="s">
        <v>587</v>
      </c>
      <c r="J9" s="361">
        <v>796</v>
      </c>
      <c r="K9" s="349"/>
    </row>
    <row r="10" spans="1:11" ht="15.75">
      <c r="A10" s="367" t="s">
        <v>593</v>
      </c>
      <c r="B10" s="361"/>
      <c r="C10" s="367" t="s">
        <v>593</v>
      </c>
      <c r="D10" s="361"/>
      <c r="E10" s="367"/>
      <c r="F10" s="361"/>
      <c r="G10" s="367"/>
      <c r="H10" s="361"/>
      <c r="I10" s="367"/>
      <c r="J10" s="361"/>
      <c r="K10" s="349"/>
    </row>
    <row r="11" spans="1:11" ht="15.75">
      <c r="A11" s="367"/>
      <c r="B11" s="361"/>
      <c r="C11" s="368"/>
      <c r="D11" s="361"/>
      <c r="E11" s="368"/>
      <c r="F11" s="361"/>
      <c r="G11" s="368"/>
      <c r="H11" s="361"/>
      <c r="I11" s="369"/>
      <c r="J11" s="361"/>
      <c r="K11" s="349"/>
    </row>
    <row r="12" spans="1:11" ht="15.75">
      <c r="A12" s="367"/>
      <c r="B12" s="361"/>
      <c r="C12" s="367"/>
      <c r="D12" s="361"/>
      <c r="E12" s="370"/>
      <c r="F12" s="361"/>
      <c r="G12" s="370"/>
      <c r="H12" s="361"/>
      <c r="I12" s="370"/>
      <c r="J12" s="361"/>
      <c r="K12" s="349"/>
    </row>
    <row r="13" spans="1:11" ht="15.75">
      <c r="A13" s="371"/>
      <c r="B13" s="361"/>
      <c r="C13" s="372"/>
      <c r="D13" s="361"/>
      <c r="E13" s="372"/>
      <c r="F13" s="361"/>
      <c r="G13" s="372"/>
      <c r="H13" s="361"/>
      <c r="I13" s="369"/>
      <c r="J13" s="361"/>
      <c r="K13" s="349"/>
    </row>
    <row r="14" spans="1:11" ht="15.75">
      <c r="A14" s="367"/>
      <c r="B14" s="361"/>
      <c r="C14" s="370"/>
      <c r="D14" s="361"/>
      <c r="E14" s="370"/>
      <c r="F14" s="361"/>
      <c r="G14" s="370"/>
      <c r="H14" s="361"/>
      <c r="I14" s="370"/>
      <c r="J14" s="361"/>
      <c r="K14" s="349"/>
    </row>
    <row r="15" spans="1:11" ht="15.75">
      <c r="A15" s="367"/>
      <c r="B15" s="361"/>
      <c r="C15" s="370"/>
      <c r="D15" s="361"/>
      <c r="E15" s="370"/>
      <c r="F15" s="361"/>
      <c r="G15" s="370"/>
      <c r="H15" s="361"/>
      <c r="I15" s="370"/>
      <c r="J15" s="361"/>
      <c r="K15" s="349"/>
    </row>
    <row r="16" spans="1:11" ht="15.75">
      <c r="A16" s="367"/>
      <c r="B16" s="361"/>
      <c r="C16" s="367"/>
      <c r="D16" s="361"/>
      <c r="E16" s="367"/>
      <c r="F16" s="361"/>
      <c r="G16" s="370"/>
      <c r="H16" s="361"/>
      <c r="I16" s="367"/>
      <c r="J16" s="361"/>
      <c r="K16" s="349"/>
    </row>
    <row r="17" spans="1:11" ht="15.75">
      <c r="A17" s="364" t="s">
        <v>918</v>
      </c>
      <c r="B17" s="363">
        <f>SUM(B9:B16)</f>
        <v>70</v>
      </c>
      <c r="C17" s="364" t="s">
        <v>918</v>
      </c>
      <c r="D17" s="363">
        <f>SUM(D9:D16)</f>
        <v>0</v>
      </c>
      <c r="E17" s="364" t="s">
        <v>918</v>
      </c>
      <c r="F17" s="439">
        <f>SUM(F9:F16)</f>
        <v>910</v>
      </c>
      <c r="G17" s="364" t="s">
        <v>918</v>
      </c>
      <c r="H17" s="363">
        <f>SUM(H9:H16)</f>
        <v>85</v>
      </c>
      <c r="I17" s="364" t="s">
        <v>918</v>
      </c>
      <c r="J17" s="363">
        <f>SUM(J9:J16)</f>
        <v>796</v>
      </c>
      <c r="K17" s="363">
        <f>SUM(B17+D17+F17+H17+J17)</f>
        <v>1861</v>
      </c>
    </row>
    <row r="18" spans="1:11" ht="15.75">
      <c r="A18" s="364" t="s">
        <v>919</v>
      </c>
      <c r="B18" s="363">
        <f>SUM(B7+B17)</f>
        <v>18998</v>
      </c>
      <c r="C18" s="364" t="s">
        <v>919</v>
      </c>
      <c r="D18" s="363">
        <f>SUM(D7+D17)</f>
        <v>48492</v>
      </c>
      <c r="E18" s="364" t="s">
        <v>919</v>
      </c>
      <c r="F18" s="363">
        <f>SUM(F7+F17)</f>
        <v>3078</v>
      </c>
      <c r="G18" s="364" t="s">
        <v>919</v>
      </c>
      <c r="H18" s="363">
        <f>SUM(H7+H17)</f>
        <v>475</v>
      </c>
      <c r="I18" s="364" t="s">
        <v>919</v>
      </c>
      <c r="J18" s="363">
        <f>SUM(J7+J17)</f>
        <v>801</v>
      </c>
      <c r="K18" s="363">
        <f>SUM(B18+D18+F18+H18+J18)</f>
        <v>71844</v>
      </c>
    </row>
    <row r="19" spans="1:11" ht="15.75">
      <c r="A19" s="364" t="s">
        <v>921</v>
      </c>
      <c r="B19" s="365"/>
      <c r="C19" s="364" t="s">
        <v>921</v>
      </c>
      <c r="D19" s="366"/>
      <c r="E19" s="364" t="s">
        <v>921</v>
      </c>
      <c r="F19" s="349"/>
      <c r="G19" s="364" t="s">
        <v>921</v>
      </c>
      <c r="H19" s="122"/>
      <c r="I19" s="364" t="s">
        <v>921</v>
      </c>
      <c r="J19" s="122"/>
      <c r="K19" s="349"/>
    </row>
    <row r="20" spans="1:11" ht="15.75">
      <c r="A20" s="367" t="s">
        <v>558</v>
      </c>
      <c r="B20" s="361"/>
      <c r="C20" s="370" t="s">
        <v>557</v>
      </c>
      <c r="D20" s="361">
        <v>2224</v>
      </c>
      <c r="E20" s="370" t="s">
        <v>557</v>
      </c>
      <c r="F20" s="361"/>
      <c r="G20" s="370" t="s">
        <v>867</v>
      </c>
      <c r="H20" s="361"/>
      <c r="I20" s="367" t="s">
        <v>601</v>
      </c>
      <c r="J20" s="361">
        <v>231</v>
      </c>
      <c r="K20" s="349"/>
    </row>
    <row r="21" spans="1:11" ht="15.75">
      <c r="A21" s="367" t="s">
        <v>559</v>
      </c>
      <c r="B21" s="361"/>
      <c r="C21" s="370" t="s">
        <v>558</v>
      </c>
      <c r="D21" s="361">
        <v>2227</v>
      </c>
      <c r="E21" s="370" t="s">
        <v>558</v>
      </c>
      <c r="F21" s="361"/>
      <c r="G21" s="370"/>
      <c r="H21" s="361"/>
      <c r="I21" s="370"/>
      <c r="J21" s="361"/>
      <c r="K21" s="349"/>
    </row>
    <row r="22" spans="1:11" ht="15.75">
      <c r="A22" s="367"/>
      <c r="B22" s="361"/>
      <c r="C22" s="372" t="s">
        <v>559</v>
      </c>
      <c r="D22" s="361"/>
      <c r="E22" s="372"/>
      <c r="F22" s="361"/>
      <c r="G22" s="372"/>
      <c r="H22" s="361"/>
      <c r="I22" s="369"/>
      <c r="J22" s="361"/>
      <c r="K22" s="349"/>
    </row>
    <row r="23" spans="1:11" ht="15.75">
      <c r="A23" s="367"/>
      <c r="B23" s="361"/>
      <c r="C23" s="370" t="s">
        <v>867</v>
      </c>
      <c r="D23" s="361"/>
      <c r="E23" s="370"/>
      <c r="F23" s="361"/>
      <c r="G23" s="370"/>
      <c r="H23" s="361"/>
      <c r="I23" s="370"/>
      <c r="J23" s="361"/>
      <c r="K23" s="349"/>
    </row>
    <row r="24" spans="1:11" ht="15.75">
      <c r="A24" s="367"/>
      <c r="B24" s="361"/>
      <c r="C24" s="372"/>
      <c r="D24" s="361"/>
      <c r="E24" s="372"/>
      <c r="F24" s="361"/>
      <c r="G24" s="372"/>
      <c r="H24" s="361"/>
      <c r="I24" s="369"/>
      <c r="J24" s="361"/>
      <c r="K24" s="349"/>
    </row>
    <row r="25" spans="1:11" ht="15.75">
      <c r="A25" s="367"/>
      <c r="B25" s="361"/>
      <c r="C25" s="370"/>
      <c r="D25" s="361"/>
      <c r="E25" s="370"/>
      <c r="F25" s="361"/>
      <c r="G25" s="370"/>
      <c r="H25" s="361"/>
      <c r="I25" s="370"/>
      <c r="J25" s="361"/>
      <c r="K25" s="349"/>
    </row>
    <row r="26" spans="1:11" ht="15.75">
      <c r="A26" s="367"/>
      <c r="B26" s="361"/>
      <c r="C26" s="370"/>
      <c r="D26" s="361"/>
      <c r="E26" s="370"/>
      <c r="F26" s="361"/>
      <c r="G26" s="370"/>
      <c r="H26" s="361"/>
      <c r="I26" s="370"/>
      <c r="J26" s="361"/>
      <c r="K26" s="349"/>
    </row>
    <row r="27" spans="1:11" ht="15.75">
      <c r="A27" s="367"/>
      <c r="B27" s="361"/>
      <c r="C27" s="367"/>
      <c r="D27" s="361"/>
      <c r="E27" s="367"/>
      <c r="F27" s="361"/>
      <c r="G27" s="370"/>
      <c r="H27" s="361"/>
      <c r="I27" s="370"/>
      <c r="J27" s="361"/>
      <c r="K27" s="349"/>
    </row>
    <row r="28" spans="1:11" ht="15.75">
      <c r="A28" s="364" t="s">
        <v>922</v>
      </c>
      <c r="B28" s="363">
        <f>SUM(B20:B27)</f>
        <v>0</v>
      </c>
      <c r="C28" s="364" t="s">
        <v>922</v>
      </c>
      <c r="D28" s="363">
        <f>SUM(D20:D27)</f>
        <v>4451</v>
      </c>
      <c r="E28" s="364" t="s">
        <v>922</v>
      </c>
      <c r="F28" s="439">
        <f>SUM(F20:F27)</f>
        <v>0</v>
      </c>
      <c r="G28" s="364" t="s">
        <v>922</v>
      </c>
      <c r="H28" s="439">
        <f>SUM(H20:H27)</f>
        <v>0</v>
      </c>
      <c r="I28" s="364" t="s">
        <v>922</v>
      </c>
      <c r="J28" s="363">
        <f>SUM(J20:J27)</f>
        <v>231</v>
      </c>
      <c r="K28" s="363">
        <f>SUM(B28+D28+F28+H28+J28)</f>
        <v>4682</v>
      </c>
    </row>
    <row r="29" spans="1:12" ht="15.75">
      <c r="A29" s="364" t="s">
        <v>198</v>
      </c>
      <c r="B29" s="363">
        <f>B18-B28</f>
        <v>18998</v>
      </c>
      <c r="C29" s="364" t="s">
        <v>198</v>
      </c>
      <c r="D29" s="363">
        <f>D18-D28</f>
        <v>44041</v>
      </c>
      <c r="E29" s="364" t="s">
        <v>198</v>
      </c>
      <c r="F29" s="363">
        <f>F18-F28</f>
        <v>3078</v>
      </c>
      <c r="G29" s="364" t="s">
        <v>198</v>
      </c>
      <c r="H29" s="363">
        <f>H18-H28</f>
        <v>475</v>
      </c>
      <c r="I29" s="364" t="s">
        <v>198</v>
      </c>
      <c r="J29" s="363">
        <f>J18-J28</f>
        <v>570</v>
      </c>
      <c r="K29" s="374">
        <f>SUM(B29+D29+F29+H29+J29)</f>
        <v>67162</v>
      </c>
      <c r="L29" s="70" t="s">
        <v>235</v>
      </c>
    </row>
    <row r="30" spans="1:12" ht="15.75">
      <c r="A30" s="364"/>
      <c r="B30" s="405">
        <f>IF(B29&lt;0,"See Tab B","")</f>
      </c>
      <c r="C30" s="364"/>
      <c r="D30" s="405">
        <f>IF(D29&lt;0,"See Tab B","")</f>
      </c>
      <c r="E30" s="364"/>
      <c r="F30" s="405">
        <f>IF(F29&lt;0,"See Tab B","")</f>
      </c>
      <c r="G30" s="122"/>
      <c r="H30" s="405">
        <f>IF(H29&lt;0,"See Tab B","")</f>
      </c>
      <c r="I30" s="122"/>
      <c r="J30" s="405">
        <f>IF(J29&lt;0,"See Tab B","")</f>
      </c>
      <c r="K30" s="374">
        <f>SUM(K7+K17-K28)</f>
        <v>67162</v>
      </c>
      <c r="L30" s="70" t="s">
        <v>235</v>
      </c>
    </row>
    <row r="31" spans="1:11" ht="15.75">
      <c r="A31" s="122"/>
      <c r="B31" s="375"/>
      <c r="C31" s="122"/>
      <c r="D31" s="349"/>
      <c r="E31" s="122"/>
      <c r="F31" s="122"/>
      <c r="G31" s="79" t="s">
        <v>236</v>
      </c>
      <c r="H31" s="79"/>
      <c r="I31" s="79"/>
      <c r="J31" s="79"/>
      <c r="K31" s="122"/>
    </row>
    <row r="32" spans="1:11" ht="15.75">
      <c r="A32" s="122"/>
      <c r="B32" s="375"/>
      <c r="C32" s="122"/>
      <c r="D32" s="122"/>
      <c r="E32" s="122"/>
      <c r="F32" s="122"/>
      <c r="G32" s="122"/>
      <c r="H32" s="122"/>
      <c r="I32" s="122"/>
      <c r="J32" s="122"/>
      <c r="K32" s="122"/>
    </row>
    <row r="33" spans="1:11" ht="15.75">
      <c r="A33" s="122"/>
      <c r="B33" s="375"/>
      <c r="C33" s="122"/>
      <c r="D33" s="122"/>
      <c r="E33" s="122"/>
      <c r="F33" s="122"/>
      <c r="G33" s="122"/>
      <c r="H33" s="122"/>
      <c r="I33" s="122"/>
      <c r="J33" s="122"/>
      <c r="K33" s="122"/>
    </row>
    <row r="34" spans="1:11" ht="15.75">
      <c r="A34" s="122"/>
      <c r="B34" s="375"/>
      <c r="C34" s="122"/>
      <c r="D34" s="122"/>
      <c r="E34" s="122"/>
      <c r="F34" s="122"/>
      <c r="G34" s="122"/>
      <c r="H34" s="122"/>
      <c r="I34" s="122"/>
      <c r="J34" s="122"/>
      <c r="K34" s="122"/>
    </row>
    <row r="35" spans="1:11" ht="15.75">
      <c r="A35" s="122"/>
      <c r="B35" s="375"/>
      <c r="C35" s="122"/>
      <c r="D35" s="122"/>
      <c r="E35" s="122"/>
      <c r="F35" s="122"/>
      <c r="G35" s="122"/>
      <c r="H35" s="122"/>
      <c r="I35" s="122"/>
      <c r="J35" s="122"/>
      <c r="K35" s="122"/>
    </row>
    <row r="36" spans="1:11" ht="15.75">
      <c r="A36" s="122"/>
      <c r="B36" s="375"/>
      <c r="C36" s="122"/>
      <c r="D36" s="122"/>
      <c r="E36" s="122"/>
      <c r="F36" s="122"/>
      <c r="G36" s="122"/>
      <c r="H36" s="122"/>
      <c r="I36" s="122"/>
      <c r="J36" s="122"/>
      <c r="K36" s="122"/>
    </row>
    <row r="37" spans="1:11" ht="15.75">
      <c r="A37" s="122"/>
      <c r="B37" s="375"/>
      <c r="C37" s="122"/>
      <c r="D37" s="122"/>
      <c r="E37" s="122"/>
      <c r="F37" s="122"/>
      <c r="G37" s="122"/>
      <c r="H37" s="122"/>
      <c r="I37" s="122"/>
      <c r="J37" s="122"/>
      <c r="K37" s="122"/>
    </row>
    <row r="38" spans="1:11" ht="15.75">
      <c r="A38" s="122"/>
      <c r="B38" s="375"/>
      <c r="C38" s="122"/>
      <c r="D38" s="122"/>
      <c r="E38" s="122"/>
      <c r="F38" s="122"/>
      <c r="G38" s="122"/>
      <c r="H38" s="122"/>
      <c r="I38" s="122"/>
      <c r="J38" s="122"/>
      <c r="K38" s="122"/>
    </row>
    <row r="39" spans="1:11" ht="15.75">
      <c r="A39" s="122"/>
      <c r="B39" s="375"/>
      <c r="C39" s="122"/>
      <c r="D39" s="122"/>
      <c r="E39" s="317" t="s">
        <v>940</v>
      </c>
      <c r="F39" s="343">
        <v>18</v>
      </c>
      <c r="G39" s="122"/>
      <c r="H39" s="122"/>
      <c r="I39" s="122"/>
      <c r="J39" s="122"/>
      <c r="K39" s="122"/>
    </row>
    <row r="40" ht="15.75">
      <c r="B40" s="376"/>
    </row>
    <row r="41" ht="15.75">
      <c r="B41" s="376"/>
    </row>
    <row r="42" ht="15.75">
      <c r="B42" s="376"/>
    </row>
    <row r="43" ht="15.75">
      <c r="B43" s="376"/>
    </row>
    <row r="44" ht="15.75">
      <c r="B44" s="376"/>
    </row>
    <row r="45" ht="15.75">
      <c r="B45" s="376"/>
    </row>
    <row r="46" ht="15.75">
      <c r="B46" s="376"/>
    </row>
    <row r="47" ht="15.75">
      <c r="B47" s="376"/>
    </row>
  </sheetData>
  <sheetProtection/>
  <mergeCells count="5">
    <mergeCell ref="I5:J5"/>
    <mergeCell ref="A5:B5"/>
    <mergeCell ref="C5:D5"/>
    <mergeCell ref="E5:F5"/>
    <mergeCell ref="G5:H5"/>
  </mergeCells>
  <printOptions/>
  <pageMargins left="0.61" right="0.75" top="1" bottom="0.66" header="0.5" footer="0.5"/>
  <pageSetup blackAndWhite="1" horizontalDpi="600" verticalDpi="600" orientation="landscape" scale="90" r:id="rId1"/>
  <headerFooter alignWithMargins="0">
    <oddHeader>&amp;RState of Kansas
County</oddHeader>
  </headerFooter>
</worksheet>
</file>

<file path=xl/worksheets/sheet26.xml><?xml version="1.0" encoding="utf-8"?>
<worksheet xmlns="http://schemas.openxmlformats.org/spreadsheetml/2006/main" xmlns:r="http://schemas.openxmlformats.org/officeDocument/2006/relationships">
  <dimension ref="A1:L47"/>
  <sheetViews>
    <sheetView view="pageBreakPreview" zoomScale="60" zoomScalePageLayoutView="0" workbookViewId="0" topLeftCell="A1">
      <selection activeCell="E52" sqref="E52"/>
    </sheetView>
  </sheetViews>
  <sheetFormatPr defaultColWidth="8.796875" defaultRowHeight="15"/>
  <cols>
    <col min="1" max="1" width="11.59765625" style="70" customWidth="1"/>
    <col min="2" max="2" width="7.3984375" style="70" customWidth="1"/>
    <col min="3" max="3" width="11.59765625" style="70" customWidth="1"/>
    <col min="4" max="4" width="7.3984375" style="70" customWidth="1"/>
    <col min="5" max="5" width="11.59765625" style="70" customWidth="1"/>
    <col min="6" max="6" width="7.3984375" style="70" customWidth="1"/>
    <col min="7" max="7" width="11.59765625" style="70" customWidth="1"/>
    <col min="8" max="8" width="7.3984375" style="70" customWidth="1"/>
    <col min="9" max="9" width="11.59765625" style="70" customWidth="1"/>
    <col min="10" max="16384" width="8.8984375" style="70" customWidth="1"/>
  </cols>
  <sheetData>
    <row r="1" spans="1:11" ht="15.75">
      <c r="A1" s="141" t="str">
        <f>inputPrYr!$C$2</f>
        <v>Gove County</v>
      </c>
      <c r="B1" s="349"/>
      <c r="C1" s="122"/>
      <c r="D1" s="122"/>
      <c r="E1" s="122"/>
      <c r="F1" s="350" t="s">
        <v>203</v>
      </c>
      <c r="G1" s="122"/>
      <c r="H1" s="122"/>
      <c r="I1" s="122"/>
      <c r="J1" s="122"/>
      <c r="K1" s="122">
        <f>inputPrYr!$C$4</f>
        <v>2014</v>
      </c>
    </row>
    <row r="2" spans="1:11" ht="15.75">
      <c r="A2" s="122"/>
      <c r="B2" s="122"/>
      <c r="C2" s="122"/>
      <c r="D2" s="122"/>
      <c r="E2" s="122"/>
      <c r="F2" s="351" t="str">
        <f>CONCATENATE("(Only the actual budget year for ",K1-2," is to be shown)")</f>
        <v>(Only the actual budget year for 2012 is to be shown)</v>
      </c>
      <c r="G2" s="122"/>
      <c r="H2" s="122"/>
      <c r="I2" s="122"/>
      <c r="J2" s="122"/>
      <c r="K2" s="122"/>
    </row>
    <row r="3" spans="1:11" ht="15.75">
      <c r="A3" s="122" t="s">
        <v>204</v>
      </c>
      <c r="B3" s="122"/>
      <c r="C3" s="122"/>
      <c r="D3" s="122"/>
      <c r="E3" s="122"/>
      <c r="F3" s="349"/>
      <c r="G3" s="122"/>
      <c r="H3" s="122"/>
      <c r="I3" s="122"/>
      <c r="J3" s="122"/>
      <c r="K3" s="122"/>
    </row>
    <row r="4" spans="1:11" ht="15.75">
      <c r="A4" s="122" t="s">
        <v>192</v>
      </c>
      <c r="B4" s="122"/>
      <c r="C4" s="122" t="s">
        <v>193</v>
      </c>
      <c r="D4" s="122"/>
      <c r="E4" s="122" t="s">
        <v>194</v>
      </c>
      <c r="F4" s="349"/>
      <c r="G4" s="122" t="s">
        <v>195</v>
      </c>
      <c r="H4" s="122"/>
      <c r="I4" s="122" t="s">
        <v>196</v>
      </c>
      <c r="J4" s="122"/>
      <c r="K4" s="122"/>
    </row>
    <row r="5" spans="1:11" ht="15.75">
      <c r="A5" s="810" t="str">
        <f>IF(inputPrYr!B80&gt;" ",(inputPrYr!B80)," ")</f>
        <v>Siezed (Sheriff)</v>
      </c>
      <c r="B5" s="811"/>
      <c r="C5" s="810" t="str">
        <f>IF(inputPrYr!B81&gt;" ",(inputPrYr!B81)," ")</f>
        <v>Chronic Disease Risk</v>
      </c>
      <c r="D5" s="811"/>
      <c r="E5" s="810" t="str">
        <f>IF(inputPrYr!B82&gt;" ",(inputPrYr!B82)," ")</f>
        <v>Oil &amp; Gas Valuation Depletion</v>
      </c>
      <c r="F5" s="811"/>
      <c r="G5" s="810" t="str">
        <f>IF(inputPrYr!B83&gt;" ",(inputPrYr!B83)," ")</f>
        <v> </v>
      </c>
      <c r="H5" s="811"/>
      <c r="I5" s="810" t="str">
        <f>IF(inputPrYr!B84&gt;" ",(inputPrYr!B84)," ")</f>
        <v> </v>
      </c>
      <c r="J5" s="811"/>
      <c r="K5" s="353"/>
    </row>
    <row r="6" spans="1:11" ht="15.75">
      <c r="A6" s="354" t="s">
        <v>197</v>
      </c>
      <c r="B6" s="355"/>
      <c r="C6" s="356" t="s">
        <v>197</v>
      </c>
      <c r="D6" s="357"/>
      <c r="E6" s="356" t="s">
        <v>197</v>
      </c>
      <c r="F6" s="352"/>
      <c r="G6" s="356" t="s">
        <v>197</v>
      </c>
      <c r="H6" s="358"/>
      <c r="I6" s="356" t="s">
        <v>197</v>
      </c>
      <c r="J6" s="122"/>
      <c r="K6" s="359" t="s">
        <v>283</v>
      </c>
    </row>
    <row r="7" spans="1:11" ht="15.75">
      <c r="A7" s="360" t="s">
        <v>878</v>
      </c>
      <c r="B7" s="361">
        <v>0</v>
      </c>
      <c r="C7" s="362" t="s">
        <v>878</v>
      </c>
      <c r="D7" s="361">
        <v>0</v>
      </c>
      <c r="E7" s="362" t="s">
        <v>878</v>
      </c>
      <c r="F7" s="361">
        <v>0</v>
      </c>
      <c r="G7" s="362" t="s">
        <v>878</v>
      </c>
      <c r="H7" s="361"/>
      <c r="I7" s="362" t="s">
        <v>878</v>
      </c>
      <c r="J7" s="361"/>
      <c r="K7" s="363">
        <f>SUM(B7+D7+F7+H7+J7)</f>
        <v>0</v>
      </c>
    </row>
    <row r="8" spans="1:11" ht="15.75">
      <c r="A8" s="364" t="s">
        <v>1030</v>
      </c>
      <c r="B8" s="365"/>
      <c r="C8" s="364" t="s">
        <v>1030</v>
      </c>
      <c r="D8" s="366"/>
      <c r="E8" s="364" t="s">
        <v>1030</v>
      </c>
      <c r="F8" s="349"/>
      <c r="G8" s="364" t="s">
        <v>1030</v>
      </c>
      <c r="H8" s="122"/>
      <c r="I8" s="364" t="s">
        <v>1030</v>
      </c>
      <c r="J8" s="122"/>
      <c r="K8" s="349"/>
    </row>
    <row r="9" spans="1:11" ht="15.75">
      <c r="A9" s="367" t="s">
        <v>611</v>
      </c>
      <c r="B9" s="361">
        <v>26000</v>
      </c>
      <c r="C9" s="367" t="s">
        <v>587</v>
      </c>
      <c r="D9" s="361">
        <v>5720</v>
      </c>
      <c r="E9" s="367" t="s">
        <v>587</v>
      </c>
      <c r="F9" s="361">
        <v>470495</v>
      </c>
      <c r="G9" s="367"/>
      <c r="H9" s="361"/>
      <c r="I9" s="367"/>
      <c r="J9" s="361"/>
      <c r="K9" s="349"/>
    </row>
    <row r="10" spans="1:11" ht="15.75">
      <c r="A10" s="367"/>
      <c r="B10" s="361"/>
      <c r="C10" s="367"/>
      <c r="D10" s="361"/>
      <c r="E10" s="367" t="s">
        <v>971</v>
      </c>
      <c r="F10" s="361">
        <v>438</v>
      </c>
      <c r="G10" s="367"/>
      <c r="H10" s="361"/>
      <c r="I10" s="367"/>
      <c r="J10" s="361"/>
      <c r="K10" s="349"/>
    </row>
    <row r="11" spans="1:11" ht="15.75">
      <c r="A11" s="367"/>
      <c r="B11" s="361"/>
      <c r="C11" s="368"/>
      <c r="D11" s="361"/>
      <c r="E11" s="368"/>
      <c r="F11" s="361"/>
      <c r="G11" s="368"/>
      <c r="H11" s="361"/>
      <c r="I11" s="369"/>
      <c r="J11" s="361"/>
      <c r="K11" s="349"/>
    </row>
    <row r="12" spans="1:11" ht="15.75">
      <c r="A12" s="367"/>
      <c r="B12" s="361"/>
      <c r="C12" s="367"/>
      <c r="D12" s="361"/>
      <c r="E12" s="370"/>
      <c r="F12" s="361"/>
      <c r="G12" s="370"/>
      <c r="H12" s="361"/>
      <c r="I12" s="370"/>
      <c r="J12" s="361"/>
      <c r="K12" s="349"/>
    </row>
    <row r="13" spans="1:11" ht="15.75">
      <c r="A13" s="371"/>
      <c r="B13" s="361"/>
      <c r="C13" s="372"/>
      <c r="D13" s="361"/>
      <c r="E13" s="372"/>
      <c r="F13" s="361"/>
      <c r="G13" s="372"/>
      <c r="H13" s="361"/>
      <c r="I13" s="369"/>
      <c r="J13" s="361"/>
      <c r="K13" s="349"/>
    </row>
    <row r="14" spans="1:11" ht="15.75">
      <c r="A14" s="367"/>
      <c r="B14" s="361"/>
      <c r="C14" s="370"/>
      <c r="D14" s="361"/>
      <c r="E14" s="370"/>
      <c r="F14" s="361"/>
      <c r="G14" s="370"/>
      <c r="H14" s="361"/>
      <c r="I14" s="370"/>
      <c r="J14" s="361"/>
      <c r="K14" s="349"/>
    </row>
    <row r="15" spans="1:11" ht="15.75">
      <c r="A15" s="367"/>
      <c r="B15" s="361"/>
      <c r="C15" s="370"/>
      <c r="D15" s="361"/>
      <c r="E15" s="370"/>
      <c r="F15" s="361"/>
      <c r="G15" s="370"/>
      <c r="H15" s="361"/>
      <c r="I15" s="370"/>
      <c r="J15" s="361"/>
      <c r="K15" s="349"/>
    </row>
    <row r="16" spans="1:11" ht="15.75">
      <c r="A16" s="367"/>
      <c r="B16" s="361"/>
      <c r="C16" s="367"/>
      <c r="D16" s="361"/>
      <c r="E16" s="367"/>
      <c r="F16" s="361"/>
      <c r="G16" s="370"/>
      <c r="H16" s="361"/>
      <c r="I16" s="367"/>
      <c r="J16" s="361"/>
      <c r="K16" s="349"/>
    </row>
    <row r="17" spans="1:11" ht="15.75">
      <c r="A17" s="364" t="s">
        <v>918</v>
      </c>
      <c r="B17" s="363">
        <f>SUM(B9:B16)</f>
        <v>26000</v>
      </c>
      <c r="C17" s="364" t="s">
        <v>918</v>
      </c>
      <c r="D17" s="363">
        <f>SUM(D9:D16)</f>
        <v>5720</v>
      </c>
      <c r="E17" s="364" t="s">
        <v>918</v>
      </c>
      <c r="F17" s="439">
        <f>SUM(F9:F16)</f>
        <v>470933</v>
      </c>
      <c r="G17" s="364" t="s">
        <v>918</v>
      </c>
      <c r="H17" s="363">
        <f>SUM(H9:H16)</f>
        <v>0</v>
      </c>
      <c r="I17" s="364" t="s">
        <v>918</v>
      </c>
      <c r="J17" s="363">
        <f>SUM(J9:J16)</f>
        <v>0</v>
      </c>
      <c r="K17" s="363">
        <f>SUM(B17+D17+F17+H17+J17)</f>
        <v>502653</v>
      </c>
    </row>
    <row r="18" spans="1:11" ht="15.75">
      <c r="A18" s="364" t="s">
        <v>919</v>
      </c>
      <c r="B18" s="363">
        <f>SUM(B7+B17)</f>
        <v>26000</v>
      </c>
      <c r="C18" s="364" t="s">
        <v>919</v>
      </c>
      <c r="D18" s="363">
        <f>SUM(D7+D17)</f>
        <v>5720</v>
      </c>
      <c r="E18" s="364" t="s">
        <v>919</v>
      </c>
      <c r="F18" s="363">
        <f>SUM(F7+F17)</f>
        <v>470933</v>
      </c>
      <c r="G18" s="364" t="s">
        <v>919</v>
      </c>
      <c r="H18" s="363">
        <f>SUM(H7+H17)</f>
        <v>0</v>
      </c>
      <c r="I18" s="364" t="s">
        <v>919</v>
      </c>
      <c r="J18" s="363">
        <f>SUM(J7+J17)</f>
        <v>0</v>
      </c>
      <c r="K18" s="363">
        <f>SUM(B18+D18+F18+H18+J18)</f>
        <v>502653</v>
      </c>
    </row>
    <row r="19" spans="1:11" ht="15.75">
      <c r="A19" s="364" t="s">
        <v>921</v>
      </c>
      <c r="B19" s="365"/>
      <c r="C19" s="364" t="s">
        <v>921</v>
      </c>
      <c r="D19" s="366"/>
      <c r="E19" s="364" t="s">
        <v>921</v>
      </c>
      <c r="F19" s="349"/>
      <c r="G19" s="364" t="s">
        <v>921</v>
      </c>
      <c r="H19" s="122"/>
      <c r="I19" s="364" t="s">
        <v>921</v>
      </c>
      <c r="J19" s="122"/>
      <c r="K19" s="349"/>
    </row>
    <row r="20" spans="1:11" ht="15.75">
      <c r="A20" s="367"/>
      <c r="B20" s="361"/>
      <c r="C20" s="370"/>
      <c r="D20" s="361"/>
      <c r="E20" s="370"/>
      <c r="F20" s="361"/>
      <c r="G20" s="370"/>
      <c r="H20" s="361"/>
      <c r="I20" s="370"/>
      <c r="J20" s="361"/>
      <c r="K20" s="349"/>
    </row>
    <row r="21" spans="1:11" ht="15.75">
      <c r="A21" s="367"/>
      <c r="B21" s="361"/>
      <c r="C21" s="370"/>
      <c r="D21" s="361"/>
      <c r="E21" s="370"/>
      <c r="F21" s="361"/>
      <c r="G21" s="370"/>
      <c r="H21" s="361"/>
      <c r="I21" s="370"/>
      <c r="J21" s="361"/>
      <c r="K21" s="349"/>
    </row>
    <row r="22" spans="1:11" ht="15.75">
      <c r="A22" s="367"/>
      <c r="B22" s="361"/>
      <c r="C22" s="372"/>
      <c r="D22" s="361"/>
      <c r="E22" s="372"/>
      <c r="F22" s="361"/>
      <c r="G22" s="372"/>
      <c r="H22" s="361"/>
      <c r="I22" s="369"/>
      <c r="J22" s="361"/>
      <c r="K22" s="349"/>
    </row>
    <row r="23" spans="1:11" ht="15.75">
      <c r="A23" s="367"/>
      <c r="B23" s="361"/>
      <c r="C23" s="370"/>
      <c r="D23" s="361"/>
      <c r="E23" s="370"/>
      <c r="F23" s="361"/>
      <c r="G23" s="370"/>
      <c r="H23" s="361"/>
      <c r="I23" s="370"/>
      <c r="J23" s="361"/>
      <c r="K23" s="349"/>
    </row>
    <row r="24" spans="1:11" ht="15.75">
      <c r="A24" s="367"/>
      <c r="B24" s="361"/>
      <c r="C24" s="372"/>
      <c r="D24" s="361"/>
      <c r="E24" s="372"/>
      <c r="F24" s="361"/>
      <c r="G24" s="372"/>
      <c r="H24" s="361"/>
      <c r="I24" s="369"/>
      <c r="J24" s="361"/>
      <c r="K24" s="349"/>
    </row>
    <row r="25" spans="1:11" ht="15.75">
      <c r="A25" s="367"/>
      <c r="B25" s="361"/>
      <c r="C25" s="370"/>
      <c r="D25" s="361"/>
      <c r="E25" s="370"/>
      <c r="F25" s="361"/>
      <c r="G25" s="370"/>
      <c r="H25" s="361"/>
      <c r="I25" s="370"/>
      <c r="J25" s="361"/>
      <c r="K25" s="349"/>
    </row>
    <row r="26" spans="1:11" ht="15.75">
      <c r="A26" s="367"/>
      <c r="B26" s="361"/>
      <c r="C26" s="370"/>
      <c r="D26" s="361"/>
      <c r="E26" s="370"/>
      <c r="F26" s="361"/>
      <c r="G26" s="370"/>
      <c r="H26" s="361"/>
      <c r="I26" s="370"/>
      <c r="J26" s="361"/>
      <c r="K26" s="349"/>
    </row>
    <row r="27" spans="1:11" ht="15.75">
      <c r="A27" s="367"/>
      <c r="B27" s="361"/>
      <c r="C27" s="367"/>
      <c r="D27" s="361"/>
      <c r="E27" s="367"/>
      <c r="F27" s="361"/>
      <c r="G27" s="370"/>
      <c r="H27" s="361"/>
      <c r="I27" s="370"/>
      <c r="J27" s="361"/>
      <c r="K27" s="349"/>
    </row>
    <row r="28" spans="1:11" ht="15.75">
      <c r="A28" s="364" t="s">
        <v>922</v>
      </c>
      <c r="B28" s="363">
        <f>SUM(B20:B27)</f>
        <v>0</v>
      </c>
      <c r="C28" s="364" t="s">
        <v>922</v>
      </c>
      <c r="D28" s="363">
        <f>SUM(D20:D27)</f>
        <v>0</v>
      </c>
      <c r="E28" s="364" t="s">
        <v>922</v>
      </c>
      <c r="F28" s="439">
        <f>SUM(F20:F27)</f>
        <v>0</v>
      </c>
      <c r="G28" s="364" t="s">
        <v>922</v>
      </c>
      <c r="H28" s="439">
        <f>SUM(H20:H27)</f>
        <v>0</v>
      </c>
      <c r="I28" s="364" t="s">
        <v>922</v>
      </c>
      <c r="J28" s="363">
        <f>SUM(J20:J27)</f>
        <v>0</v>
      </c>
      <c r="K28" s="363">
        <f>SUM(B28+D28+F28+H28+J28)</f>
        <v>0</v>
      </c>
    </row>
    <row r="29" spans="1:12" ht="15.75">
      <c r="A29" s="364" t="s">
        <v>198</v>
      </c>
      <c r="B29" s="363">
        <f>B18-B28</f>
        <v>26000</v>
      </c>
      <c r="C29" s="364" t="s">
        <v>198</v>
      </c>
      <c r="D29" s="363">
        <f>D18-D28</f>
        <v>5720</v>
      </c>
      <c r="E29" s="364" t="s">
        <v>198</v>
      </c>
      <c r="F29" s="363">
        <f>F18-F28</f>
        <v>470933</v>
      </c>
      <c r="G29" s="364" t="s">
        <v>198</v>
      </c>
      <c r="H29" s="363">
        <f>H18-H28</f>
        <v>0</v>
      </c>
      <c r="I29" s="364" t="s">
        <v>198</v>
      </c>
      <c r="J29" s="363">
        <f>J18-J28</f>
        <v>0</v>
      </c>
      <c r="K29" s="377">
        <f>SUM(B29+D29+F29+H29+J29)</f>
        <v>502653</v>
      </c>
      <c r="L29" s="70" t="s">
        <v>235</v>
      </c>
    </row>
    <row r="30" spans="1:12" ht="15.75">
      <c r="A30" s="364"/>
      <c r="B30" s="405">
        <f>IF(B29&lt;0,"See Tab B","")</f>
      </c>
      <c r="C30" s="364"/>
      <c r="D30" s="405">
        <f>IF(D29&lt;0,"See Tab B","")</f>
      </c>
      <c r="E30" s="364"/>
      <c r="F30" s="405">
        <f>IF(F29&lt;0,"See Tab B","")</f>
      </c>
      <c r="G30" s="122"/>
      <c r="H30" s="405">
        <f>IF(H29&lt;0,"See Tab B","")</f>
      </c>
      <c r="I30" s="122"/>
      <c r="J30" s="405">
        <f>IF(J29&lt;0,"See Tab B","")</f>
      </c>
      <c r="K30" s="374">
        <f>SUM(K7+K17-K28)</f>
        <v>502653</v>
      </c>
      <c r="L30" s="70" t="s">
        <v>235</v>
      </c>
    </row>
    <row r="31" spans="1:11" ht="15.75">
      <c r="A31" s="122"/>
      <c r="B31" s="375"/>
      <c r="C31" s="122"/>
      <c r="D31" s="349"/>
      <c r="E31" s="122"/>
      <c r="F31" s="122"/>
      <c r="G31" s="79" t="s">
        <v>236</v>
      </c>
      <c r="H31" s="79"/>
      <c r="I31" s="79"/>
      <c r="J31" s="79"/>
      <c r="K31" s="122"/>
    </row>
    <row r="32" spans="1:11" ht="15.75">
      <c r="A32" s="122"/>
      <c r="B32" s="375"/>
      <c r="C32" s="122"/>
      <c r="D32" s="122"/>
      <c r="E32" s="122"/>
      <c r="F32" s="122"/>
      <c r="G32" s="122"/>
      <c r="H32" s="122"/>
      <c r="I32" s="122"/>
      <c r="J32" s="122"/>
      <c r="K32" s="122"/>
    </row>
    <row r="33" spans="1:11" ht="15.75">
      <c r="A33" s="122"/>
      <c r="B33" s="375"/>
      <c r="C33" s="122"/>
      <c r="D33" s="122"/>
      <c r="E33" s="122"/>
      <c r="F33" s="122"/>
      <c r="G33" s="122"/>
      <c r="H33" s="122"/>
      <c r="I33" s="122"/>
      <c r="J33" s="122"/>
      <c r="K33" s="122"/>
    </row>
    <row r="34" spans="1:11" ht="15.75">
      <c r="A34" s="122"/>
      <c r="B34" s="375"/>
      <c r="C34" s="122"/>
      <c r="D34" s="122"/>
      <c r="E34" s="122"/>
      <c r="F34" s="122"/>
      <c r="G34" s="122"/>
      <c r="H34" s="122"/>
      <c r="I34" s="122"/>
      <c r="J34" s="122"/>
      <c r="K34" s="122"/>
    </row>
    <row r="35" spans="1:11" ht="15.75">
      <c r="A35" s="122"/>
      <c r="B35" s="375"/>
      <c r="C35" s="122"/>
      <c r="D35" s="122"/>
      <c r="E35" s="122"/>
      <c r="F35" s="122"/>
      <c r="G35" s="122"/>
      <c r="H35" s="122"/>
      <c r="I35" s="122"/>
      <c r="J35" s="122"/>
      <c r="K35" s="122"/>
    </row>
    <row r="36" spans="1:11" ht="15.75">
      <c r="A36" s="122"/>
      <c r="B36" s="375"/>
      <c r="C36" s="122"/>
      <c r="D36" s="122"/>
      <c r="E36" s="122"/>
      <c r="F36" s="122"/>
      <c r="G36" s="122"/>
      <c r="H36" s="122"/>
      <c r="I36" s="122"/>
      <c r="J36" s="122"/>
      <c r="K36" s="122"/>
    </row>
    <row r="37" spans="1:11" ht="15.75">
      <c r="A37" s="122"/>
      <c r="B37" s="375"/>
      <c r="C37" s="122"/>
      <c r="D37" s="122"/>
      <c r="E37" s="122"/>
      <c r="F37" s="122"/>
      <c r="G37" s="122"/>
      <c r="H37" s="122"/>
      <c r="I37" s="122"/>
      <c r="J37" s="122"/>
      <c r="K37" s="122"/>
    </row>
    <row r="38" spans="1:11" ht="15.75">
      <c r="A38" s="122"/>
      <c r="B38" s="375"/>
      <c r="C38" s="122"/>
      <c r="D38" s="122"/>
      <c r="E38" s="122"/>
      <c r="F38" s="122"/>
      <c r="G38" s="122"/>
      <c r="H38" s="122"/>
      <c r="I38" s="122"/>
      <c r="J38" s="122"/>
      <c r="K38" s="122"/>
    </row>
    <row r="39" spans="1:11" ht="15.75">
      <c r="A39" s="122"/>
      <c r="B39" s="375"/>
      <c r="C39" s="122"/>
      <c r="D39" s="122"/>
      <c r="E39" s="317" t="s">
        <v>940</v>
      </c>
      <c r="F39" s="343">
        <v>19</v>
      </c>
      <c r="G39" s="122"/>
      <c r="H39" s="122"/>
      <c r="I39" s="122"/>
      <c r="J39" s="122"/>
      <c r="K39" s="122"/>
    </row>
    <row r="40" ht="15.75">
      <c r="B40" s="376"/>
    </row>
    <row r="41" ht="15.75">
      <c r="B41" s="376"/>
    </row>
    <row r="42" ht="15.75">
      <c r="B42" s="376"/>
    </row>
    <row r="43" ht="15.75">
      <c r="B43" s="376"/>
    </row>
    <row r="44" ht="15.75">
      <c r="B44" s="376"/>
    </row>
    <row r="45" ht="15.75">
      <c r="B45" s="376"/>
    </row>
    <row r="46" ht="15.75">
      <c r="B46" s="376"/>
    </row>
    <row r="47" ht="15.75">
      <c r="B47" s="376"/>
    </row>
  </sheetData>
  <sheetProtection/>
  <mergeCells count="5">
    <mergeCell ref="I5:J5"/>
    <mergeCell ref="A5:B5"/>
    <mergeCell ref="C5:D5"/>
    <mergeCell ref="E5:F5"/>
    <mergeCell ref="G5:H5"/>
  </mergeCells>
  <printOptions/>
  <pageMargins left="0.62" right="0.75" top="1" bottom="0.63" header="0.5" footer="0.5"/>
  <pageSetup blackAndWhite="1" horizontalDpi="600" verticalDpi="600" orientation="landscape" scale="90" r:id="rId1"/>
  <headerFooter alignWithMargins="0">
    <oddHeader>&amp;RState of Kansas
County</oddHeader>
  </headerFooter>
</worksheet>
</file>

<file path=xl/worksheets/sheet27.xml><?xml version="1.0" encoding="utf-8"?>
<worksheet xmlns="http://schemas.openxmlformats.org/spreadsheetml/2006/main" xmlns:r="http://schemas.openxmlformats.org/officeDocument/2006/relationships">
  <dimension ref="A1:A48"/>
  <sheetViews>
    <sheetView zoomScalePageLayoutView="0" workbookViewId="0" topLeftCell="A1">
      <selection activeCell="E52" sqref="E52"/>
    </sheetView>
  </sheetViews>
  <sheetFormatPr defaultColWidth="8.796875" defaultRowHeight="15"/>
  <cols>
    <col min="1" max="1" width="62.3984375" style="161" customWidth="1"/>
    <col min="2" max="16384" width="8.8984375" style="161" customWidth="1"/>
  </cols>
  <sheetData>
    <row r="1" ht="18.75">
      <c r="A1" s="403" t="s">
        <v>410</v>
      </c>
    </row>
    <row r="2" ht="15.75">
      <c r="A2" s="70"/>
    </row>
    <row r="3" ht="54.75" customHeight="1">
      <c r="A3" s="404" t="s">
        <v>411</v>
      </c>
    </row>
    <row r="4" ht="15.75">
      <c r="A4" s="526"/>
    </row>
    <row r="5" ht="51" customHeight="1">
      <c r="A5" s="404" t="s">
        <v>412</v>
      </c>
    </row>
    <row r="6" ht="15.75">
      <c r="A6" s="70"/>
    </row>
    <row r="7" ht="51.75" customHeight="1">
      <c r="A7" s="404" t="s">
        <v>413</v>
      </c>
    </row>
    <row r="8" ht="13.5" customHeight="1">
      <c r="A8" s="404"/>
    </row>
    <row r="9" ht="51.75" customHeight="1">
      <c r="A9" s="475" t="s">
        <v>129</v>
      </c>
    </row>
    <row r="10" ht="15.75">
      <c r="A10" s="526"/>
    </row>
    <row r="11" ht="36" customHeight="1">
      <c r="A11" s="404" t="s">
        <v>414</v>
      </c>
    </row>
    <row r="12" ht="15.75">
      <c r="A12" s="70"/>
    </row>
    <row r="13" ht="51.75" customHeight="1">
      <c r="A13" s="404" t="s">
        <v>415</v>
      </c>
    </row>
    <row r="14" ht="15.75">
      <c r="A14" s="526"/>
    </row>
    <row r="15" ht="33" customHeight="1">
      <c r="A15" s="404" t="s">
        <v>416</v>
      </c>
    </row>
    <row r="16" ht="15.75">
      <c r="A16" s="526"/>
    </row>
    <row r="17" ht="32.25" customHeight="1">
      <c r="A17" s="404" t="s">
        <v>417</v>
      </c>
    </row>
    <row r="18" ht="15.75">
      <c r="A18" s="526"/>
    </row>
    <row r="19" ht="53.25" customHeight="1">
      <c r="A19" s="404" t="s">
        <v>418</v>
      </c>
    </row>
    <row r="20" ht="15.75">
      <c r="A20" s="70"/>
    </row>
    <row r="21" ht="50.25" customHeight="1">
      <c r="A21" s="404" t="s">
        <v>419</v>
      </c>
    </row>
    <row r="22" ht="15.75">
      <c r="A22" s="70"/>
    </row>
    <row r="23" ht="15.75">
      <c r="A23" s="70"/>
    </row>
    <row r="24" ht="96" customHeight="1">
      <c r="A24" s="404" t="s">
        <v>677</v>
      </c>
    </row>
    <row r="25" ht="15.75">
      <c r="A25" s="70"/>
    </row>
    <row r="26" ht="30.75" customHeight="1">
      <c r="A26" s="72" t="s">
        <v>678</v>
      </c>
    </row>
    <row r="27" ht="15.75">
      <c r="A27" s="70"/>
    </row>
    <row r="28" ht="95.25" customHeight="1">
      <c r="A28" s="477" t="s">
        <v>130</v>
      </c>
    </row>
    <row r="29" ht="15.75">
      <c r="A29" s="70"/>
    </row>
    <row r="30" ht="34.5" customHeight="1">
      <c r="A30" s="404" t="s">
        <v>679</v>
      </c>
    </row>
    <row r="31" ht="15.75">
      <c r="A31" s="70"/>
    </row>
    <row r="32" ht="66" customHeight="1">
      <c r="A32" s="404" t="s">
        <v>680</v>
      </c>
    </row>
    <row r="33" ht="15.75">
      <c r="A33" s="526"/>
    </row>
    <row r="34" ht="57" customHeight="1">
      <c r="A34" s="404" t="s">
        <v>681</v>
      </c>
    </row>
    <row r="35" ht="15.75">
      <c r="A35" s="70"/>
    </row>
    <row r="36" ht="49.5" customHeight="1">
      <c r="A36" s="404" t="s">
        <v>682</v>
      </c>
    </row>
    <row r="37" ht="15.75">
      <c r="A37" s="70"/>
    </row>
    <row r="38" ht="74.25" customHeight="1">
      <c r="A38" s="477" t="s">
        <v>131</v>
      </c>
    </row>
    <row r="39" ht="15.75">
      <c r="A39" s="70"/>
    </row>
    <row r="40" ht="55.5" customHeight="1">
      <c r="A40" s="404" t="s">
        <v>683</v>
      </c>
    </row>
    <row r="41" ht="15.75">
      <c r="A41" s="70"/>
    </row>
    <row r="42" ht="53.25" customHeight="1">
      <c r="A42" s="404" t="s">
        <v>684</v>
      </c>
    </row>
    <row r="43" ht="15.75">
      <c r="A43" s="526"/>
    </row>
    <row r="44" ht="47.25" customHeight="1">
      <c r="A44" s="404" t="s">
        <v>685</v>
      </c>
    </row>
    <row r="45" ht="15.75">
      <c r="A45" s="526"/>
    </row>
    <row r="46" ht="49.5" customHeight="1">
      <c r="A46" s="404" t="s">
        <v>686</v>
      </c>
    </row>
    <row r="47" ht="15.75">
      <c r="A47" s="526"/>
    </row>
    <row r="48" ht="36" customHeight="1">
      <c r="A48" s="404" t="s">
        <v>687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E52" sqref="E52"/>
    </sheetView>
  </sheetViews>
  <sheetFormatPr defaultColWidth="8.796875" defaultRowHeight="15"/>
  <cols>
    <col min="1" max="1" width="17.796875" style="70" customWidth="1"/>
    <col min="2" max="2" width="15.69921875" style="70" customWidth="1"/>
    <col min="3" max="3" width="9.3984375" style="70" customWidth="1"/>
    <col min="4" max="4" width="16.796875" style="70" customWidth="1"/>
    <col min="5" max="5" width="9.796875" style="70" customWidth="1"/>
    <col min="6" max="6" width="15.796875" style="70" customWidth="1"/>
    <col min="7" max="7" width="13.69921875" style="70" customWidth="1"/>
    <col min="8" max="8" width="9.796875" style="70" customWidth="1"/>
    <col min="9" max="9" width="8.8984375" style="70" customWidth="1"/>
    <col min="10" max="10" width="12.3984375" style="70" customWidth="1"/>
    <col min="11" max="11" width="12.296875" style="70" customWidth="1"/>
    <col min="12" max="12" width="10.59765625" style="70" customWidth="1"/>
    <col min="13" max="13" width="12.09765625" style="70" customWidth="1"/>
    <col min="14" max="16384" width="8.8984375" style="70" customWidth="1"/>
  </cols>
  <sheetData>
    <row r="1" spans="1:8" ht="15.75">
      <c r="A1" s="82"/>
      <c r="B1" s="82"/>
      <c r="C1" s="82"/>
      <c r="D1" s="82"/>
      <c r="E1" s="82"/>
      <c r="F1" s="82"/>
      <c r="G1" s="82"/>
      <c r="H1" s="283">
        <f>inputPrYr!C4</f>
        <v>2014</v>
      </c>
    </row>
    <row r="2" spans="1:9" ht="15.75">
      <c r="A2" s="750" t="s">
        <v>982</v>
      </c>
      <c r="B2" s="750"/>
      <c r="C2" s="750"/>
      <c r="D2" s="750"/>
      <c r="E2" s="750"/>
      <c r="F2" s="750"/>
      <c r="G2" s="750"/>
      <c r="H2" s="750"/>
      <c r="I2" s="378"/>
    </row>
    <row r="3" spans="1:8" ht="15.75">
      <c r="A3" s="82"/>
      <c r="B3" s="82"/>
      <c r="C3" s="82"/>
      <c r="D3" s="82"/>
      <c r="E3" s="82"/>
      <c r="F3" s="82"/>
      <c r="G3" s="82"/>
      <c r="H3" s="82"/>
    </row>
    <row r="4" spans="1:8" ht="15.75">
      <c r="A4" s="806" t="s">
        <v>1011</v>
      </c>
      <c r="B4" s="806"/>
      <c r="C4" s="806"/>
      <c r="D4" s="806"/>
      <c r="E4" s="806"/>
      <c r="F4" s="806"/>
      <c r="G4" s="806"/>
      <c r="H4" s="806"/>
    </row>
    <row r="5" spans="1:8" ht="15.75">
      <c r="A5" s="820" t="str">
        <f>inputPrYr!C2</f>
        <v>Gove County</v>
      </c>
      <c r="B5" s="820"/>
      <c r="C5" s="820"/>
      <c r="D5" s="820"/>
      <c r="E5" s="820"/>
      <c r="F5" s="820"/>
      <c r="G5" s="820"/>
      <c r="H5" s="820"/>
    </row>
    <row r="6" spans="1:8" ht="15.75">
      <c r="A6" s="806" t="str">
        <f>CONCATENATE("will meet on ",inputBudSum!B5," at ",inputBudSum!B7," at ",inputBudSum!B9," for the purpose of hearing and")</f>
        <v>will meet on August 12, 2013 at 8:15 AM at the Commissioner's Room, Gove, Kansas for the purpose of hearing and</v>
      </c>
      <c r="B6" s="806"/>
      <c r="C6" s="806"/>
      <c r="D6" s="806"/>
      <c r="E6" s="806"/>
      <c r="F6" s="806"/>
      <c r="G6" s="806"/>
      <c r="H6" s="806"/>
    </row>
    <row r="7" spans="1:8" ht="15.75">
      <c r="A7" s="806" t="s">
        <v>780</v>
      </c>
      <c r="B7" s="806"/>
      <c r="C7" s="806"/>
      <c r="D7" s="806"/>
      <c r="E7" s="806"/>
      <c r="F7" s="806"/>
      <c r="G7" s="806"/>
      <c r="H7" s="806"/>
    </row>
    <row r="8" spans="1:8" ht="15.75">
      <c r="A8" s="806" t="str">
        <f>CONCATENATE("Detailed budget information is available at ",inputBudSum!B12," and will be available at this hearing.")</f>
        <v>Detailed budget information is available at the Gove County Clerk's Office, Gove, Kansas and will be available at this hearing.</v>
      </c>
      <c r="B8" s="806"/>
      <c r="C8" s="806"/>
      <c r="D8" s="806"/>
      <c r="E8" s="806"/>
      <c r="F8" s="806"/>
      <c r="G8" s="806"/>
      <c r="H8" s="806"/>
    </row>
    <row r="9" spans="1:8" ht="15.75">
      <c r="A9" s="89" t="s">
        <v>983</v>
      </c>
      <c r="B9" s="90"/>
      <c r="C9" s="90"/>
      <c r="D9" s="207"/>
      <c r="E9" s="90"/>
      <c r="F9" s="90"/>
      <c r="G9" s="90"/>
      <c r="H9" s="90"/>
    </row>
    <row r="10" spans="1:8" ht="15.75">
      <c r="A10" s="806" t="str">
        <f>CONCATENATE("Proposed Budget ",H1," Expenditures and Amount of ",H1-1," Ad Valorem Tax establish the maximum limits of the ",H1," budget.")</f>
        <v>Proposed Budget 2014 Expenditures and Amount of 2013 Ad Valorem Tax establish the maximum limits of the 2014 budget.</v>
      </c>
      <c r="B10" s="806"/>
      <c r="C10" s="806"/>
      <c r="D10" s="806"/>
      <c r="E10" s="806"/>
      <c r="F10" s="806"/>
      <c r="G10" s="806"/>
      <c r="H10" s="806"/>
    </row>
    <row r="11" spans="1:8" ht="15.75">
      <c r="A11" s="806" t="s">
        <v>1036</v>
      </c>
      <c r="B11" s="806"/>
      <c r="C11" s="806"/>
      <c r="D11" s="806"/>
      <c r="E11" s="806"/>
      <c r="F11" s="806"/>
      <c r="G11" s="806"/>
      <c r="H11" s="806"/>
    </row>
    <row r="12" spans="1:9" ht="15.75">
      <c r="A12" s="82"/>
      <c r="B12" s="82"/>
      <c r="C12" s="82"/>
      <c r="D12" s="82"/>
      <c r="E12" s="82"/>
      <c r="F12" s="82"/>
      <c r="G12" s="82"/>
      <c r="H12" s="82"/>
      <c r="I12" s="140"/>
    </row>
    <row r="13" spans="1:8" ht="15.75">
      <c r="A13" s="82"/>
      <c r="B13" s="379" t="str">
        <f>CONCATENATE("Prior Year Actual for ",H1-2,"")</f>
        <v>Prior Year Actual for 2012</v>
      </c>
      <c r="C13" s="210"/>
      <c r="D13" s="380" t="str">
        <f>CONCATENATE("Current Year Estimate for ",H1-1,"")</f>
        <v>Current Year Estimate for 2013</v>
      </c>
      <c r="E13" s="210"/>
      <c r="F13" s="208" t="str">
        <f>CONCATENATE("Proposed Budget Year for ",H1,"")</f>
        <v>Proposed Budget Year for 2014</v>
      </c>
      <c r="G13" s="209"/>
      <c r="H13" s="210"/>
    </row>
    <row r="14" spans="1:8" ht="18.75" customHeight="1">
      <c r="A14" s="81"/>
      <c r="B14" s="318"/>
      <c r="C14" s="211" t="s">
        <v>942</v>
      </c>
      <c r="D14" s="211"/>
      <c r="E14" s="211" t="s">
        <v>942</v>
      </c>
      <c r="F14" s="502" t="s">
        <v>801</v>
      </c>
      <c r="G14" s="777" t="str">
        <f>CONCATENATE("Amount of ",H1-1,"       Ad Valorem Tax")</f>
        <v>Amount of 2013       Ad Valorem Tax</v>
      </c>
      <c r="H14" s="211" t="s">
        <v>943</v>
      </c>
    </row>
    <row r="15" spans="1:8" ht="15.75">
      <c r="A15" s="110" t="s">
        <v>944</v>
      </c>
      <c r="B15" s="260" t="s">
        <v>292</v>
      </c>
      <c r="C15" s="260" t="s">
        <v>945</v>
      </c>
      <c r="D15" s="260" t="s">
        <v>292</v>
      </c>
      <c r="E15" s="260" t="s">
        <v>945</v>
      </c>
      <c r="F15" s="503" t="s">
        <v>802</v>
      </c>
      <c r="G15" s="757"/>
      <c r="H15" s="260" t="s">
        <v>945</v>
      </c>
    </row>
    <row r="16" spans="1:8" ht="15.75">
      <c r="A16" s="124" t="str">
        <f>inputPrYr!B16</f>
        <v>General</v>
      </c>
      <c r="B16" s="124">
        <f>IF(general!$C$115&lt;&gt;0,general!$C$115,"  ")</f>
        <v>1641274</v>
      </c>
      <c r="C16" s="381">
        <f>IF(inputPrYr!D90&lt;&gt;0,inputPrYr!D90,"  ")</f>
        <v>12.35</v>
      </c>
      <c r="D16" s="124">
        <f>IF(general!$D$115&lt;&gt;0,general!$D$115,"  ")</f>
        <v>1770186</v>
      </c>
      <c r="E16" s="381">
        <f>IF(inputPrYr!F16&lt;&gt;0,inputPrYr!F16,"  ")</f>
        <v>16.768</v>
      </c>
      <c r="F16" s="124">
        <f>IF(general!$E$115&lt;&gt;0,general!$E$115,"  ")</f>
        <v>2583717</v>
      </c>
      <c r="G16" s="124">
        <f>IF(general!$E$122&lt;&gt;0,general!$E$122,"  ")</f>
        <v>1068479</v>
      </c>
      <c r="H16" s="381">
        <f>IF(general!E122&lt;&gt;0,ROUND(G16/$F$47*1000,3),"  ")</f>
        <v>18.247</v>
      </c>
    </row>
    <row r="17" spans="1:8" ht="15.75">
      <c r="A17" s="124" t="str">
        <f>inputPrYr!B17</f>
        <v>Bond &amp; Interest</v>
      </c>
      <c r="B17" s="124">
        <f>IF(DebtService!$C$41&lt;&gt;0,DebtService!$C$41,"  ")</f>
        <v>20810</v>
      </c>
      <c r="C17" s="381" t="str">
        <f>IF(inputPrYr!D91&lt;&gt;0,inputPrYr!D91,"  ")</f>
        <v>  </v>
      </c>
      <c r="D17" s="124" t="str">
        <f>IF(DebtService!$D$41&lt;&gt;0,DebtService!$D$41,"  ")</f>
        <v>  </v>
      </c>
      <c r="E17" s="381" t="str">
        <f>IF(inputPrYr!F17&lt;&gt;0,inputPrYr!F17,"  ")</f>
        <v>  </v>
      </c>
      <c r="F17" s="124" t="str">
        <f>IF(DebtService!$E$41&lt;&gt;0,DebtService!$E$41,"  ")</f>
        <v>  </v>
      </c>
      <c r="G17" s="124" t="str">
        <f>IF(DebtService!$E$48&lt;&gt;0,DebtService!$E$48,"  ")</f>
        <v>  </v>
      </c>
      <c r="H17" s="381" t="str">
        <f>IF(DebtService!E48&lt;&gt;0,ROUND(G17/$F$47*1000,3),"  ")</f>
        <v>  </v>
      </c>
    </row>
    <row r="18" spans="1:8" ht="15.75">
      <c r="A18" s="124" t="str">
        <f>inputPrYr!B18</f>
        <v>Road &amp; Bridge</v>
      </c>
      <c r="B18" s="124">
        <f>IF(road!$C$47&lt;&gt;0,road!$C$47,"  ")</f>
        <v>1788997</v>
      </c>
      <c r="C18" s="381">
        <f>IF(inputPrYr!D92&lt;&gt;0,inputPrYr!D92,"  ")</f>
        <v>24.328</v>
      </c>
      <c r="D18" s="124">
        <f>IF(road!$D$47&lt;&gt;0,road!$D$47,"  ")</f>
        <v>2019376</v>
      </c>
      <c r="E18" s="381">
        <f>IF(inputPrYr!F18&lt;&gt;0,inputPrYr!F18,"  ")</f>
        <v>24.416</v>
      </c>
      <c r="F18" s="124">
        <f>IF(road!$E$47&lt;&gt;0,road!$E$47,"  ")</f>
        <v>2099931</v>
      </c>
      <c r="G18" s="124">
        <f>IF(road!$E$54&lt;&gt;0,road!$E$54,"  ")</f>
        <v>1700245.11</v>
      </c>
      <c r="H18" s="381">
        <f>IF(road!E54&lt;&gt;0,ROUND(G18/$F$47*1000,3),"  ")</f>
        <v>29.036</v>
      </c>
    </row>
    <row r="19" spans="1:8" ht="15.75">
      <c r="A19" s="124" t="str">
        <f>IF((inputPrYr!$B19&gt;" "),(inputPrYr!$B19),"  ")</f>
        <v>Noxious Weed</v>
      </c>
      <c r="B19" s="124">
        <f>IF('levy page10'!$C$29&lt;&gt;0,'levy page10'!$C$29,"  ")</f>
        <v>168644</v>
      </c>
      <c r="C19" s="381">
        <f>IF(inputPrYr!D93&lt;&gt;0,inputPrYr!D93,"  ")</f>
        <v>1.563</v>
      </c>
      <c r="D19" s="124">
        <f>IF('levy page10'!$D$29&lt;&gt;0,'levy page10'!$D$29,"  ")</f>
        <v>187927</v>
      </c>
      <c r="E19" s="381">
        <f>IF(inputPrYr!F19&lt;&gt;0,inputPrYr!F19,"  ")</f>
        <v>1.439</v>
      </c>
      <c r="F19" s="124">
        <f>IF('levy page10'!$E$29&lt;&gt;0,'levy page10'!$E$29,"  ")</f>
        <v>229544</v>
      </c>
      <c r="G19" s="124">
        <f>IF('levy page10'!$E$36&lt;&gt;0,'levy page10'!$E$36,"  ")</f>
        <v>100010</v>
      </c>
      <c r="H19" s="381">
        <f>IF('levy page10'!E36&lt;&gt;0,ROUND(G19/$F$47*1000,3),"  ")</f>
        <v>1.708</v>
      </c>
    </row>
    <row r="20" spans="1:8" ht="15.75">
      <c r="A20" s="124" t="str">
        <f>IF((inputPrYr!$B20&gt;" "),(inputPrYr!$B20),"  ")</f>
        <v>Hospital Maintenance</v>
      </c>
      <c r="B20" s="124">
        <f>IF('levy page10'!$C$58&lt;&gt;0,'levy page10'!$C$58,"  ")</f>
        <v>612000</v>
      </c>
      <c r="C20" s="381">
        <f>IF(inputPrYr!D94&lt;&gt;0,inputPrYr!D94,"  ")</f>
        <v>3.346</v>
      </c>
      <c r="D20" s="124">
        <f>IF('levy page10'!$D$58&lt;&gt;0,'levy page10'!$D$58,"  ")</f>
        <v>643357</v>
      </c>
      <c r="E20" s="381">
        <f>IF(inputPrYr!F20&lt;&gt;0,inputPrYr!F20,"  ")</f>
        <v>2.903</v>
      </c>
      <c r="F20" s="124">
        <f>IF('levy page10'!$E$58&lt;&gt;0,'levy page10'!$E$58,"  ")</f>
        <v>663422</v>
      </c>
      <c r="G20" s="124">
        <f>IF('levy page10'!$E$65&lt;&gt;0,'levy page10'!$E$65,"  ")</f>
        <v>217131</v>
      </c>
      <c r="H20" s="381">
        <f>IF('levy page10'!E65&lt;&gt;0,ROUND(G20/$F$47*1000,3),"  ")</f>
        <v>3.708</v>
      </c>
    </row>
    <row r="21" spans="1:8" ht="15.75">
      <c r="A21" s="124" t="str">
        <f>IF((inputPrYr!$B21&gt;" "),(inputPrYr!$B21),"  ")</f>
        <v>Employee Benefits</v>
      </c>
      <c r="B21" s="124">
        <f>IF('levy page11'!$C$29&lt;&gt;0,'levy page11'!$C$29,"  ")</f>
        <v>767400</v>
      </c>
      <c r="C21" s="381">
        <f>IF(inputPrYr!D95&lt;&gt;0,inputPrYr!D95,"  ")</f>
        <v>10.994</v>
      </c>
      <c r="D21" s="124">
        <f>IF('levy page11'!$D$29&lt;&gt;0,'levy page11'!$D$29,"  ")</f>
        <v>774641</v>
      </c>
      <c r="E21" s="381">
        <f>IF(inputPrYr!F21&lt;&gt;0,inputPrYr!F21,"  ")</f>
        <v>10.502</v>
      </c>
      <c r="F21" s="124">
        <f>IF('levy page11'!$E$29&lt;&gt;0,'levy page11'!$E$29,"  ")</f>
        <v>892000</v>
      </c>
      <c r="G21" s="124">
        <f>IF('levy page11'!$E$36&lt;&gt;0,'levy page11'!$E$36,"  ")</f>
        <v>861689</v>
      </c>
      <c r="H21" s="381">
        <f>IF('levy page11'!$E$36&lt;&gt;0,ROUND(G21/$F$47*1000,3),"  ")</f>
        <v>14.715</v>
      </c>
    </row>
    <row r="22" spans="1:8" ht="15.75">
      <c r="A22" s="124" t="str">
        <f>IF((inputPrYr!$B22&gt;" "),(inputPrYr!$B22),"  ")</f>
        <v>Ag Extension</v>
      </c>
      <c r="B22" s="124">
        <f>IF('levy page11'!$C$56&lt;&gt;0,'levy page11'!$C$56,"  ")</f>
        <v>7542</v>
      </c>
      <c r="C22" s="381" t="str">
        <f>IF(inputPrYr!D96&lt;&gt;0,inputPrYr!D96,"  ")</f>
        <v>  </v>
      </c>
      <c r="D22" s="124" t="str">
        <f>IF('levy page11'!$D$56&lt;&gt;0,'levy page11'!$D$56,"  ")</f>
        <v>  </v>
      </c>
      <c r="E22" s="381" t="str">
        <f>IF(inputPrYr!F22&lt;&gt;0,inputPrYr!F22,"  ")</f>
        <v>  </v>
      </c>
      <c r="F22" s="124" t="str">
        <f>IF('levy page11'!$E$56&lt;&gt;0,'levy page11'!$E$56,"  ")</f>
        <v>  </v>
      </c>
      <c r="G22" s="124" t="str">
        <f>IF('levy page11'!$E$63&lt;&gt;0,'levy page11'!$E$63,"  ")</f>
        <v>  </v>
      </c>
      <c r="H22" s="381" t="str">
        <f>IF('levy page11'!$E$63&lt;&gt;0,ROUND(G22/$F$47*1000,3),"  ")</f>
        <v>  </v>
      </c>
    </row>
    <row r="23" spans="1:8" ht="15.75">
      <c r="A23" s="124" t="str">
        <f>IF((inputPrYr!$B23&gt;" "),(inputPrYr!$B23),"  ")</f>
        <v>Mental Health</v>
      </c>
      <c r="B23" s="124">
        <f>IF('levy page12'!$C$25&lt;&gt;0,'levy page12'!$C$25,"  ")</f>
        <v>25580</v>
      </c>
      <c r="C23" s="381">
        <f>IF(inputPrYr!D97&lt;&gt;0,inputPrYr!D97,"  ")</f>
        <v>0.423</v>
      </c>
      <c r="D23" s="124">
        <f>IF('levy page12'!$D$25&lt;&gt;0,'levy page12'!$D$25,"  ")</f>
        <v>27774</v>
      </c>
      <c r="E23" s="381">
        <f>IF(inputPrYr!F23&lt;&gt;0,inputPrYr!F23,"  ")</f>
        <v>0.368</v>
      </c>
      <c r="F23" s="124">
        <f>IF('levy page12'!$E$25&lt;&gt;0,'levy page12'!$E$25,"  ")</f>
        <v>27000</v>
      </c>
      <c r="G23" s="124">
        <f>IF('levy page12'!$E$32&lt;&gt;0,'levy page12'!$E$32,"  ")</f>
        <v>25727</v>
      </c>
      <c r="H23" s="381">
        <f>IF('levy page12'!$E$32&lt;&gt;0,ROUND(G23/$F$47*1000,3),"  ")</f>
        <v>0.439</v>
      </c>
    </row>
    <row r="24" spans="1:8" ht="15.75">
      <c r="A24" s="124" t="str">
        <f>IF((inputPrYr!$B24&gt;" "),(inputPrYr!$B24),"  ")</f>
        <v>Developmental Service</v>
      </c>
      <c r="B24" s="124">
        <f>IF('levy page12'!$C$55&lt;&gt;0,'levy page12'!$C$55,"  ")</f>
        <v>51340</v>
      </c>
      <c r="C24" s="381">
        <f>IF(inputPrYr!D98&lt;&gt;0,inputPrYr!D98,"  ")</f>
        <v>0.849</v>
      </c>
      <c r="D24" s="124">
        <f>IF('levy page12'!$D$55&lt;&gt;0,'levy page12'!$D$55,"  ")</f>
        <v>54809</v>
      </c>
      <c r="E24" s="381">
        <f>IF(inputPrYr!F24&lt;&gt;0,inputPrYr!F24,"  ")</f>
        <v>0.738</v>
      </c>
      <c r="F24" s="124">
        <f>IF('levy page12'!$E$55&lt;&gt;0,'levy page12'!$E$55,"  ")</f>
        <v>54000</v>
      </c>
      <c r="G24" s="124">
        <f>IF('levy page12'!$E$62&lt;&gt;0,'levy page12'!$E$62,"  ")</f>
        <v>51632</v>
      </c>
      <c r="H24" s="381">
        <f>IF('levy page12'!$E$62&lt;&gt;0,ROUND(G24/$F$47*1000,3),"  ")</f>
        <v>0.882</v>
      </c>
    </row>
    <row r="25" spans="1:8" ht="15.75">
      <c r="A25" s="124" t="str">
        <f>IF((inputPrYr!$B25&gt;" "),(inputPrYr!$B25),"  ")</f>
        <v>  </v>
      </c>
      <c r="B25" s="124"/>
      <c r="C25" s="381"/>
      <c r="D25" s="124"/>
      <c r="E25" s="381"/>
      <c r="F25" s="124"/>
      <c r="G25" s="124"/>
      <c r="H25" s="381"/>
    </row>
    <row r="26" spans="1:8" ht="15.75">
      <c r="A26" s="124" t="str">
        <f>IF((inputPrYr!$B26&gt;" "),(inputPrYr!$B26),"  ")</f>
        <v>  </v>
      </c>
      <c r="B26" s="124"/>
      <c r="C26" s="381"/>
      <c r="D26" s="124"/>
      <c r="E26" s="381"/>
      <c r="F26" s="124"/>
      <c r="G26" s="124"/>
      <c r="H26" s="381"/>
    </row>
    <row r="27" spans="1:8" ht="15.75">
      <c r="A27" s="124" t="str">
        <f>IF((inputPrYr!$B27&gt;" "),(inputPrYr!$B27),"  ")</f>
        <v>  </v>
      </c>
      <c r="B27" s="124"/>
      <c r="C27" s="381"/>
      <c r="D27" s="124"/>
      <c r="E27" s="381"/>
      <c r="F27" s="124"/>
      <c r="G27" s="124"/>
      <c r="H27" s="381"/>
    </row>
    <row r="28" spans="1:8" ht="15.75">
      <c r="A28" s="124" t="str">
        <f>IF((inputPrYr!$B43&gt;" "),(inputPrYr!$B43),"  ")</f>
        <v>Noxious Weed Capital Outlay</v>
      </c>
      <c r="B28" s="124" t="str">
        <f>IF('no levy page13'!$C$20&lt;&gt;0,'no levy page13'!$C$20,"  ")</f>
        <v>  </v>
      </c>
      <c r="C28" s="105"/>
      <c r="D28" s="124" t="str">
        <f>IF('no levy page13'!$D$20&lt;&gt;0,'no levy page13'!$D$20,"  ")</f>
        <v>  </v>
      </c>
      <c r="E28" s="105"/>
      <c r="F28" s="124">
        <f>IF('no levy page13'!$E$20&lt;&gt;0,'no levy page13'!$E$20,"  ")</f>
        <v>75703</v>
      </c>
      <c r="G28" s="124"/>
      <c r="H28" s="101"/>
    </row>
    <row r="29" spans="1:8" ht="15.75">
      <c r="A29" s="124" t="str">
        <f>IF((inputPrYr!$B44&gt;" "),(inputPrYr!$B44),"  ")</f>
        <v>Solid Waste</v>
      </c>
      <c r="B29" s="124">
        <f>IF('no levy page13'!$C$48&lt;&gt;0,'no levy page13'!$C$48,"  ")</f>
        <v>164043</v>
      </c>
      <c r="C29" s="105"/>
      <c r="D29" s="124">
        <f>IF('no levy page13'!$D$48&lt;&gt;0,'no levy page13'!$D$48,"  ")</f>
        <v>142000</v>
      </c>
      <c r="E29" s="105"/>
      <c r="F29" s="124">
        <f>IF('no levy page13'!$E$48&lt;&gt;0,'no levy page13'!$E$48,"  ")</f>
        <v>385809</v>
      </c>
      <c r="G29" s="124"/>
      <c r="H29" s="101"/>
    </row>
    <row r="30" spans="1:8" ht="15.75">
      <c r="A30" s="124" t="str">
        <f>IF((inputPrYr!$B45&gt;" "),(inputPrYr!$B45),"  ")</f>
        <v>Special Alcohol &amp; Drug</v>
      </c>
      <c r="B30" s="124">
        <f>IF('no levy page14'!$C$21&lt;&gt;0,'no levy page14'!$C$21,"  ")</f>
        <v>200</v>
      </c>
      <c r="C30" s="105"/>
      <c r="D30" s="124">
        <f>IF('no levy page14'!$D$21&lt;&gt;0,'no levy page14'!$D$21,"  ")</f>
        <v>400</v>
      </c>
      <c r="E30" s="105"/>
      <c r="F30" s="124">
        <f>IF('no levy page14'!$E$21&lt;&gt;0,'no levy page14'!$E$21,"  ")</f>
        <v>15296</v>
      </c>
      <c r="G30" s="124"/>
      <c r="H30" s="101"/>
    </row>
    <row r="31" spans="1:8" ht="15.75">
      <c r="A31" s="124" t="str">
        <f>IF((inputPrYr!$B46&gt;" "),(inputPrYr!$B46),"  ")</f>
        <v>911 Emergency Service</v>
      </c>
      <c r="B31" s="124">
        <f>IF('no levy page14'!$C$45&lt;&gt;0,'no levy page14'!$C$45,"  ")</f>
        <v>3912</v>
      </c>
      <c r="C31" s="105"/>
      <c r="D31" s="124" t="str">
        <f>IF('no levy page14'!$D$45&lt;&gt;0,'no levy page14'!$D$45,"  ")</f>
        <v>  </v>
      </c>
      <c r="E31" s="105"/>
      <c r="F31" s="124">
        <f>IF('no levy page14'!$E$45&lt;&gt;0,'no levy page14'!$E$45,"  ")</f>
        <v>55796</v>
      </c>
      <c r="G31" s="124"/>
      <c r="H31" s="101"/>
    </row>
    <row r="32" spans="1:8" ht="15.75">
      <c r="A32" s="124" t="str">
        <f>IF((inputPrYr!$B47&gt;" "),(inputPrYr!$B47),"  ")</f>
        <v>911 Wireless</v>
      </c>
      <c r="B32" s="124" t="str">
        <f>IF('no levy page15'!$C$21&lt;&gt;0,'no levy page15'!$C$21,"  ")</f>
        <v>  </v>
      </c>
      <c r="C32" s="105"/>
      <c r="D32" s="124" t="str">
        <f>IF('no levy page15'!$D$21&lt;&gt;0,'no levy page15'!$D$21,"  ")</f>
        <v>  </v>
      </c>
      <c r="E32" s="105"/>
      <c r="F32" s="124">
        <f>IF('no levy page15'!$E$21&lt;&gt;0,'no levy page15'!$E$21,"  ")</f>
        <v>7699</v>
      </c>
      <c r="G32" s="124"/>
      <c r="H32" s="101"/>
    </row>
    <row r="33" spans="1:8" ht="15.75">
      <c r="A33" s="124" t="str">
        <f>IF((inputPrYr!$B48&gt;" "),(inputPrYr!$B48),"  ")</f>
        <v>  </v>
      </c>
      <c r="B33" s="124" t="str">
        <f>IF('no levy page15'!$C$52&lt;&gt;0,'no levy page15'!$C$52,"  ")</f>
        <v>  </v>
      </c>
      <c r="C33" s="105"/>
      <c r="D33" s="124" t="str">
        <f>IF('no levy page15'!$D$52&lt;&gt;0,'no levy page15'!$D$52,"  ")</f>
        <v>  </v>
      </c>
      <c r="E33" s="105"/>
      <c r="F33" s="124" t="str">
        <f>IF('no levy page15'!$E$52&lt;&gt;0,'no levy page15'!$E$52,"  ")</f>
        <v>  </v>
      </c>
      <c r="G33" s="124"/>
      <c r="H33" s="101"/>
    </row>
    <row r="34" spans="1:8" ht="15.75">
      <c r="A34" s="124" t="str">
        <f>IF((inputPrYr!$B49&gt;" "),(inputPrYr!$B49),"  ")</f>
        <v>  </v>
      </c>
      <c r="B34" s="124"/>
      <c r="C34" s="105"/>
      <c r="D34" s="124"/>
      <c r="E34" s="105"/>
      <c r="F34" s="124"/>
      <c r="G34" s="124"/>
      <c r="H34" s="101"/>
    </row>
    <row r="35" spans="1:8" ht="15.75">
      <c r="A35" s="124" t="str">
        <f>IF((inputPrYr!$B50&gt;" "),(inputPrYr!$B50),"  ")</f>
        <v>  </v>
      </c>
      <c r="B35" s="124"/>
      <c r="C35" s="105"/>
      <c r="D35" s="124"/>
      <c r="E35" s="105"/>
      <c r="F35" s="124"/>
      <c r="G35" s="124"/>
      <c r="H35" s="101"/>
    </row>
    <row r="36" spans="1:8" ht="15.75">
      <c r="A36" s="124" t="str">
        <f>IF((inputPrYr!$B51&gt;" "),(inputPrYr!$B51),"  ")</f>
        <v>  </v>
      </c>
      <c r="B36" s="124"/>
      <c r="C36" s="105"/>
      <c r="D36" s="124"/>
      <c r="E36" s="105"/>
      <c r="F36" s="124"/>
      <c r="G36" s="124"/>
      <c r="H36" s="101"/>
    </row>
    <row r="37" spans="1:13" ht="15.75">
      <c r="A37" s="124" t="str">
        <f>IF((inputPrYr!$B52&gt;" "),(inputPrYr!$B52),"  ")</f>
        <v>  </v>
      </c>
      <c r="B37" s="124"/>
      <c r="C37" s="105"/>
      <c r="D37" s="124"/>
      <c r="E37" s="105"/>
      <c r="F37" s="124"/>
      <c r="G37" s="124"/>
      <c r="H37" s="101"/>
      <c r="J37" s="812" t="str">
        <f>CONCATENATE("Estimated Value Of One Mill For ",H1,"")</f>
        <v>Estimated Value Of One Mill For 2014</v>
      </c>
      <c r="K37" s="818"/>
      <c r="L37" s="818"/>
      <c r="M37" s="819"/>
    </row>
    <row r="38" spans="1:13" ht="15.75">
      <c r="A38" s="124" t="str">
        <f>IF((inputPrYr!$B53&gt;" "),(inputPrYr!$B53),"  ")</f>
        <v>  </v>
      </c>
      <c r="B38" s="124"/>
      <c r="C38" s="105"/>
      <c r="D38" s="124"/>
      <c r="E38" s="105"/>
      <c r="F38" s="124"/>
      <c r="G38" s="124"/>
      <c r="H38" s="101"/>
      <c r="J38" s="508"/>
      <c r="K38" s="509"/>
      <c r="L38" s="509"/>
      <c r="M38" s="510"/>
    </row>
    <row r="39" spans="1:13" ht="15.75">
      <c r="A39" s="187" t="str">
        <f>IF((inputPrYr!$B62&gt;"  "),(nonbudA!$A3),"  ")</f>
        <v>Non-Budgeted Funds-A</v>
      </c>
      <c r="B39" s="124">
        <f>IF(nonbudA!$K$28&lt;&gt;0,nonbudA!$K$28,"  ")</f>
        <v>443934</v>
      </c>
      <c r="C39" s="105"/>
      <c r="D39" s="124"/>
      <c r="E39" s="105"/>
      <c r="F39" s="124"/>
      <c r="G39" s="124"/>
      <c r="H39" s="101"/>
      <c r="J39" s="511" t="s">
        <v>815</v>
      </c>
      <c r="K39" s="512"/>
      <c r="L39" s="512"/>
      <c r="M39" s="513">
        <f>ROUND(F47/1000,0)</f>
        <v>58557</v>
      </c>
    </row>
    <row r="40" spans="1:8" ht="15.75">
      <c r="A40" s="187" t="str">
        <f>IF((inputPrYr!$B68&gt;"  "),(nonbudB!$A3),"  ")</f>
        <v>Non-Budgeted Funds-B</v>
      </c>
      <c r="B40" s="124">
        <f>IF(nonbudB!$K$28&lt;&gt;0,nonbudB!$K$28,"  ")</f>
        <v>32982</v>
      </c>
      <c r="C40" s="105"/>
      <c r="D40" s="124"/>
      <c r="E40" s="105"/>
      <c r="F40" s="124"/>
      <c r="G40" s="124"/>
      <c r="H40" s="101"/>
    </row>
    <row r="41" spans="1:13" ht="15.75">
      <c r="A41" s="187" t="str">
        <f>IF((inputPrYr!$B74&gt;"  "),(nonbudC!$A3),"  ")</f>
        <v>Non-Budgeted Funds-C</v>
      </c>
      <c r="B41" s="124">
        <f>IF(nonbudC!$K$28&lt;&gt;0,nonbudC!$K$28,"  ")</f>
        <v>4682</v>
      </c>
      <c r="C41" s="105"/>
      <c r="D41" s="124"/>
      <c r="E41" s="105"/>
      <c r="F41" s="124"/>
      <c r="G41" s="124"/>
      <c r="H41" s="101"/>
      <c r="J41" s="812" t="str">
        <f>CONCATENATE("Want The Mill Rate The Same As For ",H1-1,"?")</f>
        <v>Want The Mill Rate The Same As For 2013?</v>
      </c>
      <c r="K41" s="818"/>
      <c r="L41" s="818"/>
      <c r="M41" s="819"/>
    </row>
    <row r="42" spans="1:13" ht="16.5" thickBot="1">
      <c r="A42" s="187" t="str">
        <f>IF((inputPrYr!$B80&gt;"  "),(nonbudD!$A3),"  ")</f>
        <v>Non-Budgeted Funds-D</v>
      </c>
      <c r="B42" s="497" t="str">
        <f>IF(nonbudD!$K$28&lt;&gt;0,nonbudD!$K$28,"  ")</f>
        <v>  </v>
      </c>
      <c r="C42" s="496"/>
      <c r="D42" s="497"/>
      <c r="E42" s="496"/>
      <c r="F42" s="497"/>
      <c r="G42" s="497"/>
      <c r="H42" s="495"/>
      <c r="J42" s="515"/>
      <c r="K42" s="509"/>
      <c r="L42" s="509"/>
      <c r="M42" s="516"/>
    </row>
    <row r="43" spans="1:13" ht="15.75">
      <c r="A43" s="100" t="s">
        <v>310</v>
      </c>
      <c r="B43" s="500">
        <f>SUM(B16:B42)</f>
        <v>5733340</v>
      </c>
      <c r="C43" s="498">
        <f>SUM(C16:C27)</f>
        <v>53.853</v>
      </c>
      <c r="D43" s="500">
        <f>SUM(D16:D42)</f>
        <v>5620470</v>
      </c>
      <c r="E43" s="498">
        <f>SUM(E16:E27)</f>
        <v>57.134</v>
      </c>
      <c r="F43" s="500">
        <f>SUM(F16:F42)</f>
        <v>7089917</v>
      </c>
      <c r="G43" s="500">
        <f>SUM(G16:G27)</f>
        <v>4024913.1100000003</v>
      </c>
      <c r="H43" s="498">
        <f>SUM(H16:H27)</f>
        <v>68.735</v>
      </c>
      <c r="J43" s="515" t="str">
        <f>CONCATENATE("",H1-1," Mill Rate Was:")</f>
        <v>2013 Mill Rate Was:</v>
      </c>
      <c r="K43" s="509"/>
      <c r="L43" s="509"/>
      <c r="M43" s="517">
        <f>E43</f>
        <v>57.134</v>
      </c>
    </row>
    <row r="44" spans="1:13" ht="15.75">
      <c r="A44" s="81" t="s">
        <v>946</v>
      </c>
      <c r="B44" s="382">
        <f>transfers!C29</f>
        <v>644622</v>
      </c>
      <c r="C44" s="383"/>
      <c r="D44" s="382">
        <f>transfers!D29</f>
        <v>480000</v>
      </c>
      <c r="E44" s="328"/>
      <c r="F44" s="382">
        <f>transfers!E29</f>
        <v>255000</v>
      </c>
      <c r="G44" s="82"/>
      <c r="H44" s="122"/>
      <c r="J44" s="518" t="str">
        <f>CONCATENATE("",H1," Tax Levy Fund Expenditures Must Be")</f>
        <v>2014 Tax Levy Fund Expenditures Must Be</v>
      </c>
      <c r="K44" s="519"/>
      <c r="L44" s="519"/>
      <c r="M44" s="516"/>
    </row>
    <row r="45" spans="1:13" ht="16.5" thickBot="1">
      <c r="A45" s="81" t="s">
        <v>947</v>
      </c>
      <c r="B45" s="385">
        <f>B43-B44</f>
        <v>5088718</v>
      </c>
      <c r="C45" s="82"/>
      <c r="D45" s="385">
        <f>D43-D44</f>
        <v>5140470</v>
      </c>
      <c r="E45" s="383"/>
      <c r="F45" s="385">
        <f>F43-F44</f>
        <v>6834917</v>
      </c>
      <c r="G45" s="82"/>
      <c r="H45" s="122"/>
      <c r="J45" s="518">
        <f>IF(M45&gt;0,"Increased By:","")</f>
      </c>
      <c r="K45" s="519"/>
      <c r="L45" s="519"/>
      <c r="M45" s="605">
        <f>IF(M52&lt;0,M52*-1,0)</f>
        <v>0</v>
      </c>
    </row>
    <row r="46" spans="1:13" ht="16.5" thickTop="1">
      <c r="A46" s="81" t="s">
        <v>948</v>
      </c>
      <c r="B46" s="500">
        <f>inputPrYr!F117</f>
        <v>3272650</v>
      </c>
      <c r="C46" s="82"/>
      <c r="D46" s="500">
        <f>inputPrYr!E41</f>
        <v>3958739</v>
      </c>
      <c r="E46" s="82"/>
      <c r="F46" s="499" t="s">
        <v>240</v>
      </c>
      <c r="G46" s="82"/>
      <c r="H46" s="122"/>
      <c r="J46" s="606" t="str">
        <f>IF(M46&lt;0,"Reduced By:","")</f>
        <v>Reduced By:</v>
      </c>
      <c r="K46" s="607"/>
      <c r="L46" s="607"/>
      <c r="M46" s="608">
        <f>IF(M52&gt;0,M52*-1,0)</f>
        <v>-679324.1100000003</v>
      </c>
    </row>
    <row r="47" spans="1:13" ht="15.75">
      <c r="A47" s="81" t="s">
        <v>949</v>
      </c>
      <c r="B47" s="124">
        <f>inputPrYr!F118</f>
        <v>60770036</v>
      </c>
      <c r="C47" s="82"/>
      <c r="D47" s="124">
        <f>inputPrYr!F85</f>
        <v>69290699</v>
      </c>
      <c r="E47" s="82"/>
      <c r="F47" s="124">
        <f>inputOth!E6</f>
        <v>58556892</v>
      </c>
      <c r="G47" s="82"/>
      <c r="H47" s="122"/>
      <c r="J47" s="522"/>
      <c r="K47" s="522"/>
      <c r="L47" s="522"/>
      <c r="M47" s="522"/>
    </row>
    <row r="48" spans="1:13" ht="15.75">
      <c r="A48" s="82"/>
      <c r="B48" s="82"/>
      <c r="C48" s="82"/>
      <c r="D48" s="82"/>
      <c r="E48" s="82"/>
      <c r="F48" s="82"/>
      <c r="G48" s="82"/>
      <c r="H48" s="122"/>
      <c r="J48" s="812" t="str">
        <f>CONCATENATE("Impact On Keeping The Same Mill Rate As For ",H1-1,"")</f>
        <v>Impact On Keeping The Same Mill Rate As For 2013</v>
      </c>
      <c r="K48" s="813"/>
      <c r="L48" s="813"/>
      <c r="M48" s="814"/>
    </row>
    <row r="49" spans="1:13" ht="15.75">
      <c r="A49" s="81" t="s">
        <v>950</v>
      </c>
      <c r="B49" s="82"/>
      <c r="C49" s="82"/>
      <c r="D49" s="82"/>
      <c r="E49" s="82"/>
      <c r="F49" s="82"/>
      <c r="G49" s="82"/>
      <c r="H49" s="134"/>
      <c r="J49" s="515"/>
      <c r="K49" s="509"/>
      <c r="L49" s="509"/>
      <c r="M49" s="516"/>
    </row>
    <row r="50" spans="1:13" ht="15.75">
      <c r="A50" s="81" t="s">
        <v>951</v>
      </c>
      <c r="B50" s="384">
        <f>H1-3</f>
        <v>2011</v>
      </c>
      <c r="C50" s="82"/>
      <c r="D50" s="384">
        <f>H1-2</f>
        <v>2012</v>
      </c>
      <c r="E50" s="82"/>
      <c r="F50" s="384">
        <f>H1-1</f>
        <v>2013</v>
      </c>
      <c r="G50" s="82"/>
      <c r="H50" s="134"/>
      <c r="J50" s="515" t="str">
        <f>CONCATENATE("",H1," Ad Valorem Tax Revenue:")</f>
        <v>2014 Ad Valorem Tax Revenue:</v>
      </c>
      <c r="K50" s="509"/>
      <c r="L50" s="509"/>
      <c r="M50" s="510">
        <f>G43</f>
        <v>4024913.1100000003</v>
      </c>
    </row>
    <row r="51" spans="1:13" ht="15.75">
      <c r="A51" s="81" t="s">
        <v>952</v>
      </c>
      <c r="B51" s="124">
        <f>inputPrYr!D122</f>
        <v>255000</v>
      </c>
      <c r="C51" s="82"/>
      <c r="D51" s="124">
        <f>inputPrYr!E122</f>
        <v>0</v>
      </c>
      <c r="E51" s="82"/>
      <c r="F51" s="124">
        <f>debt!G19</f>
        <v>0</v>
      </c>
      <c r="G51" s="82"/>
      <c r="H51" s="134"/>
      <c r="J51" s="515" t="str">
        <f>CONCATENATE("",H1-1," Ad Valorem Tax Revenue:")</f>
        <v>2013 Ad Valorem Tax Revenue:</v>
      </c>
      <c r="K51" s="509"/>
      <c r="L51" s="509"/>
      <c r="M51" s="523">
        <f>ROUND(F47*M43/1000,0)</f>
        <v>3345589</v>
      </c>
    </row>
    <row r="52" spans="1:13" ht="15.75">
      <c r="A52" s="81" t="s">
        <v>953</v>
      </c>
      <c r="B52" s="124">
        <f>inputPrYr!D123</f>
        <v>0</v>
      </c>
      <c r="C52" s="82"/>
      <c r="D52" s="124">
        <f>inputPrYr!E123</f>
        <v>0</v>
      </c>
      <c r="E52" s="82"/>
      <c r="F52" s="124">
        <f>debt!G27</f>
        <v>0</v>
      </c>
      <c r="G52" s="82"/>
      <c r="H52" s="134"/>
      <c r="J52" s="520" t="s">
        <v>816</v>
      </c>
      <c r="K52" s="521"/>
      <c r="L52" s="521"/>
      <c r="M52" s="513">
        <f>SUM(M50-M51)</f>
        <v>679324.1100000003</v>
      </c>
    </row>
    <row r="53" spans="1:13" ht="15.75">
      <c r="A53" s="81" t="s">
        <v>939</v>
      </c>
      <c r="B53" s="124">
        <f>inputPrYr!D124</f>
        <v>0</v>
      </c>
      <c r="C53" s="82"/>
      <c r="D53" s="124">
        <f>inputPrYr!E124</f>
        <v>0</v>
      </c>
      <c r="E53" s="82"/>
      <c r="F53" s="124">
        <f>debt!G36</f>
        <v>0</v>
      </c>
      <c r="G53" s="82"/>
      <c r="H53" s="134"/>
      <c r="J53" s="514"/>
      <c r="K53" s="514"/>
      <c r="L53" s="514"/>
      <c r="M53" s="522"/>
    </row>
    <row r="54" spans="1:13" ht="15.75">
      <c r="A54" s="81" t="s">
        <v>1037</v>
      </c>
      <c r="B54" s="124">
        <f>inputPrYr!D125</f>
        <v>124328</v>
      </c>
      <c r="C54" s="82"/>
      <c r="D54" s="124">
        <f>inputPrYr!E125</f>
        <v>42783</v>
      </c>
      <c r="E54" s="82"/>
      <c r="F54" s="124">
        <f>lpform!G37</f>
        <v>13894</v>
      </c>
      <c r="G54" s="82"/>
      <c r="H54" s="134"/>
      <c r="J54" s="812" t="s">
        <v>817</v>
      </c>
      <c r="K54" s="815"/>
      <c r="L54" s="815"/>
      <c r="M54" s="816"/>
    </row>
    <row r="55" spans="1:13" ht="16.5" thickBot="1">
      <c r="A55" s="81" t="s">
        <v>954</v>
      </c>
      <c r="B55" s="525">
        <f>SUM(B51:B54)</f>
        <v>379328</v>
      </c>
      <c r="C55" s="82"/>
      <c r="D55" s="525">
        <f>SUM(D51:D54)</f>
        <v>42783</v>
      </c>
      <c r="E55" s="82"/>
      <c r="F55" s="525">
        <f>SUM(F51:F54)</f>
        <v>13894</v>
      </c>
      <c r="G55" s="82"/>
      <c r="H55" s="134"/>
      <c r="J55" s="515"/>
      <c r="K55" s="509"/>
      <c r="L55" s="509"/>
      <c r="M55" s="516"/>
    </row>
    <row r="56" spans="1:13" ht="16.5" thickTop="1">
      <c r="A56" s="81" t="s">
        <v>955</v>
      </c>
      <c r="B56" s="82"/>
      <c r="C56" s="82"/>
      <c r="D56" s="82"/>
      <c r="E56" s="82"/>
      <c r="F56" s="82"/>
      <c r="G56" s="82"/>
      <c r="H56" s="134"/>
      <c r="J56" s="515" t="str">
        <f>CONCATENATE("Current ",H1," Estimated Mill Rate:")</f>
        <v>Current 2014 Estimated Mill Rate:</v>
      </c>
      <c r="K56" s="509"/>
      <c r="L56" s="509"/>
      <c r="M56" s="517">
        <f>H43</f>
        <v>68.735</v>
      </c>
    </row>
    <row r="57" spans="1:13" ht="15.75">
      <c r="A57" s="82"/>
      <c r="B57" s="82"/>
      <c r="C57" s="82"/>
      <c r="D57" s="82"/>
      <c r="E57" s="82"/>
      <c r="F57" s="82"/>
      <c r="G57" s="82"/>
      <c r="H57" s="134"/>
      <c r="J57" s="515" t="str">
        <f>CONCATENATE("Desired ",H1," Mill Rate:")</f>
        <v>Desired 2014 Mill Rate:</v>
      </c>
      <c r="K57" s="509"/>
      <c r="L57" s="509"/>
      <c r="M57" s="524">
        <v>45</v>
      </c>
    </row>
    <row r="58" spans="1:13" ht="15.75">
      <c r="A58" s="817"/>
      <c r="B58" s="817"/>
      <c r="C58" s="82"/>
      <c r="D58" s="82"/>
      <c r="E58" s="82"/>
      <c r="F58" s="82"/>
      <c r="G58" s="82"/>
      <c r="H58" s="134"/>
      <c r="J58" s="515" t="str">
        <f>CONCATENATE("",H1," Ad Valorem Tax:")</f>
        <v>2014 Ad Valorem Tax:</v>
      </c>
      <c r="K58" s="509"/>
      <c r="L58" s="509"/>
      <c r="M58" s="523">
        <f>ROUND(F47*M57/1000,0)</f>
        <v>2635060</v>
      </c>
    </row>
    <row r="59" spans="1:13" ht="15.75">
      <c r="A59" s="207" t="s">
        <v>956</v>
      </c>
      <c r="B59" s="90"/>
      <c r="C59" s="82"/>
      <c r="D59" s="82"/>
      <c r="E59" s="82"/>
      <c r="F59" s="82"/>
      <c r="G59" s="82"/>
      <c r="H59" s="134"/>
      <c r="J59" s="520" t="str">
        <f>CONCATENATE("",H1," Tax Levy Fund Exp. Changed By:")</f>
        <v>2014 Tax Levy Fund Exp. Changed By:</v>
      </c>
      <c r="K59" s="521"/>
      <c r="L59" s="521"/>
      <c r="M59" s="513">
        <f>IF(M57=0,0,(M58-G43))</f>
        <v>-1389853.1100000003</v>
      </c>
    </row>
    <row r="60" spans="1:8" ht="15.75">
      <c r="A60" s="207"/>
      <c r="B60" s="90"/>
      <c r="C60" s="82"/>
      <c r="D60" s="82"/>
      <c r="E60" s="82"/>
      <c r="F60" s="82"/>
      <c r="G60" s="82"/>
      <c r="H60" s="134"/>
    </row>
    <row r="61" spans="1:8" ht="15.75">
      <c r="A61" s="207"/>
      <c r="B61" s="90"/>
      <c r="C61" s="82"/>
      <c r="D61" s="82"/>
      <c r="E61" s="82"/>
      <c r="F61" s="82"/>
      <c r="G61" s="82"/>
      <c r="H61" s="134"/>
    </row>
    <row r="62" spans="1:8" ht="15.75">
      <c r="A62" s="207"/>
      <c r="B62" s="90"/>
      <c r="C62" s="82"/>
      <c r="D62" s="82"/>
      <c r="E62" s="82"/>
      <c r="F62" s="82"/>
      <c r="G62" s="82"/>
      <c r="H62" s="134"/>
    </row>
    <row r="63" spans="1:8" ht="15.75">
      <c r="A63" s="207"/>
      <c r="B63" s="90"/>
      <c r="C63" s="82"/>
      <c r="D63" s="82"/>
      <c r="E63" s="82"/>
      <c r="F63" s="82"/>
      <c r="G63" s="82"/>
      <c r="H63" s="134"/>
    </row>
    <row r="64" spans="1:8" ht="15.75">
      <c r="A64" s="207"/>
      <c r="B64" s="90"/>
      <c r="C64" s="82"/>
      <c r="D64" s="82"/>
      <c r="E64" s="82"/>
      <c r="F64" s="82"/>
      <c r="G64" s="82"/>
      <c r="H64" s="134"/>
    </row>
    <row r="65" spans="1:8" ht="15.75">
      <c r="A65" s="207"/>
      <c r="B65" s="90"/>
      <c r="C65" s="82"/>
      <c r="D65" s="82"/>
      <c r="E65" s="82"/>
      <c r="F65" s="82"/>
      <c r="G65" s="82"/>
      <c r="H65" s="134"/>
    </row>
    <row r="66" spans="1:8" ht="15.75">
      <c r="A66" s="207"/>
      <c r="B66" s="90"/>
      <c r="C66" s="82"/>
      <c r="D66" s="82"/>
      <c r="E66" s="82"/>
      <c r="F66" s="82"/>
      <c r="G66" s="82"/>
      <c r="H66" s="134"/>
    </row>
    <row r="67" spans="1:8" ht="15.75">
      <c r="A67" s="207"/>
      <c r="B67" s="90"/>
      <c r="C67" s="82"/>
      <c r="D67" s="82"/>
      <c r="E67" s="82"/>
      <c r="F67" s="82"/>
      <c r="G67" s="82"/>
      <c r="H67" s="134"/>
    </row>
    <row r="68" spans="1:8" ht="15.75">
      <c r="A68" s="207"/>
      <c r="B68" s="90"/>
      <c r="C68" s="82"/>
      <c r="D68" s="82"/>
      <c r="E68" s="82"/>
      <c r="F68" s="82"/>
      <c r="G68" s="82"/>
      <c r="H68" s="134"/>
    </row>
    <row r="69" spans="1:8" ht="15.75">
      <c r="A69" s="207"/>
      <c r="B69" s="90"/>
      <c r="C69" s="82"/>
      <c r="D69" s="82"/>
      <c r="E69" s="82"/>
      <c r="F69" s="82"/>
      <c r="G69" s="82"/>
      <c r="H69" s="134"/>
    </row>
    <row r="70" spans="1:8" ht="15.75">
      <c r="A70" s="207"/>
      <c r="B70" s="90"/>
      <c r="C70" s="82"/>
      <c r="D70" s="82"/>
      <c r="E70" s="82"/>
      <c r="F70" s="82"/>
      <c r="G70" s="82"/>
      <c r="H70" s="134"/>
    </row>
    <row r="71" spans="1:8" ht="15.75">
      <c r="A71" s="207"/>
      <c r="B71" s="90"/>
      <c r="C71" s="82"/>
      <c r="D71" s="82"/>
      <c r="E71" s="82"/>
      <c r="F71" s="82"/>
      <c r="G71" s="82"/>
      <c r="H71" s="134"/>
    </row>
    <row r="72" spans="1:8" ht="15.75">
      <c r="A72" s="82"/>
      <c r="B72" s="82"/>
      <c r="C72" s="82"/>
      <c r="D72" s="94" t="s">
        <v>614</v>
      </c>
      <c r="E72" s="386"/>
      <c r="F72" s="82"/>
      <c r="G72" s="82"/>
      <c r="H72" s="134"/>
    </row>
    <row r="73" spans="1:8" ht="15.75">
      <c r="A73" s="140"/>
      <c r="D73" s="140"/>
      <c r="E73" s="140"/>
      <c r="F73" s="140"/>
      <c r="G73" s="140"/>
      <c r="H73" s="140"/>
    </row>
  </sheetData>
  <sheetProtection/>
  <mergeCells count="14">
    <mergeCell ref="A2:H2"/>
    <mergeCell ref="A4:H4"/>
    <mergeCell ref="A5:H5"/>
    <mergeCell ref="A6:H6"/>
    <mergeCell ref="A10:H10"/>
    <mergeCell ref="A11:H11"/>
    <mergeCell ref="A7:H7"/>
    <mergeCell ref="A8:H8"/>
    <mergeCell ref="J48:M48"/>
    <mergeCell ref="J54:M54"/>
    <mergeCell ref="A58:B58"/>
    <mergeCell ref="G14:G15"/>
    <mergeCell ref="J37:M37"/>
    <mergeCell ref="J41:M41"/>
  </mergeCells>
  <printOptions/>
  <pageMargins left="0.54" right="0.5" top="0.74" bottom="0.34" header="0.5" footer="0"/>
  <pageSetup blackAndWhite="1" fitToHeight="1" fitToWidth="1" horizontalDpi="120" verticalDpi="120" orientation="portrait" scale="64" r:id="rId1"/>
  <headerFooter alignWithMargins="0">
    <oddHeader>&amp;RState of Kansas
County
</oddHeader>
  </headerFooter>
</worksheet>
</file>

<file path=xl/worksheets/sheet29.xml><?xml version="1.0" encoding="utf-8"?>
<worksheet xmlns="http://schemas.openxmlformats.org/spreadsheetml/2006/main" xmlns:r="http://schemas.openxmlformats.org/officeDocument/2006/relationships">
  <dimension ref="A1:J86"/>
  <sheetViews>
    <sheetView zoomScalePageLayoutView="0" workbookViewId="0" topLeftCell="A1">
      <selection activeCell="E52" sqref="E52"/>
    </sheetView>
  </sheetViews>
  <sheetFormatPr defaultColWidth="8.796875" defaultRowHeight="15"/>
  <cols>
    <col min="1" max="1" width="17.8984375" style="2" customWidth="1"/>
    <col min="2" max="2" width="11.69921875" style="2" customWidth="1"/>
    <col min="3" max="3" width="8.69921875" style="2" customWidth="1"/>
    <col min="4" max="4" width="12.3984375" style="2" customWidth="1"/>
    <col min="5" max="5" width="8.3984375" style="2" customWidth="1"/>
    <col min="6" max="6" width="13.59765625" style="2" customWidth="1"/>
    <col min="7" max="7" width="12.796875" style="2" customWidth="1"/>
    <col min="8" max="8" width="14.3984375" style="2" customWidth="1"/>
    <col min="9" max="9" width="8.09765625" style="2" customWidth="1"/>
    <col min="10" max="16384" width="8.8984375" style="2" customWidth="1"/>
  </cols>
  <sheetData>
    <row r="1" spans="1:9" ht="15.75">
      <c r="A1" s="25" t="str">
        <f>inputPrYr!C2</f>
        <v>Gove County</v>
      </c>
      <c r="B1" s="12"/>
      <c r="C1" s="12"/>
      <c r="D1" s="12"/>
      <c r="E1" s="12"/>
      <c r="F1" s="12"/>
      <c r="G1" s="12"/>
      <c r="H1" s="12"/>
      <c r="I1" s="49">
        <f>inputPrYr!C4</f>
        <v>2014</v>
      </c>
    </row>
    <row r="2" spans="1:9" ht="15.75">
      <c r="A2" s="12"/>
      <c r="B2" s="12"/>
      <c r="C2" s="12"/>
      <c r="D2" s="12"/>
      <c r="E2" s="12"/>
      <c r="F2" s="12"/>
      <c r="G2" s="12"/>
      <c r="H2" s="12"/>
      <c r="I2" s="11"/>
    </row>
    <row r="3" spans="1:10" ht="15.75">
      <c r="A3" s="30" t="s">
        <v>982</v>
      </c>
      <c r="B3" s="15"/>
      <c r="C3" s="15"/>
      <c r="D3" s="15"/>
      <c r="E3" s="15"/>
      <c r="F3" s="15"/>
      <c r="G3" s="15"/>
      <c r="H3" s="15"/>
      <c r="I3" s="29"/>
      <c r="J3" s="3"/>
    </row>
    <row r="4" spans="1:9" ht="15.75">
      <c r="A4" s="12"/>
      <c r="B4" s="16"/>
      <c r="C4" s="16"/>
      <c r="D4" s="16"/>
      <c r="E4" s="16"/>
      <c r="F4" s="16"/>
      <c r="G4" s="16"/>
      <c r="H4" s="16"/>
      <c r="I4" s="16"/>
    </row>
    <row r="5" spans="1:9" ht="15.75">
      <c r="A5" s="12"/>
      <c r="B5" s="31" t="str">
        <f>CONCATENATE("Prior Year Actual for ",I1-2,"")</f>
        <v>Prior Year Actual for 2012</v>
      </c>
      <c r="C5" s="19"/>
      <c r="D5" s="32" t="str">
        <f>CONCATENATE("Current Year Estimate for ",I1-1,"")</f>
        <v>Current Year Estimate for 2013</v>
      </c>
      <c r="E5" s="19"/>
      <c r="F5" s="17" t="str">
        <f>CONCATENATE("Proposed Budget Year for ",I1,"")</f>
        <v>Proposed Budget Year for 2014</v>
      </c>
      <c r="G5" s="18"/>
      <c r="H5" s="18"/>
      <c r="I5" s="19"/>
    </row>
    <row r="6" spans="1:9" ht="21" customHeight="1">
      <c r="A6" s="13" t="s">
        <v>186</v>
      </c>
      <c r="B6" s="20"/>
      <c r="C6" s="20" t="s">
        <v>942</v>
      </c>
      <c r="D6" s="20"/>
      <c r="E6" s="20" t="s">
        <v>942</v>
      </c>
      <c r="F6" s="502" t="s">
        <v>801</v>
      </c>
      <c r="G6" s="780" t="str">
        <f>CONCATENATE("Amount of ",I1-1,"    Ad Valorem Tax")</f>
        <v>Amount of 2013    Ad Valorem Tax</v>
      </c>
      <c r="H6" s="780" t="str">
        <f>CONCATENATE("July 1, ",I1-1," Estimated Valuation")</f>
        <v>July 1, 2013 Estimated Valuation</v>
      </c>
      <c r="I6" s="20" t="s">
        <v>943</v>
      </c>
    </row>
    <row r="7" spans="1:9" ht="18" customHeight="1">
      <c r="A7" s="21" t="s">
        <v>187</v>
      </c>
      <c r="B7" s="27" t="s">
        <v>292</v>
      </c>
      <c r="C7" s="27" t="s">
        <v>945</v>
      </c>
      <c r="D7" s="27" t="s">
        <v>292</v>
      </c>
      <c r="E7" s="27" t="s">
        <v>945</v>
      </c>
      <c r="F7" s="503" t="s">
        <v>802</v>
      </c>
      <c r="G7" s="781"/>
      <c r="H7" s="781"/>
      <c r="I7" s="27" t="s">
        <v>945</v>
      </c>
    </row>
    <row r="8" spans="1:9" ht="15.75">
      <c r="A8" s="7" t="s">
        <v>492</v>
      </c>
      <c r="B8" s="7">
        <v>120000</v>
      </c>
      <c r="C8" s="9">
        <v>3.95</v>
      </c>
      <c r="D8" s="7">
        <v>120000</v>
      </c>
      <c r="E8" s="9">
        <v>3.769</v>
      </c>
      <c r="F8" s="7">
        <v>130000</v>
      </c>
      <c r="G8" s="7">
        <v>124293</v>
      </c>
      <c r="H8" s="7">
        <v>30266758</v>
      </c>
      <c r="I8" s="57">
        <f aca="true" t="shared" si="0" ref="I8:I36">IF(H8&lt;&gt;0,ROUND(G8/H8*1000,3)," ")</f>
        <v>4.107</v>
      </c>
    </row>
    <row r="9" spans="1:9" ht="15.75">
      <c r="A9" s="7"/>
      <c r="B9" s="7"/>
      <c r="C9" s="9"/>
      <c r="D9" s="7"/>
      <c r="E9" s="9"/>
      <c r="F9" s="7"/>
      <c r="G9" s="7"/>
      <c r="H9" s="7"/>
      <c r="I9" s="57" t="str">
        <f t="shared" si="0"/>
        <v> </v>
      </c>
    </row>
    <row r="10" spans="1:9" ht="15.75">
      <c r="A10" s="7"/>
      <c r="B10" s="7"/>
      <c r="C10" s="9"/>
      <c r="D10" s="7"/>
      <c r="E10" s="9"/>
      <c r="F10" s="7"/>
      <c r="G10" s="7"/>
      <c r="H10" s="7"/>
      <c r="I10" s="57" t="str">
        <f t="shared" si="0"/>
        <v> </v>
      </c>
    </row>
    <row r="11" spans="1:9" ht="15.75">
      <c r="A11" s="7"/>
      <c r="B11" s="7"/>
      <c r="C11" s="9"/>
      <c r="D11" s="7"/>
      <c r="E11" s="9"/>
      <c r="F11" s="7"/>
      <c r="G11" s="7"/>
      <c r="H11" s="7"/>
      <c r="I11" s="57" t="str">
        <f t="shared" si="0"/>
        <v> </v>
      </c>
    </row>
    <row r="12" spans="1:9" ht="15.75">
      <c r="A12" s="7"/>
      <c r="B12" s="7"/>
      <c r="C12" s="9"/>
      <c r="D12" s="7"/>
      <c r="E12" s="9"/>
      <c r="F12" s="7"/>
      <c r="G12" s="7"/>
      <c r="H12" s="7"/>
      <c r="I12" s="57" t="str">
        <f t="shared" si="0"/>
        <v> </v>
      </c>
    </row>
    <row r="13" spans="1:9" ht="15.75">
      <c r="A13" s="7"/>
      <c r="B13" s="7"/>
      <c r="C13" s="9"/>
      <c r="D13" s="7"/>
      <c r="E13" s="9"/>
      <c r="F13" s="7"/>
      <c r="G13" s="7"/>
      <c r="H13" s="7"/>
      <c r="I13" s="57" t="str">
        <f t="shared" si="0"/>
        <v> </v>
      </c>
    </row>
    <row r="14" spans="1:9" ht="15.75">
      <c r="A14" s="7"/>
      <c r="B14" s="7"/>
      <c r="C14" s="9"/>
      <c r="D14" s="7"/>
      <c r="E14" s="9"/>
      <c r="F14" s="7"/>
      <c r="G14" s="7"/>
      <c r="H14" s="7"/>
      <c r="I14" s="57" t="str">
        <f t="shared" si="0"/>
        <v> </v>
      </c>
    </row>
    <row r="15" spans="1:9" ht="15.75">
      <c r="A15" s="7"/>
      <c r="B15" s="7"/>
      <c r="C15" s="9"/>
      <c r="D15" s="7"/>
      <c r="E15" s="9"/>
      <c r="F15" s="7"/>
      <c r="G15" s="7"/>
      <c r="H15" s="7"/>
      <c r="I15" s="57" t="str">
        <f t="shared" si="0"/>
        <v> </v>
      </c>
    </row>
    <row r="16" spans="1:9" ht="15.75">
      <c r="A16" s="7"/>
      <c r="B16" s="7"/>
      <c r="C16" s="9"/>
      <c r="D16" s="7"/>
      <c r="E16" s="9"/>
      <c r="F16" s="7"/>
      <c r="G16" s="7"/>
      <c r="H16" s="7"/>
      <c r="I16" s="57" t="str">
        <f t="shared" si="0"/>
        <v> </v>
      </c>
    </row>
    <row r="17" spans="1:9" ht="15.75">
      <c r="A17" s="7"/>
      <c r="B17" s="7"/>
      <c r="C17" s="9"/>
      <c r="D17" s="7"/>
      <c r="E17" s="9"/>
      <c r="F17" s="7"/>
      <c r="G17" s="7"/>
      <c r="H17" s="7"/>
      <c r="I17" s="57" t="str">
        <f t="shared" si="0"/>
        <v> </v>
      </c>
    </row>
    <row r="18" spans="1:9" ht="15.75">
      <c r="A18" s="7"/>
      <c r="B18" s="7"/>
      <c r="C18" s="9"/>
      <c r="D18" s="7"/>
      <c r="E18" s="9"/>
      <c r="F18" s="7"/>
      <c r="G18" s="7"/>
      <c r="H18" s="7"/>
      <c r="I18" s="57" t="str">
        <f t="shared" si="0"/>
        <v> </v>
      </c>
    </row>
    <row r="19" spans="1:9" ht="15.75">
      <c r="A19" s="7"/>
      <c r="B19" s="7"/>
      <c r="C19" s="9"/>
      <c r="D19" s="7"/>
      <c r="E19" s="9"/>
      <c r="F19" s="7"/>
      <c r="G19" s="7"/>
      <c r="H19" s="7"/>
      <c r="I19" s="57" t="str">
        <f t="shared" si="0"/>
        <v> </v>
      </c>
    </row>
    <row r="20" spans="1:9" ht="15.75">
      <c r="A20" s="7"/>
      <c r="B20" s="7"/>
      <c r="C20" s="9"/>
      <c r="D20" s="7"/>
      <c r="E20" s="9"/>
      <c r="F20" s="7"/>
      <c r="G20" s="7"/>
      <c r="H20" s="7"/>
      <c r="I20" s="57" t="str">
        <f t="shared" si="0"/>
        <v> </v>
      </c>
    </row>
    <row r="21" spans="1:9" ht="15.75">
      <c r="A21" s="7"/>
      <c r="B21" s="7"/>
      <c r="C21" s="9"/>
      <c r="D21" s="7"/>
      <c r="E21" s="9"/>
      <c r="F21" s="7"/>
      <c r="G21" s="7"/>
      <c r="H21" s="7"/>
      <c r="I21" s="57" t="str">
        <f t="shared" si="0"/>
        <v> </v>
      </c>
    </row>
    <row r="22" spans="1:9" ht="15.75">
      <c r="A22" s="7"/>
      <c r="B22" s="7"/>
      <c r="C22" s="9"/>
      <c r="D22" s="7"/>
      <c r="E22" s="9"/>
      <c r="F22" s="7"/>
      <c r="G22" s="7"/>
      <c r="H22" s="7"/>
      <c r="I22" s="57" t="str">
        <f t="shared" si="0"/>
        <v> </v>
      </c>
    </row>
    <row r="23" spans="1:9" ht="15.75">
      <c r="A23" s="7"/>
      <c r="B23" s="7"/>
      <c r="C23" s="9"/>
      <c r="D23" s="7"/>
      <c r="E23" s="9"/>
      <c r="F23" s="7"/>
      <c r="G23" s="7"/>
      <c r="H23" s="7"/>
      <c r="I23" s="57" t="str">
        <f t="shared" si="0"/>
        <v> </v>
      </c>
    </row>
    <row r="24" spans="1:9" ht="15.75">
      <c r="A24" s="7"/>
      <c r="B24" s="7"/>
      <c r="C24" s="9"/>
      <c r="D24" s="7"/>
      <c r="E24" s="9"/>
      <c r="F24" s="7"/>
      <c r="G24" s="7"/>
      <c r="H24" s="7"/>
      <c r="I24" s="57" t="str">
        <f t="shared" si="0"/>
        <v> </v>
      </c>
    </row>
    <row r="25" spans="1:9" ht="15.75">
      <c r="A25" s="7"/>
      <c r="B25" s="7"/>
      <c r="C25" s="9"/>
      <c r="D25" s="7"/>
      <c r="E25" s="9"/>
      <c r="F25" s="7"/>
      <c r="G25" s="7"/>
      <c r="H25" s="7"/>
      <c r="I25" s="57" t="str">
        <f t="shared" si="0"/>
        <v> </v>
      </c>
    </row>
    <row r="26" spans="1:9" ht="15.75">
      <c r="A26" s="7"/>
      <c r="B26" s="7"/>
      <c r="C26" s="9"/>
      <c r="D26" s="7"/>
      <c r="E26" s="9"/>
      <c r="F26" s="7"/>
      <c r="G26" s="7"/>
      <c r="H26" s="7"/>
      <c r="I26" s="57" t="str">
        <f t="shared" si="0"/>
        <v> </v>
      </c>
    </row>
    <row r="27" spans="1:9" ht="15.75">
      <c r="A27" s="7"/>
      <c r="B27" s="7"/>
      <c r="C27" s="9"/>
      <c r="D27" s="7"/>
      <c r="E27" s="9"/>
      <c r="F27" s="7"/>
      <c r="G27" s="7"/>
      <c r="H27" s="7"/>
      <c r="I27" s="57" t="str">
        <f t="shared" si="0"/>
        <v> </v>
      </c>
    </row>
    <row r="28" spans="1:9" ht="15.75">
      <c r="A28" s="7"/>
      <c r="B28" s="7"/>
      <c r="C28" s="9"/>
      <c r="D28" s="7"/>
      <c r="E28" s="9"/>
      <c r="F28" s="7"/>
      <c r="G28" s="7"/>
      <c r="H28" s="7"/>
      <c r="I28" s="57" t="str">
        <f t="shared" si="0"/>
        <v> </v>
      </c>
    </row>
    <row r="29" spans="1:9" ht="15.75">
      <c r="A29" s="7"/>
      <c r="B29" s="7"/>
      <c r="C29" s="9"/>
      <c r="D29" s="7"/>
      <c r="E29" s="9"/>
      <c r="F29" s="7"/>
      <c r="G29" s="7"/>
      <c r="H29" s="7"/>
      <c r="I29" s="57" t="str">
        <f t="shared" si="0"/>
        <v> </v>
      </c>
    </row>
    <row r="30" spans="1:9" ht="15.75">
      <c r="A30" s="7"/>
      <c r="B30" s="7"/>
      <c r="C30" s="9"/>
      <c r="D30" s="7"/>
      <c r="E30" s="9"/>
      <c r="F30" s="7"/>
      <c r="G30" s="7"/>
      <c r="H30" s="7"/>
      <c r="I30" s="57" t="str">
        <f t="shared" si="0"/>
        <v> </v>
      </c>
    </row>
    <row r="31" spans="1:9" ht="15.75">
      <c r="A31" s="7"/>
      <c r="B31" s="7"/>
      <c r="C31" s="9"/>
      <c r="D31" s="7"/>
      <c r="E31" s="9"/>
      <c r="F31" s="7"/>
      <c r="G31" s="7"/>
      <c r="H31" s="7"/>
      <c r="I31" s="57" t="str">
        <f t="shared" si="0"/>
        <v> </v>
      </c>
    </row>
    <row r="32" spans="1:9" ht="15.75">
      <c r="A32" s="7"/>
      <c r="B32" s="7"/>
      <c r="C32" s="9"/>
      <c r="D32" s="7"/>
      <c r="E32" s="9"/>
      <c r="F32" s="7"/>
      <c r="G32" s="7"/>
      <c r="H32" s="7"/>
      <c r="I32" s="57" t="str">
        <f t="shared" si="0"/>
        <v> </v>
      </c>
    </row>
    <row r="33" spans="1:9" ht="15.75">
      <c r="A33" s="7"/>
      <c r="B33" s="7"/>
      <c r="C33" s="9"/>
      <c r="D33" s="7"/>
      <c r="E33" s="9"/>
      <c r="F33" s="7"/>
      <c r="G33" s="7"/>
      <c r="H33" s="7"/>
      <c r="I33" s="57" t="str">
        <f t="shared" si="0"/>
        <v> </v>
      </c>
    </row>
    <row r="34" spans="1:9" ht="15.75">
      <c r="A34" s="7"/>
      <c r="B34" s="7"/>
      <c r="C34" s="9"/>
      <c r="D34" s="7"/>
      <c r="E34" s="9"/>
      <c r="F34" s="7"/>
      <c r="G34" s="7"/>
      <c r="H34" s="7"/>
      <c r="I34" s="57" t="str">
        <f t="shared" si="0"/>
        <v> </v>
      </c>
    </row>
    <row r="35" spans="1:9" ht="15.75">
      <c r="A35" s="7"/>
      <c r="B35" s="7"/>
      <c r="C35" s="9"/>
      <c r="D35" s="7"/>
      <c r="E35" s="9"/>
      <c r="F35" s="7"/>
      <c r="G35" s="7"/>
      <c r="H35" s="7"/>
      <c r="I35" s="57" t="str">
        <f t="shared" si="0"/>
        <v> </v>
      </c>
    </row>
    <row r="36" spans="1:9" ht="15.75">
      <c r="A36" s="7"/>
      <c r="B36" s="7"/>
      <c r="C36" s="9"/>
      <c r="D36" s="7"/>
      <c r="E36" s="9"/>
      <c r="F36" s="7"/>
      <c r="G36" s="7"/>
      <c r="H36" s="7"/>
      <c r="I36" s="57" t="str">
        <f t="shared" si="0"/>
        <v> </v>
      </c>
    </row>
    <row r="37" spans="1:9" ht="15.75">
      <c r="A37" s="22" t="s">
        <v>310</v>
      </c>
      <c r="B37" s="23">
        <f>SUM(B8:B36)</f>
        <v>120000</v>
      </c>
      <c r="C37" s="33">
        <f>SUM(C8:C24)</f>
        <v>3.95</v>
      </c>
      <c r="D37" s="23">
        <f>SUM(D8:D36)</f>
        <v>120000</v>
      </c>
      <c r="E37" s="33">
        <f>SUM(E8:E24)</f>
        <v>3.769</v>
      </c>
      <c r="F37" s="23">
        <f>SUM(F8:F36)</f>
        <v>130000</v>
      </c>
      <c r="G37" s="23">
        <f>SUM(G8:G36)</f>
        <v>124293</v>
      </c>
      <c r="H37" s="23"/>
      <c r="I37" s="33">
        <f>SUM(I8:I24)</f>
        <v>4.107</v>
      </c>
    </row>
    <row r="38" spans="1:9" ht="15.75">
      <c r="A38" s="12"/>
      <c r="B38" s="12"/>
      <c r="C38" s="12"/>
      <c r="D38" s="12"/>
      <c r="E38" s="12"/>
      <c r="F38" s="12"/>
      <c r="G38" s="12"/>
      <c r="H38" s="12"/>
      <c r="I38" s="12"/>
    </row>
    <row r="39" spans="1:9" ht="15.75">
      <c r="A39" s="13" t="s">
        <v>955</v>
      </c>
      <c r="B39" s="12"/>
      <c r="C39" s="12"/>
      <c r="D39" s="12"/>
      <c r="E39" s="12"/>
      <c r="F39" s="12"/>
      <c r="G39" s="12"/>
      <c r="H39" s="12"/>
      <c r="I39" s="12"/>
    </row>
    <row r="40" spans="1:9" ht="15.75">
      <c r="A40" s="12"/>
      <c r="B40" s="12"/>
      <c r="C40" s="12"/>
      <c r="D40" s="12"/>
      <c r="E40" s="12"/>
      <c r="F40" s="12"/>
      <c r="G40" s="12"/>
      <c r="H40" s="12"/>
      <c r="I40" s="12"/>
    </row>
    <row r="41" spans="1:9" ht="15.75">
      <c r="A41" s="24"/>
      <c r="B41" s="12"/>
      <c r="C41" s="12"/>
      <c r="D41" s="12"/>
      <c r="E41" s="12"/>
      <c r="F41" s="12"/>
      <c r="G41" s="12"/>
      <c r="H41" s="12"/>
      <c r="I41" s="12"/>
    </row>
    <row r="42" spans="1:9" ht="15.75">
      <c r="A42" s="14" t="s">
        <v>956</v>
      </c>
      <c r="B42" s="12"/>
      <c r="C42" s="12"/>
      <c r="D42" s="12"/>
      <c r="F42" s="12"/>
      <c r="G42" s="12"/>
      <c r="H42" s="12"/>
      <c r="I42" s="12"/>
    </row>
    <row r="71" spans="1:9" ht="15.75">
      <c r="A71" s="1"/>
      <c r="B71" s="1"/>
      <c r="C71" s="1"/>
      <c r="D71" s="1"/>
      <c r="E71" s="8" t="s">
        <v>618</v>
      </c>
      <c r="F71" s="1"/>
      <c r="G71" s="1"/>
      <c r="H71" s="1"/>
      <c r="I71" s="1"/>
    </row>
    <row r="72" spans="1:9" ht="15.75">
      <c r="A72" s="4"/>
      <c r="B72" s="1"/>
      <c r="C72" s="1"/>
      <c r="D72" s="1"/>
      <c r="E72" s="1"/>
      <c r="F72" s="1"/>
      <c r="G72" s="1"/>
      <c r="H72" s="1"/>
      <c r="I72" s="1"/>
    </row>
    <row r="73" spans="1:9" ht="15.75">
      <c r="A73" s="4"/>
      <c r="B73" s="5"/>
      <c r="C73" s="1"/>
      <c r="D73" s="5"/>
      <c r="E73" s="1"/>
      <c r="F73" s="5"/>
      <c r="G73" s="1"/>
      <c r="H73" s="1"/>
      <c r="I73" s="1"/>
    </row>
    <row r="74" spans="1:9" ht="15.75">
      <c r="A74" s="4"/>
      <c r="B74" s="4"/>
      <c r="C74" s="1"/>
      <c r="D74" s="4"/>
      <c r="E74" s="1"/>
      <c r="F74" s="4"/>
      <c r="G74" s="1"/>
      <c r="H74" s="1"/>
      <c r="I74" s="1"/>
    </row>
    <row r="75" spans="1:9" ht="15.75">
      <c r="A75" s="4"/>
      <c r="B75" s="4"/>
      <c r="C75" s="1"/>
      <c r="D75" s="4"/>
      <c r="E75" s="1"/>
      <c r="F75" s="4"/>
      <c r="G75" s="1"/>
      <c r="H75" s="1"/>
      <c r="I75" s="1"/>
    </row>
    <row r="76" spans="1:9" ht="15.75">
      <c r="A76" s="4"/>
      <c r="B76" s="4"/>
      <c r="C76" s="1"/>
      <c r="D76" s="4"/>
      <c r="E76" s="1"/>
      <c r="F76" s="4"/>
      <c r="G76" s="1"/>
      <c r="H76" s="1"/>
      <c r="I76" s="1"/>
    </row>
    <row r="77" spans="1:9" ht="15.75">
      <c r="A77" s="4"/>
      <c r="B77" s="4"/>
      <c r="C77" s="1"/>
      <c r="D77" s="4"/>
      <c r="E77" s="1"/>
      <c r="F77" s="4"/>
      <c r="G77" s="1"/>
      <c r="H77" s="1"/>
      <c r="I77" s="1"/>
    </row>
    <row r="78" spans="1:9" ht="15.75">
      <c r="A78" s="4"/>
      <c r="B78" s="4"/>
      <c r="C78" s="1"/>
      <c r="D78" s="4"/>
      <c r="E78" s="1"/>
      <c r="F78" s="4"/>
      <c r="G78" s="1"/>
      <c r="H78" s="1"/>
      <c r="I78" s="1"/>
    </row>
    <row r="79" spans="2:9" ht="15.75">
      <c r="B79" s="738"/>
      <c r="C79" s="738"/>
      <c r="D79" s="1"/>
      <c r="E79" s="1"/>
      <c r="F79" s="1"/>
      <c r="G79" s="1"/>
      <c r="H79" s="1"/>
      <c r="I79" s="1"/>
    </row>
    <row r="80" spans="2:9" ht="15.75">
      <c r="B80" s="738"/>
      <c r="C80" s="738"/>
      <c r="D80" s="1"/>
      <c r="E80" s="1"/>
      <c r="F80" s="1"/>
      <c r="G80" s="1"/>
      <c r="H80" s="1"/>
      <c r="I80" s="1"/>
    </row>
    <row r="81" spans="2:9" ht="15.75">
      <c r="B81" s="739"/>
      <c r="C81" s="738"/>
      <c r="D81" s="1"/>
      <c r="E81" s="1"/>
      <c r="F81" s="1"/>
      <c r="G81" s="1"/>
      <c r="H81" s="1"/>
      <c r="I81" s="1"/>
    </row>
    <row r="82" spans="2:9" ht="15.75">
      <c r="B82" s="740"/>
      <c r="C82" s="738"/>
      <c r="D82" s="1"/>
      <c r="E82" s="1"/>
      <c r="F82" s="1"/>
      <c r="G82" s="1"/>
      <c r="H82" s="1"/>
      <c r="I82" s="1"/>
    </row>
    <row r="83" spans="1:9" ht="15.75">
      <c r="A83" s="1"/>
      <c r="B83" s="738"/>
      <c r="C83" s="738"/>
      <c r="D83" s="1"/>
      <c r="E83" s="1"/>
      <c r="F83" s="1"/>
      <c r="G83" s="1"/>
      <c r="H83" s="1"/>
      <c r="I83" s="1"/>
    </row>
    <row r="84" spans="1:9" ht="15.75">
      <c r="A84" s="1"/>
      <c r="B84" s="738"/>
      <c r="C84" s="741"/>
      <c r="D84" s="1"/>
      <c r="E84" s="1"/>
      <c r="F84" s="1"/>
      <c r="G84" s="1"/>
      <c r="H84" s="1"/>
      <c r="I84" s="1"/>
    </row>
    <row r="85" spans="2:3" ht="15.75">
      <c r="B85" s="742"/>
      <c r="C85" s="742"/>
    </row>
    <row r="86" spans="2:3" ht="15.75">
      <c r="B86" s="742"/>
      <c r="C86" s="742"/>
    </row>
  </sheetData>
  <sheetProtection/>
  <mergeCells count="2">
    <mergeCell ref="G6:G7"/>
    <mergeCell ref="H6:H7"/>
  </mergeCells>
  <printOptions/>
  <pageMargins left="0.49" right="0.41" top="0.74" bottom="0.34" header="0.5" footer="0"/>
  <pageSetup blackAndWhite="1" horizontalDpi="120" verticalDpi="120" orientation="portrait" scale="70" r:id="rId1"/>
  <headerFooter alignWithMargins="0">
    <oddHeader>&amp;RState of Kansas
County
</oddHead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E70"/>
  <sheetViews>
    <sheetView zoomScalePageLayoutView="0" workbookViewId="0" topLeftCell="A1">
      <selection activeCell="E17" sqref="E17"/>
    </sheetView>
  </sheetViews>
  <sheetFormatPr defaultColWidth="8.796875" defaultRowHeight="15"/>
  <cols>
    <col min="1" max="1" width="15.796875" style="70" customWidth="1"/>
    <col min="2" max="2" width="20.796875" style="70" customWidth="1"/>
    <col min="3" max="3" width="9.796875" style="70" customWidth="1"/>
    <col min="4" max="4" width="15.296875" style="70" customWidth="1"/>
    <col min="5" max="5" width="15.796875" style="70" customWidth="1"/>
    <col min="6" max="16384" width="8.8984375" style="70" customWidth="1"/>
  </cols>
  <sheetData>
    <row r="1" spans="1:5" ht="15.75">
      <c r="A1" s="141" t="str">
        <f>inputPrYr!C2</f>
        <v>Gove County</v>
      </c>
      <c r="B1" s="122"/>
      <c r="C1" s="122"/>
      <c r="D1" s="122"/>
      <c r="E1" s="122">
        <f>inputPrYr!C4</f>
        <v>2014</v>
      </c>
    </row>
    <row r="2" spans="1:5" ht="15.75">
      <c r="A2" s="141"/>
      <c r="B2" s="122"/>
      <c r="C2" s="122"/>
      <c r="D2" s="122"/>
      <c r="E2" s="122"/>
    </row>
    <row r="3" spans="1:5" ht="15.75">
      <c r="A3" s="748" t="s">
        <v>232</v>
      </c>
      <c r="B3" s="749"/>
      <c r="C3" s="749"/>
      <c r="D3" s="749"/>
      <c r="E3" s="749"/>
    </row>
    <row r="4" spans="1:5" ht="15.75">
      <c r="A4" s="122"/>
      <c r="B4" s="122"/>
      <c r="C4" s="122"/>
      <c r="D4" s="122"/>
      <c r="E4" s="122"/>
    </row>
    <row r="5" spans="1:5" ht="15.75">
      <c r="A5" s="121" t="str">
        <f>CONCATENATE("From the County Clerks ",E1," Budget Information:")</f>
        <v>From the County Clerks 2014 Budget Information:</v>
      </c>
      <c r="B5" s="123"/>
      <c r="C5" s="92"/>
      <c r="D5" s="82"/>
      <c r="E5" s="142"/>
    </row>
    <row r="6" spans="1:5" ht="15.75">
      <c r="A6" s="143" t="str">
        <f>CONCATENATE("Total Assessed Valuation for ",E1-1,"")</f>
        <v>Total Assessed Valuation for 2013</v>
      </c>
      <c r="B6" s="129"/>
      <c r="C6" s="129"/>
      <c r="D6" s="129"/>
      <c r="E6" s="109">
        <v>58556892</v>
      </c>
    </row>
    <row r="7" spans="1:5" ht="15.75">
      <c r="A7" s="143" t="str">
        <f>CONCATENATE("New Improvements for ",E1-1,"")</f>
        <v>New Improvements for 2013</v>
      </c>
      <c r="B7" s="129"/>
      <c r="C7" s="129"/>
      <c r="D7" s="129"/>
      <c r="E7" s="144">
        <v>208309</v>
      </c>
    </row>
    <row r="8" spans="1:5" ht="15.75">
      <c r="A8" s="143" t="str">
        <f>CONCATENATE("Personal Property excluding oil, gas, and mobile homes- ",E1-1,"")</f>
        <v>Personal Property excluding oil, gas, and mobile homes- 2013</v>
      </c>
      <c r="B8" s="129"/>
      <c r="C8" s="129"/>
      <c r="D8" s="129"/>
      <c r="E8" s="144">
        <v>1427892</v>
      </c>
    </row>
    <row r="9" spans="1:5" ht="15.75">
      <c r="A9" s="143" t="str">
        <f>CONCATENATE("Property that has changed in use for ",E1-1,"")</f>
        <v>Property that has changed in use for 2013</v>
      </c>
      <c r="B9" s="129"/>
      <c r="C9" s="129"/>
      <c r="D9" s="129"/>
      <c r="E9" s="144">
        <v>0</v>
      </c>
    </row>
    <row r="10" spans="1:5" ht="15.75">
      <c r="A10" s="143" t="str">
        <f>CONCATENATE("Personal Property excluding oil, gas, and mobile homes- ",E1-2,"")</f>
        <v>Personal Property excluding oil, gas, and mobile homes- 2012</v>
      </c>
      <c r="B10" s="129"/>
      <c r="C10" s="129"/>
      <c r="D10" s="129"/>
      <c r="E10" s="144">
        <v>1347447</v>
      </c>
    </row>
    <row r="11" spans="1:5" ht="15.75">
      <c r="A11" s="143" t="str">
        <f>CONCATENATE("Gross earnings (intangible) tax esitmate for ",E1,"")</f>
        <v>Gross earnings (intangible) tax esitmate for 2014</v>
      </c>
      <c r="B11" s="129"/>
      <c r="C11" s="129"/>
      <c r="D11" s="129"/>
      <c r="E11" s="109">
        <v>11327</v>
      </c>
    </row>
    <row r="12" spans="1:5" ht="15.75">
      <c r="A12" s="145" t="s">
        <v>375</v>
      </c>
      <c r="B12" s="129"/>
      <c r="C12" s="129"/>
      <c r="D12" s="112"/>
      <c r="E12" s="109">
        <v>0</v>
      </c>
    </row>
    <row r="13" spans="1:5" ht="15.75">
      <c r="A13" s="82"/>
      <c r="B13" s="82"/>
      <c r="C13" s="82"/>
      <c r="D13" s="98"/>
      <c r="E13" s="98"/>
    </row>
    <row r="14" spans="1:5" ht="15.75">
      <c r="A14" s="121" t="str">
        <f>CONCATENATE("From the County Treasurer's ",E1," Budget Information:")</f>
        <v>From the County Treasurer's 2014 Budget Information:</v>
      </c>
      <c r="B14" s="123"/>
      <c r="C14" s="123"/>
      <c r="D14" s="142"/>
      <c r="E14" s="142"/>
    </row>
    <row r="15" spans="1:5" ht="15.75">
      <c r="A15" s="110" t="s">
        <v>284</v>
      </c>
      <c r="B15" s="111"/>
      <c r="C15" s="111"/>
      <c r="D15" s="146"/>
      <c r="E15" s="109">
        <f>176035-5485</f>
        <v>170550</v>
      </c>
    </row>
    <row r="16" spans="1:5" ht="15.75">
      <c r="A16" s="143" t="s">
        <v>285</v>
      </c>
      <c r="B16" s="129"/>
      <c r="C16" s="129"/>
      <c r="D16" s="147"/>
      <c r="E16" s="109">
        <f>6151-204</f>
        <v>5947</v>
      </c>
    </row>
    <row r="17" spans="1:5" ht="15.75">
      <c r="A17" s="143" t="s">
        <v>991</v>
      </c>
      <c r="B17" s="129"/>
      <c r="C17" s="129"/>
      <c r="D17" s="147"/>
      <c r="E17" s="109">
        <f>14284-0</f>
        <v>14284</v>
      </c>
    </row>
    <row r="18" spans="1:5" ht="15.75">
      <c r="A18" s="143" t="s">
        <v>376</v>
      </c>
      <c r="B18" s="129"/>
      <c r="C18" s="129"/>
      <c r="D18" s="148"/>
      <c r="E18" s="109"/>
    </row>
    <row r="19" spans="1:5" ht="15.75">
      <c r="A19" s="143" t="s">
        <v>377</v>
      </c>
      <c r="B19" s="129"/>
      <c r="C19" s="129"/>
      <c r="D19" s="148"/>
      <c r="E19" s="109"/>
    </row>
    <row r="20" spans="1:5" ht="15.75">
      <c r="A20" s="82"/>
      <c r="B20" s="82"/>
      <c r="C20" s="82"/>
      <c r="D20" s="82"/>
      <c r="E20" s="82"/>
    </row>
    <row r="21" spans="1:5" ht="15.75">
      <c r="A21" s="149" t="s">
        <v>378</v>
      </c>
      <c r="B21" s="82"/>
      <c r="C21" s="82"/>
      <c r="D21" s="82"/>
      <c r="E21" s="82"/>
    </row>
    <row r="22" spans="1:5" ht="15.75">
      <c r="A22" s="684" t="str">
        <f>CONCATENATE("Actual Delinquency for ",E1-3," Tax - (rate .01213 = 1.213%, key in 1.2)")</f>
        <v>Actual Delinquency for 2011 Tax - (rate .01213 = 1.213%, key in 1.2)</v>
      </c>
      <c r="B22" s="111"/>
      <c r="C22" s="111"/>
      <c r="D22" s="116"/>
      <c r="E22" s="683">
        <v>0</v>
      </c>
    </row>
    <row r="23" spans="1:5" ht="15.75">
      <c r="A23" s="687" t="s">
        <v>167</v>
      </c>
      <c r="B23" s="111"/>
      <c r="C23" s="111"/>
      <c r="D23" s="111"/>
      <c r="E23" s="686">
        <v>0.01</v>
      </c>
    </row>
    <row r="24" spans="1:5" ht="15.75">
      <c r="A24" s="79" t="s">
        <v>379</v>
      </c>
      <c r="B24" s="79"/>
      <c r="C24" s="79"/>
      <c r="D24" s="79"/>
      <c r="E24" s="79"/>
    </row>
    <row r="25" spans="1:5" ht="15.75">
      <c r="A25" s="150"/>
      <c r="B25" s="150"/>
      <c r="C25" s="150"/>
      <c r="D25" s="150"/>
      <c r="E25" s="150"/>
    </row>
    <row r="26" spans="1:5" ht="15.75">
      <c r="A26" s="753" t="str">
        <f>CONCATENATE("From the ",E1-2," Budget Certificate Page")</f>
        <v>From the 2012 Budget Certificate Page</v>
      </c>
      <c r="B26" s="754"/>
      <c r="C26" s="150"/>
      <c r="D26" s="150"/>
      <c r="E26" s="150"/>
    </row>
    <row r="27" spans="1:5" ht="15.75">
      <c r="A27" s="151"/>
      <c r="B27" s="755" t="str">
        <f>CONCATENATE("",E1-2,"                         Expenditure Amt Budget Authority")</f>
        <v>2012                         Expenditure Amt Budget Authority</v>
      </c>
      <c r="C27" s="758" t="str">
        <f>CONCATENATE("Note: If the ",E1-2," budget was amended, then the")</f>
        <v>Note: If the 2012 budget was amended, then the</v>
      </c>
      <c r="D27" s="759"/>
      <c r="E27" s="759"/>
    </row>
    <row r="28" spans="1:5" ht="15.75">
      <c r="A28" s="152" t="s">
        <v>243</v>
      </c>
      <c r="B28" s="756"/>
      <c r="C28" s="153" t="s">
        <v>244</v>
      </c>
      <c r="D28" s="154"/>
      <c r="E28" s="154"/>
    </row>
    <row r="29" spans="1:5" ht="15.75">
      <c r="A29" s="155"/>
      <c r="B29" s="757"/>
      <c r="C29" s="153" t="s">
        <v>245</v>
      </c>
      <c r="D29" s="154"/>
      <c r="E29" s="154"/>
    </row>
    <row r="30" spans="1:5" ht="15.75">
      <c r="A30" s="156" t="str">
        <f>inputPrYr!B16</f>
        <v>General</v>
      </c>
      <c r="B30" s="157">
        <v>2081650</v>
      </c>
      <c r="C30" s="153"/>
      <c r="D30" s="154"/>
      <c r="E30" s="154"/>
    </row>
    <row r="31" spans="1:5" ht="15.75">
      <c r="A31" s="156" t="str">
        <f>inputPrYr!B17</f>
        <v>Bond &amp; Interest</v>
      </c>
      <c r="B31" s="102">
        <v>11211</v>
      </c>
      <c r="C31" s="153"/>
      <c r="D31" s="154"/>
      <c r="E31" s="154"/>
    </row>
    <row r="32" spans="1:5" ht="15.75">
      <c r="A32" s="156" t="str">
        <f>inputPrYr!B18</f>
        <v>Road &amp; Bridge</v>
      </c>
      <c r="B32" s="102">
        <v>1817000</v>
      </c>
      <c r="C32" s="150"/>
      <c r="D32" s="150"/>
      <c r="E32" s="150"/>
    </row>
    <row r="33" spans="1:5" ht="15.75">
      <c r="A33" s="156" t="str">
        <f>inputPrYr!B19</f>
        <v>Noxious Weed</v>
      </c>
      <c r="B33" s="102">
        <v>224577</v>
      </c>
      <c r="C33" s="150"/>
      <c r="D33" s="150"/>
      <c r="E33" s="150"/>
    </row>
    <row r="34" spans="1:5" ht="15.75">
      <c r="A34" s="156" t="str">
        <f>inputPrYr!B20</f>
        <v>Hospital Maintenance</v>
      </c>
      <c r="B34" s="102">
        <v>612000</v>
      </c>
      <c r="C34" s="150"/>
      <c r="D34" s="150"/>
      <c r="E34" s="150"/>
    </row>
    <row r="35" spans="1:5" ht="15.75">
      <c r="A35" s="156" t="str">
        <f>inputPrYr!B21</f>
        <v>Employee Benefits</v>
      </c>
      <c r="B35" s="102">
        <v>790000</v>
      </c>
      <c r="C35" s="150"/>
      <c r="D35" s="150"/>
      <c r="E35" s="150"/>
    </row>
    <row r="36" spans="1:5" ht="15.75">
      <c r="A36" s="156" t="str">
        <f>inputPrYr!B22</f>
        <v>Ag Extension</v>
      </c>
      <c r="B36" s="102">
        <v>5443</v>
      </c>
      <c r="C36" s="150"/>
      <c r="D36" s="150"/>
      <c r="E36" s="150"/>
    </row>
    <row r="37" spans="1:5" ht="15.75">
      <c r="A37" s="156" t="str">
        <f>inputPrYr!B23</f>
        <v>Mental Health</v>
      </c>
      <c r="B37" s="102">
        <v>27000</v>
      </c>
      <c r="C37" s="150"/>
      <c r="D37" s="150"/>
      <c r="E37" s="150"/>
    </row>
    <row r="38" spans="1:5" ht="15.75">
      <c r="A38" s="156" t="str">
        <f>inputPrYr!B24</f>
        <v>Developmental Service</v>
      </c>
      <c r="B38" s="102">
        <v>54000</v>
      </c>
      <c r="C38" s="150"/>
      <c r="D38" s="150"/>
      <c r="E38" s="150"/>
    </row>
    <row r="39" spans="1:5" ht="15.75">
      <c r="A39" s="156">
        <f>inputPrYr!B25</f>
        <v>0</v>
      </c>
      <c r="B39" s="102"/>
      <c r="C39" s="150"/>
      <c r="D39" s="150"/>
      <c r="E39" s="150"/>
    </row>
    <row r="40" spans="1:5" ht="15.75">
      <c r="A40" s="156">
        <f>inputPrYr!B26</f>
        <v>0</v>
      </c>
      <c r="B40" s="102"/>
      <c r="C40" s="150"/>
      <c r="D40" s="150"/>
      <c r="E40" s="150"/>
    </row>
    <row r="41" spans="1:5" ht="15.75">
      <c r="A41" s="156">
        <f>inputPrYr!B27</f>
        <v>0</v>
      </c>
      <c r="B41" s="102"/>
      <c r="C41" s="150"/>
      <c r="D41" s="150"/>
      <c r="E41" s="150"/>
    </row>
    <row r="42" spans="1:5" ht="15.75">
      <c r="A42" s="156">
        <f>inputPrYr!B28</f>
        <v>0</v>
      </c>
      <c r="B42" s="102"/>
      <c r="C42" s="150"/>
      <c r="D42" s="150"/>
      <c r="E42" s="150"/>
    </row>
    <row r="43" spans="1:5" ht="15.75">
      <c r="A43" s="156">
        <f>inputPrYr!B29</f>
        <v>0</v>
      </c>
      <c r="B43" s="102"/>
      <c r="C43" s="150"/>
      <c r="D43" s="150"/>
      <c r="E43" s="150"/>
    </row>
    <row r="44" spans="1:5" ht="15.75">
      <c r="A44" s="156">
        <f>inputPrYr!B30</f>
        <v>0</v>
      </c>
      <c r="B44" s="102"/>
      <c r="C44" s="150"/>
      <c r="D44" s="150"/>
      <c r="E44" s="150"/>
    </row>
    <row r="45" spans="1:5" ht="15.75">
      <c r="A45" s="156">
        <f>inputPrYr!B31</f>
        <v>0</v>
      </c>
      <c r="B45" s="102"/>
      <c r="C45" s="150"/>
      <c r="D45" s="150"/>
      <c r="E45" s="150"/>
    </row>
    <row r="46" spans="1:5" ht="15.75">
      <c r="A46" s="156">
        <f>inputPrYr!B32</f>
        <v>0</v>
      </c>
      <c r="B46" s="102"/>
      <c r="C46" s="150"/>
      <c r="D46" s="150"/>
      <c r="E46" s="150"/>
    </row>
    <row r="47" spans="1:5" ht="15.75">
      <c r="A47" s="156">
        <f>inputPrYr!B33</f>
        <v>0</v>
      </c>
      <c r="B47" s="102"/>
      <c r="C47" s="150"/>
      <c r="D47" s="150"/>
      <c r="E47" s="150"/>
    </row>
    <row r="48" spans="1:5" ht="15.75">
      <c r="A48" s="156">
        <f>inputPrYr!B34</f>
        <v>0</v>
      </c>
      <c r="B48" s="102"/>
      <c r="C48" s="150"/>
      <c r="D48" s="150"/>
      <c r="E48" s="150"/>
    </row>
    <row r="49" spans="1:5" ht="15.75">
      <c r="A49" s="156">
        <f>inputPrYr!B35</f>
        <v>0</v>
      </c>
      <c r="B49" s="102"/>
      <c r="C49" s="150"/>
      <c r="D49" s="150"/>
      <c r="E49" s="150"/>
    </row>
    <row r="50" spans="1:5" ht="15.75">
      <c r="A50" s="156">
        <f>inputPrYr!B36</f>
        <v>0</v>
      </c>
      <c r="B50" s="102"/>
      <c r="C50" s="150"/>
      <c r="D50" s="150"/>
      <c r="E50" s="150"/>
    </row>
    <row r="51" spans="1:5" ht="15.75">
      <c r="A51" s="156">
        <f>inputPrYr!B37</f>
        <v>0</v>
      </c>
      <c r="B51" s="102"/>
      <c r="C51" s="150"/>
      <c r="D51" s="150"/>
      <c r="E51" s="150"/>
    </row>
    <row r="52" spans="1:5" ht="15.75">
      <c r="A52" s="156">
        <f>inputPrYr!B38</f>
        <v>0</v>
      </c>
      <c r="B52" s="102"/>
      <c r="C52" s="150"/>
      <c r="D52" s="150"/>
      <c r="E52" s="150"/>
    </row>
    <row r="53" spans="1:5" ht="15.75">
      <c r="A53" s="156">
        <f>inputPrYr!B39</f>
        <v>0</v>
      </c>
      <c r="B53" s="102"/>
      <c r="C53" s="150"/>
      <c r="D53" s="150"/>
      <c r="E53" s="150"/>
    </row>
    <row r="54" spans="1:5" ht="15.75">
      <c r="A54" s="156">
        <f>inputPrYr!B40</f>
        <v>0</v>
      </c>
      <c r="B54" s="102"/>
      <c r="C54" s="150"/>
      <c r="D54" s="150"/>
      <c r="E54" s="150"/>
    </row>
    <row r="55" spans="1:5" ht="15.75">
      <c r="A55" s="156" t="str">
        <f>inputPrYr!B43</f>
        <v>Noxious Weed Capital Outlay</v>
      </c>
      <c r="B55" s="102">
        <v>55203</v>
      </c>
      <c r="C55" s="150"/>
      <c r="D55" s="150"/>
      <c r="E55" s="150"/>
    </row>
    <row r="56" spans="1:5" ht="15.75">
      <c r="A56" s="156" t="str">
        <f>inputPrYr!B44</f>
        <v>Solid Waste</v>
      </c>
      <c r="B56" s="102">
        <v>303824</v>
      </c>
      <c r="C56" s="150"/>
      <c r="D56" s="150"/>
      <c r="E56" s="150"/>
    </row>
    <row r="57" spans="1:5" ht="15.75">
      <c r="A57" s="156" t="str">
        <f>inputPrYr!B45</f>
        <v>Special Alcohol &amp; Drug</v>
      </c>
      <c r="B57" s="102">
        <v>15211</v>
      </c>
      <c r="C57" s="150"/>
      <c r="D57" s="150"/>
      <c r="E57" s="150"/>
    </row>
    <row r="58" spans="1:5" ht="15.75">
      <c r="A58" s="156" t="str">
        <f>inputPrYr!B46</f>
        <v>911 Emergency Service</v>
      </c>
      <c r="B58" s="102">
        <v>78728</v>
      </c>
      <c r="C58" s="150"/>
      <c r="D58" s="150"/>
      <c r="E58" s="150"/>
    </row>
    <row r="59" spans="1:5" ht="15.75">
      <c r="A59" s="156" t="str">
        <f>inputPrYr!B47</f>
        <v>911 Wireless</v>
      </c>
      <c r="B59" s="102">
        <v>18322</v>
      </c>
      <c r="C59" s="150"/>
      <c r="D59" s="150"/>
      <c r="E59" s="150"/>
    </row>
    <row r="60" spans="1:5" ht="15.75">
      <c r="A60" s="156">
        <f>inputPrYr!B48</f>
        <v>0</v>
      </c>
      <c r="B60" s="102"/>
      <c r="C60" s="150"/>
      <c r="D60" s="150"/>
      <c r="E60" s="150"/>
    </row>
    <row r="61" spans="1:5" ht="15.75">
      <c r="A61" s="156">
        <f>inputPrYr!B49</f>
        <v>0</v>
      </c>
      <c r="B61" s="102"/>
      <c r="C61" s="150"/>
      <c r="D61" s="150"/>
      <c r="E61" s="150"/>
    </row>
    <row r="62" spans="1:5" ht="15.75">
      <c r="A62" s="156">
        <f>inputPrYr!B50</f>
        <v>0</v>
      </c>
      <c r="B62" s="102"/>
      <c r="C62" s="150"/>
      <c r="D62" s="150"/>
      <c r="E62" s="150"/>
    </row>
    <row r="63" spans="1:5" ht="15.75">
      <c r="A63" s="156">
        <f>inputPrYr!B51</f>
        <v>0</v>
      </c>
      <c r="B63" s="102"/>
      <c r="C63" s="150"/>
      <c r="D63" s="150"/>
      <c r="E63" s="150"/>
    </row>
    <row r="64" spans="1:5" ht="15.75">
      <c r="A64" s="156">
        <f>inputPrYr!B52</f>
        <v>0</v>
      </c>
      <c r="B64" s="102"/>
      <c r="C64" s="150"/>
      <c r="D64" s="150"/>
      <c r="E64" s="150"/>
    </row>
    <row r="65" spans="1:5" ht="15.75">
      <c r="A65" s="156">
        <f>inputPrYr!B53</f>
        <v>0</v>
      </c>
      <c r="B65" s="102"/>
      <c r="C65" s="150"/>
      <c r="D65" s="150"/>
      <c r="E65" s="150"/>
    </row>
    <row r="66" spans="1:5" ht="15.75">
      <c r="A66" s="156">
        <f>inputPrYr!B54</f>
        <v>0</v>
      </c>
      <c r="B66" s="102"/>
      <c r="C66" s="150"/>
      <c r="D66" s="150"/>
      <c r="E66" s="150"/>
    </row>
    <row r="67" spans="1:5" ht="15.75">
      <c r="A67" s="156">
        <f>inputPrYr!B55</f>
        <v>0</v>
      </c>
      <c r="B67" s="102"/>
      <c r="C67" s="150"/>
      <c r="D67" s="150"/>
      <c r="E67" s="150"/>
    </row>
    <row r="68" spans="1:5" ht="15.75">
      <c r="A68" s="156">
        <f>inputPrYr!B56</f>
        <v>0</v>
      </c>
      <c r="B68" s="102"/>
      <c r="C68" s="150"/>
      <c r="D68" s="150"/>
      <c r="E68" s="150"/>
    </row>
    <row r="69" spans="1:5" ht="15.75">
      <c r="A69" s="156">
        <f>inputPrYr!B57</f>
        <v>0</v>
      </c>
      <c r="B69" s="102"/>
      <c r="C69" s="150"/>
      <c r="D69" s="150"/>
      <c r="E69" s="150"/>
    </row>
    <row r="70" spans="1:5" ht="15.75">
      <c r="A70" s="156">
        <f>inputPrYr!B58</f>
        <v>0</v>
      </c>
      <c r="B70" s="102"/>
      <c r="C70" s="150"/>
      <c r="D70" s="150"/>
      <c r="E70" s="150"/>
    </row>
  </sheetData>
  <sheetProtection/>
  <mergeCells count="4">
    <mergeCell ref="A3:E3"/>
    <mergeCell ref="A26:B26"/>
    <mergeCell ref="B27:B29"/>
    <mergeCell ref="C27:E27"/>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F50"/>
  <sheetViews>
    <sheetView zoomScalePageLayoutView="0" workbookViewId="0" topLeftCell="A1">
      <selection activeCell="E52" sqref="E52"/>
    </sheetView>
  </sheetViews>
  <sheetFormatPr defaultColWidth="8.796875" defaultRowHeight="15"/>
  <cols>
    <col min="1" max="1" width="9.19921875" style="161" customWidth="1"/>
    <col min="2" max="2" width="18.59765625" style="161" customWidth="1"/>
    <col min="3" max="3" width="11.796875" style="161" customWidth="1"/>
    <col min="4" max="4" width="12.796875" style="161" customWidth="1"/>
    <col min="5" max="5" width="11.796875" style="161" customWidth="1"/>
    <col min="6" max="16384" width="8.8984375" style="161" customWidth="1"/>
  </cols>
  <sheetData>
    <row r="1" spans="1:6" ht="15.75">
      <c r="A1" s="224" t="str">
        <f>inputPrYr!C2</f>
        <v>Gove County</v>
      </c>
      <c r="B1" s="82"/>
      <c r="C1" s="82"/>
      <c r="D1" s="82"/>
      <c r="E1" s="82"/>
      <c r="F1" s="321">
        <f>inputPrYr!C4</f>
        <v>2014</v>
      </c>
    </row>
    <row r="2" spans="1:6" ht="15.75">
      <c r="A2" s="82"/>
      <c r="B2" s="82"/>
      <c r="C2" s="82"/>
      <c r="D2" s="82"/>
      <c r="E2" s="82"/>
      <c r="F2" s="82"/>
    </row>
    <row r="3" spans="1:6" ht="15.75">
      <c r="A3" s="82"/>
      <c r="B3" s="779" t="str">
        <f>CONCATENATE("",F1," Neighborhood Revitalization Rebate")</f>
        <v>2014 Neighborhood Revitalization Rebate</v>
      </c>
      <c r="C3" s="822"/>
      <c r="D3" s="822"/>
      <c r="E3" s="822"/>
      <c r="F3" s="82"/>
    </row>
    <row r="4" spans="1:6" ht="15.75">
      <c r="A4" s="82"/>
      <c r="B4" s="82"/>
      <c r="C4" s="82"/>
      <c r="D4" s="82"/>
      <c r="E4" s="82"/>
      <c r="F4" s="82"/>
    </row>
    <row r="5" spans="1:6" ht="51" customHeight="1">
      <c r="A5" s="82"/>
      <c r="B5" s="387" t="str">
        <f>CONCATENATE("Budgeted Funds                       for ",F1,"")</f>
        <v>Budgeted Funds                       for 2014</v>
      </c>
      <c r="C5" s="387" t="str">
        <f>CONCATENATE("",F1-1," Ad Valorem before Rebate**")</f>
        <v>2013 Ad Valorem before Rebate**</v>
      </c>
      <c r="D5" s="388" t="str">
        <f>CONCATENATE("",F1-1," Mil Rate before Rebate")</f>
        <v>2013 Mil Rate before Rebate</v>
      </c>
      <c r="E5" s="389" t="str">
        <f>CONCATENATE("Estimate ",F1," NR Rebate")</f>
        <v>Estimate 2014 NR Rebate</v>
      </c>
      <c r="F5" s="134"/>
    </row>
    <row r="6" spans="1:6" ht="15.75">
      <c r="A6" s="82"/>
      <c r="B6" s="100" t="str">
        <f>inputPrYr!B16</f>
        <v>General</v>
      </c>
      <c r="C6" s="390"/>
      <c r="D6" s="391">
        <f>IF(C6&gt;0,C6/$D$36,"")</f>
      </c>
      <c r="E6" s="276">
        <f aca="true" t="shared" si="0" ref="E6:E30">IF(C6&gt;0,ROUND(D6*$D$40,0),"")</f>
      </c>
      <c r="F6" s="134"/>
    </row>
    <row r="7" spans="1:6" ht="15.75">
      <c r="A7" s="82"/>
      <c r="B7" s="100" t="str">
        <f>inputPrYr!B17</f>
        <v>Bond &amp; Interest</v>
      </c>
      <c r="C7" s="390"/>
      <c r="D7" s="391">
        <f aca="true" t="shared" si="1" ref="D7:D30">IF(C7&gt;0,C7/$D$36,"")</f>
      </c>
      <c r="E7" s="276">
        <f t="shared" si="0"/>
      </c>
      <c r="F7" s="134"/>
    </row>
    <row r="8" spans="1:6" ht="15.75">
      <c r="A8" s="82"/>
      <c r="B8" s="100" t="str">
        <f>inputPrYr!B18</f>
        <v>Road &amp; Bridge</v>
      </c>
      <c r="C8" s="390"/>
      <c r="D8" s="391">
        <f t="shared" si="1"/>
      </c>
      <c r="E8" s="276">
        <f t="shared" si="0"/>
      </c>
      <c r="F8" s="134"/>
    </row>
    <row r="9" spans="1:6" ht="15.75">
      <c r="A9" s="82"/>
      <c r="B9" s="100" t="str">
        <f>inputPrYr!B19</f>
        <v>Noxious Weed</v>
      </c>
      <c r="C9" s="390"/>
      <c r="D9" s="391">
        <f t="shared" si="1"/>
      </c>
      <c r="E9" s="276">
        <f t="shared" si="0"/>
      </c>
      <c r="F9" s="134"/>
    </row>
    <row r="10" spans="1:6" ht="15.75">
      <c r="A10" s="82"/>
      <c r="B10" s="100" t="str">
        <f>inputPrYr!B20</f>
        <v>Hospital Maintenance</v>
      </c>
      <c r="C10" s="390"/>
      <c r="D10" s="391">
        <f t="shared" si="1"/>
      </c>
      <c r="E10" s="276">
        <f t="shared" si="0"/>
      </c>
      <c r="F10" s="134"/>
    </row>
    <row r="11" spans="1:6" ht="15.75">
      <c r="A11" s="82"/>
      <c r="B11" s="100" t="str">
        <f>inputPrYr!B21</f>
        <v>Employee Benefits</v>
      </c>
      <c r="C11" s="390"/>
      <c r="D11" s="391">
        <f t="shared" si="1"/>
      </c>
      <c r="E11" s="276">
        <f t="shared" si="0"/>
      </c>
      <c r="F11" s="134"/>
    </row>
    <row r="12" spans="1:6" ht="15.75">
      <c r="A12" s="82"/>
      <c r="B12" s="100" t="str">
        <f>inputPrYr!B22</f>
        <v>Ag Extension</v>
      </c>
      <c r="C12" s="392"/>
      <c r="D12" s="391">
        <f t="shared" si="1"/>
      </c>
      <c r="E12" s="276">
        <f t="shared" si="0"/>
      </c>
      <c r="F12" s="134"/>
    </row>
    <row r="13" spans="1:6" ht="15.75">
      <c r="A13" s="82"/>
      <c r="B13" s="100" t="str">
        <f>inputPrYr!B23</f>
        <v>Mental Health</v>
      </c>
      <c r="C13" s="392"/>
      <c r="D13" s="391">
        <f t="shared" si="1"/>
      </c>
      <c r="E13" s="276">
        <f t="shared" si="0"/>
      </c>
      <c r="F13" s="134"/>
    </row>
    <row r="14" spans="1:6" ht="15.75">
      <c r="A14" s="82"/>
      <c r="B14" s="100" t="str">
        <f>inputPrYr!B24</f>
        <v>Developmental Service</v>
      </c>
      <c r="C14" s="392"/>
      <c r="D14" s="391">
        <f t="shared" si="1"/>
      </c>
      <c r="E14" s="276">
        <f t="shared" si="0"/>
      </c>
      <c r="F14" s="134"/>
    </row>
    <row r="15" spans="1:6" ht="15.75">
      <c r="A15" s="82"/>
      <c r="B15" s="100">
        <f>inputPrYr!B25</f>
        <v>0</v>
      </c>
      <c r="C15" s="392"/>
      <c r="D15" s="391">
        <f t="shared" si="1"/>
      </c>
      <c r="E15" s="276">
        <f t="shared" si="0"/>
      </c>
      <c r="F15" s="134"/>
    </row>
    <row r="16" spans="1:6" ht="15.75">
      <c r="A16" s="82"/>
      <c r="B16" s="100">
        <f>inputPrYr!B26</f>
        <v>0</v>
      </c>
      <c r="C16" s="392"/>
      <c r="D16" s="391">
        <f t="shared" si="1"/>
      </c>
      <c r="E16" s="276">
        <f t="shared" si="0"/>
      </c>
      <c r="F16" s="134"/>
    </row>
    <row r="17" spans="1:6" ht="15.75">
      <c r="A17" s="82"/>
      <c r="B17" s="100">
        <f>inputPrYr!B27</f>
        <v>0</v>
      </c>
      <c r="C17" s="392"/>
      <c r="D17" s="391">
        <f t="shared" si="1"/>
      </c>
      <c r="E17" s="276">
        <f t="shared" si="0"/>
      </c>
      <c r="F17" s="134"/>
    </row>
    <row r="18" spans="1:6" ht="15.75">
      <c r="A18" s="82"/>
      <c r="B18" s="100">
        <f>inputPrYr!B28</f>
        <v>0</v>
      </c>
      <c r="C18" s="392"/>
      <c r="D18" s="391">
        <f t="shared" si="1"/>
      </c>
      <c r="E18" s="276">
        <f t="shared" si="0"/>
      </c>
      <c r="F18" s="134"/>
    </row>
    <row r="19" spans="1:6" ht="15.75">
      <c r="A19" s="82"/>
      <c r="B19" s="100">
        <f>inputPrYr!B29</f>
        <v>0</v>
      </c>
      <c r="C19" s="392"/>
      <c r="D19" s="391">
        <f t="shared" si="1"/>
      </c>
      <c r="E19" s="276">
        <f t="shared" si="0"/>
      </c>
      <c r="F19" s="134"/>
    </row>
    <row r="20" spans="1:6" ht="15.75">
      <c r="A20" s="82"/>
      <c r="B20" s="100">
        <f>inputPrYr!B30</f>
        <v>0</v>
      </c>
      <c r="C20" s="392"/>
      <c r="D20" s="391">
        <f t="shared" si="1"/>
      </c>
      <c r="E20" s="276">
        <f t="shared" si="0"/>
      </c>
      <c r="F20" s="134"/>
    </row>
    <row r="21" spans="1:6" ht="15.75">
      <c r="A21" s="82"/>
      <c r="B21" s="100">
        <f>inputPrYr!B31</f>
        <v>0</v>
      </c>
      <c r="C21" s="392"/>
      <c r="D21" s="391">
        <f t="shared" si="1"/>
      </c>
      <c r="E21" s="276">
        <f t="shared" si="0"/>
      </c>
      <c r="F21" s="134"/>
    </row>
    <row r="22" spans="1:6" ht="15.75">
      <c r="A22" s="82"/>
      <c r="B22" s="100">
        <f>inputPrYr!B32</f>
        <v>0</v>
      </c>
      <c r="C22" s="392"/>
      <c r="D22" s="391">
        <f t="shared" si="1"/>
      </c>
      <c r="E22" s="276">
        <f t="shared" si="0"/>
      </c>
      <c r="F22" s="134"/>
    </row>
    <row r="23" spans="1:6" ht="15.75">
      <c r="A23" s="82"/>
      <c r="B23" s="100">
        <f>inputPrYr!B33</f>
        <v>0</v>
      </c>
      <c r="C23" s="392"/>
      <c r="D23" s="391">
        <f t="shared" si="1"/>
      </c>
      <c r="E23" s="276">
        <f t="shared" si="0"/>
      </c>
      <c r="F23" s="134"/>
    </row>
    <row r="24" spans="1:6" ht="15.75">
      <c r="A24" s="82"/>
      <c r="B24" s="100">
        <f>inputPrYr!B34</f>
        <v>0</v>
      </c>
      <c r="C24" s="392"/>
      <c r="D24" s="391">
        <f t="shared" si="1"/>
      </c>
      <c r="E24" s="276">
        <f t="shared" si="0"/>
      </c>
      <c r="F24" s="134"/>
    </row>
    <row r="25" spans="1:6" ht="15.75">
      <c r="A25" s="82"/>
      <c r="B25" s="100">
        <f>inputPrYr!B35</f>
        <v>0</v>
      </c>
      <c r="C25" s="392"/>
      <c r="D25" s="391">
        <f t="shared" si="1"/>
      </c>
      <c r="E25" s="276">
        <f t="shared" si="0"/>
      </c>
      <c r="F25" s="134"/>
    </row>
    <row r="26" spans="1:6" ht="15.75">
      <c r="A26" s="82"/>
      <c r="B26" s="100">
        <f>inputPrYr!B36</f>
        <v>0</v>
      </c>
      <c r="C26" s="392"/>
      <c r="D26" s="391">
        <f t="shared" si="1"/>
      </c>
      <c r="E26" s="276">
        <f t="shared" si="0"/>
      </c>
      <c r="F26" s="134"/>
    </row>
    <row r="27" spans="1:6" ht="15.75">
      <c r="A27" s="82"/>
      <c r="B27" s="100">
        <f>inputPrYr!B37</f>
        <v>0</v>
      </c>
      <c r="C27" s="392"/>
      <c r="D27" s="391">
        <f t="shared" si="1"/>
      </c>
      <c r="E27" s="276">
        <f t="shared" si="0"/>
      </c>
      <c r="F27" s="134"/>
    </row>
    <row r="28" spans="1:6" ht="15.75">
      <c r="A28" s="82"/>
      <c r="B28" s="100">
        <f>inputPrYr!B38</f>
        <v>0</v>
      </c>
      <c r="C28" s="392"/>
      <c r="D28" s="391">
        <f t="shared" si="1"/>
      </c>
      <c r="E28" s="276">
        <f t="shared" si="0"/>
      </c>
      <c r="F28" s="134"/>
    </row>
    <row r="29" spans="1:6" ht="15.75">
      <c r="A29" s="82"/>
      <c r="B29" s="100">
        <f>inputPrYr!B39</f>
        <v>0</v>
      </c>
      <c r="C29" s="392"/>
      <c r="D29" s="391">
        <f t="shared" si="1"/>
      </c>
      <c r="E29" s="276">
        <f t="shared" si="0"/>
      </c>
      <c r="F29" s="134"/>
    </row>
    <row r="30" spans="1:6" ht="15.75">
      <c r="A30" s="82"/>
      <c r="B30" s="100">
        <f>inputPrYr!B40</f>
        <v>0</v>
      </c>
      <c r="C30" s="392"/>
      <c r="D30" s="391">
        <f t="shared" si="1"/>
      </c>
      <c r="E30" s="276">
        <f t="shared" si="0"/>
      </c>
      <c r="F30" s="134"/>
    </row>
    <row r="31" spans="1:6" ht="16.5" thickBot="1">
      <c r="A31" s="82"/>
      <c r="B31" s="105" t="s">
        <v>305</v>
      </c>
      <c r="C31" s="393">
        <f>SUM(C6:C30)</f>
        <v>0</v>
      </c>
      <c r="D31" s="394">
        <f>SUM(D6:D30)</f>
        <v>0</v>
      </c>
      <c r="E31" s="393">
        <f>SUM(E6:E30)</f>
        <v>0</v>
      </c>
      <c r="F31" s="134"/>
    </row>
    <row r="32" spans="1:6" ht="16.5" thickTop="1">
      <c r="A32" s="82"/>
      <c r="B32" s="82"/>
      <c r="C32" s="82"/>
      <c r="D32" s="82"/>
      <c r="E32" s="82"/>
      <c r="F32" s="134"/>
    </row>
    <row r="33" spans="1:6" ht="15.75">
      <c r="A33" s="82"/>
      <c r="B33" s="82"/>
      <c r="C33" s="82"/>
      <c r="D33" s="82"/>
      <c r="E33" s="82"/>
      <c r="F33" s="134"/>
    </row>
    <row r="34" spans="1:6" ht="15.75">
      <c r="A34" s="823" t="str">
        <f>CONCATENATE("",F1-1," July 1 Valuation:")</f>
        <v>2013 July 1 Valuation:</v>
      </c>
      <c r="B34" s="792"/>
      <c r="C34" s="823"/>
      <c r="D34" s="395">
        <f>inputOth!E6</f>
        <v>58556892</v>
      </c>
      <c r="E34" s="82"/>
      <c r="F34" s="134"/>
    </row>
    <row r="35" spans="1:6" ht="15.75">
      <c r="A35" s="82"/>
      <c r="B35" s="82"/>
      <c r="C35" s="82"/>
      <c r="D35" s="82"/>
      <c r="E35" s="82"/>
      <c r="F35" s="134"/>
    </row>
    <row r="36" spans="1:6" ht="15.75">
      <c r="A36" s="82"/>
      <c r="B36" s="823" t="s">
        <v>464</v>
      </c>
      <c r="C36" s="823"/>
      <c r="D36" s="396">
        <f>IF(D34&gt;0,(D34*0.001),"")</f>
        <v>58556.892</v>
      </c>
      <c r="E36" s="82"/>
      <c r="F36" s="134"/>
    </row>
    <row r="37" spans="1:6" ht="15.75">
      <c r="A37" s="82"/>
      <c r="B37" s="284"/>
      <c r="C37" s="284"/>
      <c r="D37" s="397"/>
      <c r="E37" s="82"/>
      <c r="F37" s="134"/>
    </row>
    <row r="38" spans="1:6" ht="15.75">
      <c r="A38" s="821" t="s">
        <v>465</v>
      </c>
      <c r="B38" s="771"/>
      <c r="C38" s="771"/>
      <c r="D38" s="398">
        <f>inputOth!E12</f>
        <v>0</v>
      </c>
      <c r="E38" s="150"/>
      <c r="F38" s="150"/>
    </row>
    <row r="39" spans="1:6" ht="15">
      <c r="A39" s="150"/>
      <c r="B39" s="150"/>
      <c r="C39" s="150"/>
      <c r="D39" s="399"/>
      <c r="E39" s="150"/>
      <c r="F39" s="150"/>
    </row>
    <row r="40" spans="1:6" ht="15.75">
      <c r="A40" s="150"/>
      <c r="B40" s="821" t="s">
        <v>466</v>
      </c>
      <c r="C40" s="792"/>
      <c r="D40" s="400">
        <f>IF(D38&gt;0,(D38*0.001),"")</f>
      </c>
      <c r="E40" s="150"/>
      <c r="F40" s="150"/>
    </row>
    <row r="41" spans="1:6" ht="15">
      <c r="A41" s="150"/>
      <c r="B41" s="150"/>
      <c r="C41" s="150"/>
      <c r="D41" s="150"/>
      <c r="E41" s="150"/>
      <c r="F41" s="150"/>
    </row>
    <row r="42" spans="1:6" ht="15">
      <c r="A42" s="150"/>
      <c r="B42" s="150"/>
      <c r="C42" s="150"/>
      <c r="D42" s="150"/>
      <c r="E42" s="150"/>
      <c r="F42" s="150"/>
    </row>
    <row r="43" spans="1:6" ht="15.75">
      <c r="A43" s="26" t="str">
        <f>CONCATENATE("**This information comes from the ",F1," Budget Summary page.  See instructions tab #11 for completing")</f>
        <v>**This information comes from the 2014 Budget Summary page.  See instructions tab #11 for completing</v>
      </c>
      <c r="B43" s="150"/>
      <c r="C43" s="150"/>
      <c r="D43" s="150"/>
      <c r="E43" s="150"/>
      <c r="F43" s="150"/>
    </row>
    <row r="44" spans="1:6" ht="15.75">
      <c r="A44" s="26" t="s">
        <v>781</v>
      </c>
      <c r="B44" s="150"/>
      <c r="C44" s="150"/>
      <c r="D44" s="150"/>
      <c r="E44" s="150"/>
      <c r="F44" s="150"/>
    </row>
    <row r="45" spans="1:6" ht="15.75">
      <c r="A45" s="26"/>
      <c r="B45" s="150"/>
      <c r="C45" s="150"/>
      <c r="D45" s="150"/>
      <c r="E45" s="150"/>
      <c r="F45" s="150"/>
    </row>
    <row r="46" spans="1:6" ht="15.75">
      <c r="A46" s="26"/>
      <c r="B46" s="150"/>
      <c r="C46" s="150"/>
      <c r="D46" s="150"/>
      <c r="E46" s="150"/>
      <c r="F46" s="150"/>
    </row>
    <row r="47" spans="1:6" ht="15.75">
      <c r="A47" s="26"/>
      <c r="B47" s="150"/>
      <c r="C47" s="150"/>
      <c r="D47" s="150"/>
      <c r="E47" s="150"/>
      <c r="F47" s="150"/>
    </row>
    <row r="48" spans="1:6" ht="15">
      <c r="A48" s="150"/>
      <c r="B48" s="150"/>
      <c r="C48" s="150"/>
      <c r="D48" s="150"/>
      <c r="E48" s="150"/>
      <c r="F48" s="150"/>
    </row>
    <row r="49" spans="1:6" ht="15.75">
      <c r="A49" s="150"/>
      <c r="B49" s="317" t="s">
        <v>940</v>
      </c>
      <c r="C49" s="343"/>
      <c r="D49" s="150"/>
      <c r="E49" s="150"/>
      <c r="F49" s="150"/>
    </row>
    <row r="50" spans="1:6" ht="15.75">
      <c r="A50" s="134"/>
      <c r="B50" s="82"/>
      <c r="C50" s="82"/>
      <c r="D50" s="401"/>
      <c r="E50" s="134"/>
      <c r="F50" s="134"/>
    </row>
  </sheetData>
  <sheetProtection/>
  <mergeCells count="5">
    <mergeCell ref="B40:C40"/>
    <mergeCell ref="B3:E3"/>
    <mergeCell ref="A34:C34"/>
    <mergeCell ref="B36:C36"/>
    <mergeCell ref="A38:C38"/>
  </mergeCells>
  <printOptions/>
  <pageMargins left="0.75" right="0.75" top="1" bottom="0.59" header="0.5" footer="0.5"/>
  <pageSetup blackAndWhite="1" horizontalDpi="600" verticalDpi="600" orientation="portrait" scale="90" r:id="rId1"/>
  <headerFooter alignWithMargins="0">
    <oddHeader>&amp;RState of Kansas
County</oddHeader>
  </headerFooter>
</worksheet>
</file>

<file path=xl/worksheets/sheet31.xml><?xml version="1.0" encoding="utf-8"?>
<worksheet xmlns="http://schemas.openxmlformats.org/spreadsheetml/2006/main" xmlns:r="http://schemas.openxmlformats.org/officeDocument/2006/relationships">
  <dimension ref="A1:H57"/>
  <sheetViews>
    <sheetView zoomScalePageLayoutView="0" workbookViewId="0" topLeftCell="A10">
      <selection activeCell="E52" sqref="E52"/>
    </sheetView>
  </sheetViews>
  <sheetFormatPr defaultColWidth="9.796875" defaultRowHeight="15"/>
  <cols>
    <col min="1" max="16384" width="9.796875" style="38" customWidth="1"/>
  </cols>
  <sheetData>
    <row r="1" spans="1:8" ht="11.25" customHeight="1">
      <c r="A1" s="34"/>
      <c r="B1" s="35"/>
      <c r="C1" s="35"/>
      <c r="D1" s="35"/>
      <c r="E1" s="35"/>
      <c r="F1" s="35"/>
      <c r="G1" s="36"/>
      <c r="H1" s="37"/>
    </row>
    <row r="2" spans="1:8" ht="15.75" customHeight="1">
      <c r="A2" s="825" t="s">
        <v>1043</v>
      </c>
      <c r="B2" s="825"/>
      <c r="C2" s="825"/>
      <c r="D2" s="825"/>
      <c r="E2" s="825"/>
      <c r="F2" s="825"/>
      <c r="G2" s="825"/>
      <c r="H2" s="825"/>
    </row>
    <row r="3" spans="1:8" ht="9" customHeight="1">
      <c r="A3" s="34"/>
      <c r="B3" s="52"/>
      <c r="C3" s="52"/>
      <c r="D3" s="52"/>
      <c r="E3" s="52"/>
      <c r="F3" s="52"/>
      <c r="G3" s="39"/>
      <c r="H3" s="53"/>
    </row>
    <row r="4" spans="1:8" ht="15.75" customHeight="1">
      <c r="A4" s="826" t="s">
        <v>1044</v>
      </c>
      <c r="B4" s="826"/>
      <c r="C4" s="826"/>
      <c r="D4" s="826"/>
      <c r="E4" s="826"/>
      <c r="F4" s="826"/>
      <c r="G4" s="826"/>
      <c r="H4" s="826"/>
    </row>
    <row r="5" spans="1:8" ht="9" customHeight="1">
      <c r="A5" s="40"/>
      <c r="B5" s="52"/>
      <c r="C5" s="52"/>
      <c r="D5" s="52"/>
      <c r="E5" s="52"/>
      <c r="F5" s="52"/>
      <c r="G5" s="52"/>
      <c r="H5" s="53"/>
    </row>
    <row r="6" spans="1:8" ht="15.75" customHeight="1">
      <c r="A6" s="41" t="str">
        <f>CONCATENATE("A resolution expressing the property taxation policy of the Board of ",(inputPrYr!C2)," Commissioners")</f>
        <v>A resolution expressing the property taxation policy of the Board of Gove County Commissioners</v>
      </c>
      <c r="B6" s="52"/>
      <c r="C6" s="52"/>
      <c r="D6" s="52"/>
      <c r="E6" s="52"/>
      <c r="F6" s="52"/>
      <c r="G6" s="52"/>
      <c r="H6" s="53"/>
    </row>
    <row r="7" spans="1:8" ht="15.75" customHeight="1">
      <c r="A7" s="41" t="str">
        <f>CONCATENATE("with respect to financing the ",inputPrYr!C4," annual budget for ",(inputPrYr!E2)," .")</f>
        <v>with respect to financing the 2014 annual budget for  .</v>
      </c>
      <c r="B7" s="52"/>
      <c r="C7" s="52"/>
      <c r="D7" s="52"/>
      <c r="E7" s="52"/>
      <c r="F7" s="52"/>
      <c r="G7" s="52"/>
      <c r="H7" s="53"/>
    </row>
    <row r="8" spans="1:8" ht="9" customHeight="1">
      <c r="A8" s="34"/>
      <c r="B8" s="52"/>
      <c r="C8" s="52"/>
      <c r="D8" s="52"/>
      <c r="E8" s="52"/>
      <c r="F8" s="52"/>
      <c r="G8" s="52"/>
      <c r="H8" s="53"/>
    </row>
    <row r="9" spans="1:8" ht="15.75" customHeight="1">
      <c r="A9" s="42" t="str">
        <f>CONCATENATE("Whereas, K.S.A. 79-2925b provides that a resolution be adopted if property taxes levied to finance the ",inputPrYr!C4,"")</f>
        <v>Whereas, K.S.A. 79-2925b provides that a resolution be adopted if property taxes levied to finance the 2014</v>
      </c>
      <c r="B9" s="52"/>
      <c r="C9" s="52"/>
      <c r="D9" s="52"/>
      <c r="E9" s="52"/>
      <c r="F9" s="52"/>
      <c r="G9" s="52"/>
      <c r="H9" s="53"/>
    </row>
    <row r="10" spans="1:8" ht="15.75" customHeight="1">
      <c r="A10" s="828" t="str">
        <f>CONCATENATE("",(inputPrYr!C2)," budget exceed the amount levied to finance the ",inputPrYr!C4-1," ",(inputPrYr!C2)," ",A16,)</f>
        <v>Gove County budget exceed the amount levied to finance the 2013 Gove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828"/>
      <c r="C10" s="828"/>
      <c r="D10" s="828"/>
      <c r="E10" s="828"/>
      <c r="F10" s="828"/>
      <c r="G10" s="828"/>
      <c r="H10" s="828"/>
    </row>
    <row r="11" spans="1:8" ht="15.75" customHeight="1">
      <c r="A11" s="828"/>
      <c r="B11" s="828"/>
      <c r="C11" s="828"/>
      <c r="D11" s="828"/>
      <c r="E11" s="828"/>
      <c r="F11" s="828"/>
      <c r="G11" s="828"/>
      <c r="H11" s="828"/>
    </row>
    <row r="12" spans="1:8" ht="15.75" customHeight="1">
      <c r="A12" s="828"/>
      <c r="B12" s="828"/>
      <c r="C12" s="828"/>
      <c r="D12" s="828"/>
      <c r="E12" s="828"/>
      <c r="F12" s="828"/>
      <c r="G12" s="828"/>
      <c r="H12" s="828"/>
    </row>
    <row r="13" spans="1:8" ht="15.75" customHeight="1">
      <c r="A13" s="828"/>
      <c r="B13" s="828"/>
      <c r="C13" s="828"/>
      <c r="D13" s="828"/>
      <c r="E13" s="828"/>
      <c r="F13" s="828"/>
      <c r="G13" s="828"/>
      <c r="H13" s="828"/>
    </row>
    <row r="14" spans="1:8" ht="15.75" customHeight="1">
      <c r="A14" s="828"/>
      <c r="B14" s="828"/>
      <c r="C14" s="828"/>
      <c r="D14" s="828"/>
      <c r="E14" s="828"/>
      <c r="F14" s="828"/>
      <c r="G14" s="828"/>
      <c r="H14" s="828"/>
    </row>
    <row r="15" spans="1:8" ht="15.75" customHeight="1">
      <c r="A15" s="828"/>
      <c r="B15" s="828"/>
      <c r="C15" s="828"/>
      <c r="D15" s="828"/>
      <c r="E15" s="828"/>
      <c r="F15" s="828"/>
      <c r="G15" s="828"/>
      <c r="H15" s="828"/>
    </row>
    <row r="16" spans="1:8" ht="9" customHeight="1">
      <c r="A16" s="54" t="s">
        <v>365</v>
      </c>
      <c r="B16" s="52"/>
      <c r="C16" s="52"/>
      <c r="D16" s="52"/>
      <c r="E16" s="52"/>
      <c r="F16" s="52"/>
      <c r="G16" s="52"/>
      <c r="H16" s="53" t="s">
        <v>941</v>
      </c>
    </row>
    <row r="17" spans="1:8" ht="15.75" customHeight="1">
      <c r="A17" s="828" t="s">
        <v>1045</v>
      </c>
      <c r="B17" s="828"/>
      <c r="C17" s="828"/>
      <c r="D17" s="828"/>
      <c r="E17" s="828"/>
      <c r="F17" s="828"/>
      <c r="G17" s="828"/>
      <c r="H17" s="828"/>
    </row>
    <row r="18" spans="1:8" ht="15.75" customHeight="1">
      <c r="A18" s="828"/>
      <c r="B18" s="828"/>
      <c r="C18" s="828"/>
      <c r="D18" s="828"/>
      <c r="E18" s="828"/>
      <c r="F18" s="828"/>
      <c r="G18" s="828"/>
      <c r="H18" s="828"/>
    </row>
    <row r="19" spans="1:8" ht="9" customHeight="1">
      <c r="A19" s="40"/>
      <c r="B19" s="52"/>
      <c r="C19" s="52"/>
      <c r="D19" s="52"/>
      <c r="E19" s="52"/>
      <c r="F19" s="52"/>
      <c r="G19" s="52"/>
      <c r="H19" s="53"/>
    </row>
    <row r="20" spans="1:8" ht="15.75" customHeight="1">
      <c r="A20" s="828" t="str">
        <f>CONCATENATE("Whereas, ",(inputPrYr!C2)," provides the essential services to protect the health, safety, and well being of the citizens of the county; and")</f>
        <v>Whereas, Gove County provides the essential services to protect the health, safety, and well being of the citizens of the county; and</v>
      </c>
      <c r="B20" s="828"/>
      <c r="C20" s="828"/>
      <c r="D20" s="828"/>
      <c r="E20" s="828"/>
      <c r="F20" s="828"/>
      <c r="G20" s="828"/>
      <c r="H20" s="828"/>
    </row>
    <row r="21" spans="1:8" ht="15.75" customHeight="1">
      <c r="A21" s="828"/>
      <c r="B21" s="828"/>
      <c r="C21" s="828"/>
      <c r="D21" s="828"/>
      <c r="E21" s="828"/>
      <c r="F21" s="828"/>
      <c r="G21" s="828"/>
      <c r="H21" s="828"/>
    </row>
    <row r="22" spans="1:8" ht="9" customHeight="1">
      <c r="A22" s="43"/>
      <c r="B22" s="52"/>
      <c r="C22" s="52"/>
      <c r="D22" s="52"/>
      <c r="E22" s="52"/>
      <c r="F22" s="52"/>
      <c r="G22" s="52"/>
      <c r="H22" s="53"/>
    </row>
    <row r="23" spans="1:8" ht="15.75" customHeight="1">
      <c r="A23" s="43" t="s">
        <v>1046</v>
      </c>
      <c r="B23" s="52"/>
      <c r="C23" s="52"/>
      <c r="D23" s="52"/>
      <c r="E23" s="52"/>
      <c r="F23" s="52"/>
      <c r="G23" s="52"/>
      <c r="H23" s="53"/>
    </row>
    <row r="24" spans="1:8" ht="9" customHeight="1">
      <c r="A24" s="40"/>
      <c r="B24" s="52"/>
      <c r="C24" s="52"/>
      <c r="D24" s="52"/>
      <c r="E24" s="52"/>
      <c r="F24" s="52"/>
      <c r="G24" s="52"/>
      <c r="H24" s="53"/>
    </row>
    <row r="25" spans="1:8" ht="15.75" customHeight="1">
      <c r="A25" s="828" t="str">
        <f>CONCATENATE("Whereas, the ",inputPrYr!C4-1," Kansas State Legislature failed to fulfill its obligations in regard to the statutory funding of demand transfers and, by significantly ",A28," ",(inputPrYr!C2),B28)</f>
        <v>Whereas, the 2013 Kansas State Legislature failed to fulfill its obligations in regard to the statutory funding of demand transfers and, by significantly limiting state revenue sharing payments to counties, has contributed to higher county property tax levies to finance the 2014 Gove County budget.</v>
      </c>
      <c r="B25" s="828"/>
      <c r="C25" s="828"/>
      <c r="D25" s="828"/>
      <c r="E25" s="828"/>
      <c r="F25" s="828"/>
      <c r="G25" s="828"/>
      <c r="H25" s="828"/>
    </row>
    <row r="26" spans="1:8" ht="15.75" customHeight="1">
      <c r="A26" s="828"/>
      <c r="B26" s="828"/>
      <c r="C26" s="828"/>
      <c r="D26" s="828"/>
      <c r="E26" s="828"/>
      <c r="F26" s="828"/>
      <c r="G26" s="828"/>
      <c r="H26" s="828"/>
    </row>
    <row r="27" spans="1:8" ht="15.75" customHeight="1">
      <c r="A27" s="828"/>
      <c r="B27" s="828"/>
      <c r="C27" s="828"/>
      <c r="D27" s="828"/>
      <c r="E27" s="828"/>
      <c r="F27" s="828"/>
      <c r="G27" s="828"/>
      <c r="H27" s="828"/>
    </row>
    <row r="28" spans="1:8" ht="9" customHeight="1">
      <c r="A28" s="44" t="str">
        <f>CONCATENATE("limiting state revenue sharing payments to counties, has contributed to higher county property tax levies to finance the ",inputPrYr!C4,"")</f>
        <v>limiting state revenue sharing payments to counties, has contributed to higher county property tax levies to finance the 2014</v>
      </c>
      <c r="B28" s="55" t="s">
        <v>366</v>
      </c>
      <c r="C28" s="6"/>
      <c r="D28" s="6"/>
      <c r="E28" s="6"/>
      <c r="F28" s="6"/>
      <c r="G28" s="6"/>
      <c r="H28" s="56"/>
    </row>
    <row r="29" spans="1:8" ht="15.75" customHeight="1">
      <c r="A29" s="828"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",(inputPrYr!C2),A38,)</f>
        <v>NOW, THEREFORE, BE IT RESOLVED by the Board of Gove County Commissioners that is our desire to notify the public of the possibility of increased property taxes to finance the 2014 Gove County budget due to the above mentioned constraints, and that all persons are invited and encouraged to attend budget meeting conducted by the Board of Gove County Commissioners.  The date and time of budget hearings with the Board of Gove County Commissioners will be published in the _________ (newspaper).   Interested persons can also address questions concerning the budget to __________ (office) _______ by calling ___________ between the hours of ________ a.m. to ________ p.m., Monday through Fridays, excluding holidays.  </v>
      </c>
      <c r="B29" s="828"/>
      <c r="C29" s="828"/>
      <c r="D29" s="828"/>
      <c r="E29" s="828"/>
      <c r="F29" s="828"/>
      <c r="G29" s="828"/>
      <c r="H29" s="828"/>
    </row>
    <row r="30" spans="1:8" ht="15.75" customHeight="1">
      <c r="A30" s="828"/>
      <c r="B30" s="828"/>
      <c r="C30" s="828"/>
      <c r="D30" s="828"/>
      <c r="E30" s="828"/>
      <c r="F30" s="828"/>
      <c r="G30" s="828"/>
      <c r="H30" s="828"/>
    </row>
    <row r="31" spans="1:8" ht="15.75" customHeight="1">
      <c r="A31" s="828"/>
      <c r="B31" s="828"/>
      <c r="C31" s="828"/>
      <c r="D31" s="828"/>
      <c r="E31" s="828"/>
      <c r="F31" s="828"/>
      <c r="G31" s="828"/>
      <c r="H31" s="828"/>
    </row>
    <row r="32" spans="1:8" ht="15.75" customHeight="1">
      <c r="A32" s="828"/>
      <c r="B32" s="828"/>
      <c r="C32" s="828"/>
      <c r="D32" s="828"/>
      <c r="E32" s="828"/>
      <c r="F32" s="828"/>
      <c r="G32" s="828"/>
      <c r="H32" s="828"/>
    </row>
    <row r="33" spans="1:8" ht="15.75" customHeight="1">
      <c r="A33" s="828"/>
      <c r="B33" s="828"/>
      <c r="C33" s="828"/>
      <c r="D33" s="828"/>
      <c r="E33" s="828"/>
      <c r="F33" s="828"/>
      <c r="G33" s="828"/>
      <c r="H33" s="828"/>
    </row>
    <row r="34" spans="1:8" ht="15.75" customHeight="1">
      <c r="A34" s="828"/>
      <c r="B34" s="828"/>
      <c r="C34" s="828"/>
      <c r="D34" s="828"/>
      <c r="E34" s="828"/>
      <c r="F34" s="828"/>
      <c r="G34" s="828"/>
      <c r="H34" s="828"/>
    </row>
    <row r="35" spans="1:8" ht="15.75" customHeight="1">
      <c r="A35" s="828"/>
      <c r="B35" s="828"/>
      <c r="C35" s="828"/>
      <c r="D35" s="828"/>
      <c r="E35" s="828"/>
      <c r="F35" s="828"/>
      <c r="G35" s="828"/>
      <c r="H35" s="828"/>
    </row>
    <row r="36" spans="1:8" ht="15.75" customHeight="1">
      <c r="A36" s="828"/>
      <c r="B36" s="828"/>
      <c r="C36" s="828"/>
      <c r="D36" s="828"/>
      <c r="E36" s="828"/>
      <c r="F36" s="828"/>
      <c r="G36" s="828"/>
      <c r="H36" s="828"/>
    </row>
    <row r="37" spans="1:8" ht="15.75" customHeight="1">
      <c r="A37" s="828"/>
      <c r="B37" s="828"/>
      <c r="C37" s="828"/>
      <c r="D37" s="828"/>
      <c r="E37" s="828"/>
      <c r="F37" s="828"/>
      <c r="G37" s="828"/>
      <c r="H37" s="828"/>
    </row>
    <row r="38" spans="1:8" ht="15.75" customHeight="1">
      <c r="A38" s="45" t="s">
        <v>374</v>
      </c>
      <c r="B38" s="6"/>
      <c r="C38" s="6"/>
      <c r="D38" s="6"/>
      <c r="E38" s="6"/>
      <c r="F38" s="6"/>
      <c r="G38" s="6"/>
      <c r="H38" s="56" t="s">
        <v>941</v>
      </c>
    </row>
    <row r="39" spans="1:8" ht="15.75" customHeight="1">
      <c r="A39" s="827" t="str">
        <f>CONCATENATE("                                                 Adopted this _________ day of ___________, ",inputPrYr!C4-1," by the Board of ",(inputPrYr!C2)," Commissioners.")</f>
        <v>                                                 Adopted this _________ day of ___________, 2013 by the Board of Gove County Commissioners.</v>
      </c>
      <c r="B39" s="827"/>
      <c r="C39" s="827"/>
      <c r="D39" s="827"/>
      <c r="E39" s="827"/>
      <c r="F39" s="827"/>
      <c r="G39" s="827"/>
      <c r="H39" s="827"/>
    </row>
    <row r="40" spans="1:8" ht="15.75" customHeight="1">
      <c r="A40" s="827"/>
      <c r="B40" s="827"/>
      <c r="C40" s="827"/>
      <c r="D40" s="827"/>
      <c r="E40" s="827"/>
      <c r="F40" s="827"/>
      <c r="G40" s="827"/>
      <c r="H40" s="827"/>
    </row>
    <row r="41" spans="1:8" ht="15.75" customHeight="1">
      <c r="A41" s="6"/>
      <c r="B41" s="6"/>
      <c r="C41" s="6"/>
      <c r="D41" s="6"/>
      <c r="E41" s="824" t="s">
        <v>1047</v>
      </c>
      <c r="F41" s="824"/>
      <c r="G41" s="824"/>
      <c r="H41" s="824"/>
    </row>
    <row r="42" spans="1:8" ht="15.75" customHeight="1">
      <c r="A42" s="46"/>
      <c r="B42" s="6"/>
      <c r="C42" s="6"/>
      <c r="D42" s="6"/>
      <c r="E42" s="824"/>
      <c r="F42" s="824"/>
      <c r="G42" s="824"/>
      <c r="H42" s="824"/>
    </row>
    <row r="43" spans="1:8" ht="15.75" customHeight="1">
      <c r="A43" s="6"/>
      <c r="B43" s="6"/>
      <c r="C43" s="6"/>
      <c r="D43" s="6"/>
      <c r="E43" s="824" t="s">
        <v>1048</v>
      </c>
      <c r="F43" s="824"/>
      <c r="G43" s="824"/>
      <c r="H43" s="824"/>
    </row>
    <row r="44" spans="1:8" ht="15.75" customHeight="1">
      <c r="A44" s="46"/>
      <c r="B44" s="6"/>
      <c r="C44" s="6"/>
      <c r="D44" s="6"/>
      <c r="E44" s="824"/>
      <c r="F44" s="824"/>
      <c r="G44" s="824"/>
      <c r="H44" s="824"/>
    </row>
    <row r="45" spans="1:8" ht="15.75" customHeight="1">
      <c r="A45" s="6"/>
      <c r="B45" s="6"/>
      <c r="C45" s="6"/>
      <c r="D45" s="6"/>
      <c r="E45" s="824" t="s">
        <v>1048</v>
      </c>
      <c r="F45" s="824"/>
      <c r="G45" s="824"/>
      <c r="H45" s="824"/>
    </row>
    <row r="46" spans="1:8" ht="15.75" customHeight="1">
      <c r="A46" s="46"/>
      <c r="B46" s="6"/>
      <c r="C46" s="6"/>
      <c r="D46" s="6"/>
      <c r="E46" s="824"/>
      <c r="F46" s="824"/>
      <c r="G46" s="824"/>
      <c r="H46" s="824"/>
    </row>
    <row r="47" spans="1:8" ht="15.75" customHeight="1">
      <c r="A47" s="6"/>
      <c r="B47" s="6"/>
      <c r="C47" s="6"/>
      <c r="D47" s="6"/>
      <c r="E47" s="824" t="s">
        <v>1048</v>
      </c>
      <c r="F47" s="824"/>
      <c r="G47" s="824"/>
      <c r="H47" s="824"/>
    </row>
    <row r="48" spans="1:8" ht="15.75" customHeight="1">
      <c r="A48" s="46"/>
      <c r="B48" s="6"/>
      <c r="C48" s="6"/>
      <c r="D48" s="6"/>
      <c r="E48" s="6"/>
      <c r="F48" s="6"/>
      <c r="G48" s="6"/>
      <c r="H48" s="56"/>
    </row>
    <row r="49" spans="1:8" ht="15.75" customHeight="1">
      <c r="A49" s="46" t="s">
        <v>1049</v>
      </c>
      <c r="B49" s="6"/>
      <c r="C49" s="6"/>
      <c r="D49" s="6"/>
      <c r="E49" s="6"/>
      <c r="F49" s="6"/>
      <c r="G49" s="6"/>
      <c r="H49" s="56"/>
    </row>
    <row r="50" spans="1:8" ht="15.75" customHeight="1">
      <c r="A50" s="46"/>
      <c r="B50" s="6"/>
      <c r="C50" s="6"/>
      <c r="D50" s="6"/>
      <c r="E50" s="6"/>
      <c r="F50" s="6"/>
      <c r="G50" s="46"/>
      <c r="H50" s="56"/>
    </row>
    <row r="51" spans="1:8" ht="15.75" customHeight="1">
      <c r="A51" s="47" t="s">
        <v>1050</v>
      </c>
      <c r="B51" s="2"/>
      <c r="C51" s="2"/>
      <c r="D51" s="2"/>
      <c r="E51" s="2"/>
      <c r="F51" s="2"/>
      <c r="G51" s="46"/>
      <c r="H51" s="56"/>
    </row>
    <row r="52" spans="1:8" ht="15.75" customHeight="1">
      <c r="A52" s="824" t="s">
        <v>1051</v>
      </c>
      <c r="B52" s="824"/>
      <c r="C52" s="824"/>
      <c r="D52" s="2"/>
      <c r="E52" s="2"/>
      <c r="F52" s="2"/>
      <c r="G52" s="46"/>
      <c r="H52" s="56"/>
    </row>
    <row r="53" spans="1:8" ht="15.75" customHeight="1">
      <c r="A53" s="47"/>
      <c r="B53" s="2"/>
      <c r="C53" s="2"/>
      <c r="D53" s="2"/>
      <c r="E53" s="2"/>
      <c r="F53" s="2"/>
      <c r="G53" s="46"/>
      <c r="H53" s="56"/>
    </row>
    <row r="54" spans="1:8" ht="15.75" customHeight="1">
      <c r="A54" s="47"/>
      <c r="B54" s="2"/>
      <c r="C54" s="2"/>
      <c r="D54" s="2"/>
      <c r="E54" s="2"/>
      <c r="F54" s="2"/>
      <c r="G54" s="46"/>
      <c r="H54" s="56"/>
    </row>
    <row r="55" spans="1:8" ht="15.75" customHeight="1">
      <c r="A55" s="48" t="s">
        <v>1052</v>
      </c>
      <c r="B55" s="2"/>
      <c r="C55" s="2"/>
      <c r="D55" s="58" t="s">
        <v>940</v>
      </c>
      <c r="E55" s="745">
        <v>21</v>
      </c>
      <c r="F55" s="2"/>
      <c r="G55" s="46"/>
      <c r="H55" s="56"/>
    </row>
    <row r="56" spans="1:8" ht="15" customHeight="1">
      <c r="A56" s="56"/>
      <c r="B56" s="56"/>
      <c r="C56" s="56"/>
      <c r="D56" s="56"/>
      <c r="E56" s="56"/>
      <c r="F56" s="56"/>
      <c r="G56" s="56"/>
      <c r="H56" s="56"/>
    </row>
    <row r="57" spans="1:8" ht="15" customHeight="1">
      <c r="A57" s="56"/>
      <c r="B57" s="56"/>
      <c r="C57" s="56"/>
      <c r="D57" s="56"/>
      <c r="E57" s="56"/>
      <c r="F57" s="56"/>
      <c r="G57" s="56"/>
      <c r="H57" s="56"/>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sheetData>
  <sheetProtection/>
  <mergeCells count="16">
    <mergeCell ref="A2:H2"/>
    <mergeCell ref="A4:H4"/>
    <mergeCell ref="A39:H40"/>
    <mergeCell ref="A10:H15"/>
    <mergeCell ref="A29:H37"/>
    <mergeCell ref="A17:H18"/>
    <mergeCell ref="A20:H21"/>
    <mergeCell ref="A25:H27"/>
    <mergeCell ref="E45:H45"/>
    <mergeCell ref="E46:H46"/>
    <mergeCell ref="E47:H47"/>
    <mergeCell ref="A52:C52"/>
    <mergeCell ref="E41:H41"/>
    <mergeCell ref="E42:H42"/>
    <mergeCell ref="E43:H43"/>
    <mergeCell ref="E44:H44"/>
  </mergeCells>
  <printOptions/>
  <pageMargins left="0.37" right="0.27" top="0.5" bottom="0.5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E52" sqref="E52"/>
    </sheetView>
  </sheetViews>
  <sheetFormatPr defaultColWidth="8.796875" defaultRowHeight="15"/>
  <cols>
    <col min="1" max="1" width="71.296875" style="0" customWidth="1"/>
  </cols>
  <sheetData>
    <row r="3" spans="1:12" ht="15">
      <c r="A3" s="425" t="s">
        <v>482</v>
      </c>
      <c r="B3" s="425"/>
      <c r="C3" s="425"/>
      <c r="D3" s="425"/>
      <c r="E3" s="425"/>
      <c r="F3" s="425"/>
      <c r="G3" s="425"/>
      <c r="H3" s="425"/>
      <c r="I3" s="425"/>
      <c r="J3" s="425"/>
      <c r="K3" s="425"/>
      <c r="L3" s="425"/>
    </row>
    <row r="5" ht="15">
      <c r="A5" s="426" t="s">
        <v>723</v>
      </c>
    </row>
    <row r="6" ht="15">
      <c r="A6" s="426" t="str">
        <f>CONCATENATE(inputPrYr!C4-2," 'total expenditures' exceed your ",inputPrYr!C4-2," 'budget authority.'")</f>
        <v>2012 'total expenditures' exceed your 2012 'budget authority.'</v>
      </c>
    </row>
    <row r="7" ht="15">
      <c r="A7" s="426"/>
    </row>
    <row r="8" ht="15">
      <c r="A8" s="426" t="s">
        <v>724</v>
      </c>
    </row>
    <row r="9" ht="15">
      <c r="A9" s="426" t="s">
        <v>725</v>
      </c>
    </row>
    <row r="10" ht="15">
      <c r="A10" s="426" t="s">
        <v>726</v>
      </c>
    </row>
    <row r="11" ht="15">
      <c r="A11" s="426"/>
    </row>
    <row r="12" ht="15">
      <c r="A12" s="426"/>
    </row>
    <row r="13" ht="15">
      <c r="A13" s="427" t="s">
        <v>727</v>
      </c>
    </row>
    <row r="15" ht="15">
      <c r="A15" s="426" t="s">
        <v>728</v>
      </c>
    </row>
    <row r="16" ht="15">
      <c r="A16" s="426" t="str">
        <f>CONCATENATE("(i.e. an audit has not been completed, or the ",inputPrYr!C4," adopted")</f>
        <v>(i.e. an audit has not been completed, or the 2014 adopted</v>
      </c>
    </row>
    <row r="17" ht="15">
      <c r="A17" s="426" t="s">
        <v>729</v>
      </c>
    </row>
    <row r="18" ht="15">
      <c r="A18" s="426" t="s">
        <v>730</v>
      </c>
    </row>
    <row r="19" ht="15">
      <c r="A19" s="426" t="s">
        <v>731</v>
      </c>
    </row>
    <row r="21" ht="15">
      <c r="A21" s="427" t="s">
        <v>732</v>
      </c>
    </row>
    <row r="22" ht="15">
      <c r="A22" s="427"/>
    </row>
    <row r="23" ht="15">
      <c r="A23" s="426" t="s">
        <v>733</v>
      </c>
    </row>
    <row r="24" ht="15">
      <c r="A24" s="426" t="s">
        <v>734</v>
      </c>
    </row>
    <row r="25" ht="15">
      <c r="A25" s="426" t="str">
        <f>CONCATENATE("particular fund.  If your ",inputPrYr!C4-2," budget was amended, did you")</f>
        <v>particular fund.  If your 2012 budget was amended, did you</v>
      </c>
    </row>
    <row r="26" ht="15">
      <c r="A26" s="426" t="s">
        <v>735</v>
      </c>
    </row>
    <row r="27" ht="15">
      <c r="A27" s="426"/>
    </row>
    <row r="28" ht="15">
      <c r="A28" s="426" t="str">
        <f>CONCATENATE("Next, look to see if any of your ",inputPrYr!C4-2," expenditures can be")</f>
        <v>Next, look to see if any of your 2012 expenditures can be</v>
      </c>
    </row>
    <row r="29" ht="15">
      <c r="A29" s="426" t="s">
        <v>736</v>
      </c>
    </row>
    <row r="30" ht="15">
      <c r="A30" s="426" t="s">
        <v>737</v>
      </c>
    </row>
    <row r="31" ht="15">
      <c r="A31" s="426" t="s">
        <v>738</v>
      </c>
    </row>
    <row r="32" ht="15">
      <c r="A32" s="426"/>
    </row>
    <row r="33" ht="15">
      <c r="A33" s="426" t="str">
        <f>CONCATENATE("Additionally, do your ",inputPrYr!C4-2," receipts contain a reimbursement")</f>
        <v>Additionally, do your 2012 receipts contain a reimbursement</v>
      </c>
    </row>
    <row r="34" ht="15">
      <c r="A34" s="426" t="s">
        <v>739</v>
      </c>
    </row>
    <row r="35" ht="15">
      <c r="A35" s="426" t="s">
        <v>740</v>
      </c>
    </row>
    <row r="36" ht="15">
      <c r="A36" s="426"/>
    </row>
    <row r="37" ht="15">
      <c r="A37" s="426" t="s">
        <v>741</v>
      </c>
    </row>
    <row r="38" ht="15">
      <c r="A38" s="426" t="s">
        <v>742</v>
      </c>
    </row>
    <row r="39" ht="15">
      <c r="A39" s="426" t="s">
        <v>743</v>
      </c>
    </row>
    <row r="40" ht="15">
      <c r="A40" s="426" t="s">
        <v>744</v>
      </c>
    </row>
    <row r="41" ht="15">
      <c r="A41" s="426" t="s">
        <v>745</v>
      </c>
    </row>
    <row r="42" ht="15">
      <c r="A42" s="426" t="s">
        <v>746</v>
      </c>
    </row>
    <row r="43" ht="15">
      <c r="A43" s="426" t="s">
        <v>747</v>
      </c>
    </row>
    <row r="44" ht="15">
      <c r="A44" s="426" t="s">
        <v>748</v>
      </c>
    </row>
    <row r="45" ht="15">
      <c r="A45" s="426"/>
    </row>
    <row r="46" ht="15">
      <c r="A46" s="426" t="s">
        <v>749</v>
      </c>
    </row>
    <row r="47" ht="15">
      <c r="A47" s="426" t="s">
        <v>750</v>
      </c>
    </row>
    <row r="48" ht="15">
      <c r="A48" s="426" t="s">
        <v>751</v>
      </c>
    </row>
    <row r="49" ht="15">
      <c r="A49" s="426"/>
    </row>
    <row r="50" ht="15">
      <c r="A50" s="426" t="s">
        <v>752</v>
      </c>
    </row>
    <row r="51" ht="15">
      <c r="A51" s="426" t="s">
        <v>753</v>
      </c>
    </row>
    <row r="52" ht="15">
      <c r="A52" s="426" t="s">
        <v>754</v>
      </c>
    </row>
    <row r="53" ht="15">
      <c r="A53" s="426"/>
    </row>
    <row r="54" ht="15">
      <c r="A54" s="427" t="s">
        <v>755</v>
      </c>
    </row>
    <row r="55" ht="15">
      <c r="A55" s="426"/>
    </row>
    <row r="56" ht="15">
      <c r="A56" s="426" t="s">
        <v>756</v>
      </c>
    </row>
    <row r="57" ht="15">
      <c r="A57" s="426" t="s">
        <v>757</v>
      </c>
    </row>
    <row r="58" ht="15">
      <c r="A58" s="426" t="s">
        <v>758</v>
      </c>
    </row>
    <row r="59" ht="15">
      <c r="A59" s="426" t="s">
        <v>759</v>
      </c>
    </row>
    <row r="60" ht="15">
      <c r="A60" s="426" t="s">
        <v>760</v>
      </c>
    </row>
    <row r="61" ht="15">
      <c r="A61" s="426" t="s">
        <v>761</v>
      </c>
    </row>
    <row r="62" ht="15">
      <c r="A62" s="426" t="s">
        <v>762</v>
      </c>
    </row>
    <row r="63" ht="15">
      <c r="A63" s="426" t="s">
        <v>763</v>
      </c>
    </row>
    <row r="64" ht="15">
      <c r="A64" s="426" t="s">
        <v>764</v>
      </c>
    </row>
    <row r="65" ht="15">
      <c r="A65" s="426" t="s">
        <v>765</v>
      </c>
    </row>
    <row r="66" ht="15">
      <c r="A66" s="426" t="s">
        <v>766</v>
      </c>
    </row>
    <row r="67" ht="15">
      <c r="A67" s="426" t="s">
        <v>767</v>
      </c>
    </row>
    <row r="68" ht="15">
      <c r="A68" s="426" t="s">
        <v>768</v>
      </c>
    </row>
    <row r="69" ht="15">
      <c r="A69" s="426"/>
    </row>
    <row r="70" ht="15">
      <c r="A70" s="426" t="s">
        <v>769</v>
      </c>
    </row>
    <row r="71" ht="15">
      <c r="A71" s="426" t="s">
        <v>770</v>
      </c>
    </row>
    <row r="72" ht="15">
      <c r="A72" s="426" t="s">
        <v>771</v>
      </c>
    </row>
    <row r="73" ht="15">
      <c r="A73" s="426"/>
    </row>
    <row r="74" ht="15">
      <c r="A74" s="427" t="str">
        <f>CONCATENATE("What if the ",inputPrYr!C4-2," financial records have been closed?")</f>
        <v>What if the 2012 financial records have been closed?</v>
      </c>
    </row>
    <row r="76" ht="15">
      <c r="A76" s="426" t="s">
        <v>772</v>
      </c>
    </row>
    <row r="77" ht="15">
      <c r="A77" s="426" t="str">
        <f>CONCATENATE("(i.e. an audit for ",inputPrYr!C4-2," has been completed, or the ",inputPrYr!C4)</f>
        <v>(i.e. an audit for 2012 has been completed, or the 2014</v>
      </c>
    </row>
    <row r="78" ht="15">
      <c r="A78" s="426" t="s">
        <v>773</v>
      </c>
    </row>
    <row r="79" ht="15">
      <c r="A79" s="426" t="s">
        <v>774</v>
      </c>
    </row>
    <row r="80" ht="15">
      <c r="A80" s="426"/>
    </row>
    <row r="81" ht="15">
      <c r="A81" s="426" t="s">
        <v>775</v>
      </c>
    </row>
    <row r="82" ht="15">
      <c r="A82" s="426" t="s">
        <v>776</v>
      </c>
    </row>
    <row r="83" ht="15">
      <c r="A83" s="426" t="s">
        <v>777</v>
      </c>
    </row>
    <row r="84" ht="15">
      <c r="A84" s="426"/>
    </row>
    <row r="85" ht="15">
      <c r="A85" s="426" t="s">
        <v>622</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2" sqref="A2"/>
    </sheetView>
  </sheetViews>
  <sheetFormatPr defaultColWidth="8.796875" defaultRowHeight="15"/>
  <cols>
    <col min="1" max="1" width="71.296875" style="0" customWidth="1"/>
  </cols>
  <sheetData>
    <row r="3" spans="1:10" ht="15">
      <c r="A3" s="425" t="s">
        <v>623</v>
      </c>
      <c r="B3" s="425"/>
      <c r="C3" s="425"/>
      <c r="D3" s="425"/>
      <c r="E3" s="425"/>
      <c r="F3" s="425"/>
      <c r="G3" s="425"/>
      <c r="H3" s="428"/>
      <c r="I3" s="428"/>
      <c r="J3" s="428"/>
    </row>
    <row r="5" ht="15">
      <c r="A5" s="426" t="s">
        <v>624</v>
      </c>
    </row>
    <row r="6" ht="15">
      <c r="A6" t="str">
        <f>CONCATENATE(inputPrYr!C4-2," expenditures show that you finished the year with a ")</f>
        <v>2012 expenditures show that you finished the year with a </v>
      </c>
    </row>
    <row r="7" ht="15">
      <c r="A7" t="s">
        <v>625</v>
      </c>
    </row>
    <row r="9" ht="15">
      <c r="A9" t="s">
        <v>626</v>
      </c>
    </row>
    <row r="10" ht="15">
      <c r="A10" t="s">
        <v>627</v>
      </c>
    </row>
    <row r="11" ht="15">
      <c r="A11" t="s">
        <v>628</v>
      </c>
    </row>
    <row r="13" ht="15">
      <c r="A13" s="427" t="s">
        <v>629</v>
      </c>
    </row>
    <row r="14" ht="15">
      <c r="A14" s="427"/>
    </row>
    <row r="15" ht="15">
      <c r="A15" s="426" t="s">
        <v>630</v>
      </c>
    </row>
    <row r="16" ht="15">
      <c r="A16" s="426" t="s">
        <v>631</v>
      </c>
    </row>
    <row r="17" ht="15">
      <c r="A17" s="426" t="s">
        <v>632</v>
      </c>
    </row>
    <row r="18" ht="15">
      <c r="A18" s="426"/>
    </row>
    <row r="19" ht="15">
      <c r="A19" s="427" t="s">
        <v>633</v>
      </c>
    </row>
    <row r="20" ht="15">
      <c r="A20" s="427"/>
    </row>
    <row r="21" ht="15">
      <c r="A21" s="426" t="s">
        <v>634</v>
      </c>
    </row>
    <row r="22" ht="15">
      <c r="A22" s="426" t="s">
        <v>635</v>
      </c>
    </row>
    <row r="23" ht="15">
      <c r="A23" s="426" t="s">
        <v>636</v>
      </c>
    </row>
    <row r="24" ht="15">
      <c r="A24" s="426"/>
    </row>
    <row r="25" ht="15">
      <c r="A25" s="427" t="s">
        <v>637</v>
      </c>
    </row>
    <row r="26" ht="15">
      <c r="A26" s="427"/>
    </row>
    <row r="27" ht="15">
      <c r="A27" s="426" t="s">
        <v>638</v>
      </c>
    </row>
    <row r="28" ht="15">
      <c r="A28" s="426" t="s">
        <v>639</v>
      </c>
    </row>
    <row r="29" ht="15">
      <c r="A29" s="426" t="s">
        <v>640</v>
      </c>
    </row>
    <row r="30" ht="15">
      <c r="A30" s="426"/>
    </row>
    <row r="31" ht="15">
      <c r="A31" s="427" t="s">
        <v>641</v>
      </c>
    </row>
    <row r="32" ht="15">
      <c r="A32" s="427"/>
    </row>
    <row r="33" spans="1:8" ht="15">
      <c r="A33" s="426" t="str">
        <f>CONCATENATE("If your financial records for ",inputPrYr!C4-2," are not closed")</f>
        <v>If your financial records for 2012 are not closed</v>
      </c>
      <c r="B33" s="426"/>
      <c r="C33" s="426"/>
      <c r="D33" s="426"/>
      <c r="E33" s="426"/>
      <c r="F33" s="426"/>
      <c r="G33" s="426"/>
      <c r="H33" s="426"/>
    </row>
    <row r="34" spans="1:8" ht="15">
      <c r="A34" s="426" t="str">
        <f>CONCATENATE("(i.e. an audit has not been completed, or the ",inputPrYr!C4," adopted ")</f>
        <v>(i.e. an audit has not been completed, or the 2014 adopted </v>
      </c>
      <c r="B34" s="426"/>
      <c r="C34" s="426"/>
      <c r="D34" s="426"/>
      <c r="E34" s="426"/>
      <c r="F34" s="426"/>
      <c r="G34" s="426"/>
      <c r="H34" s="426"/>
    </row>
    <row r="35" spans="1:8" ht="15">
      <c r="A35" s="426" t="s">
        <v>642</v>
      </c>
      <c r="B35" s="426"/>
      <c r="C35" s="426"/>
      <c r="D35" s="426"/>
      <c r="E35" s="426"/>
      <c r="F35" s="426"/>
      <c r="G35" s="426"/>
      <c r="H35" s="426"/>
    </row>
    <row r="36" spans="1:8" ht="15">
      <c r="A36" s="426" t="s">
        <v>643</v>
      </c>
      <c r="B36" s="426"/>
      <c r="C36" s="426"/>
      <c r="D36" s="426"/>
      <c r="E36" s="426"/>
      <c r="F36" s="426"/>
      <c r="G36" s="426"/>
      <c r="H36" s="426"/>
    </row>
    <row r="37" spans="1:8" ht="15">
      <c r="A37" s="426" t="s">
        <v>644</v>
      </c>
      <c r="B37" s="426"/>
      <c r="C37" s="426"/>
      <c r="D37" s="426"/>
      <c r="E37" s="426"/>
      <c r="F37" s="426"/>
      <c r="G37" s="426"/>
      <c r="H37" s="426"/>
    </row>
    <row r="38" spans="1:8" ht="15">
      <c r="A38" s="426" t="s">
        <v>645</v>
      </c>
      <c r="B38" s="426"/>
      <c r="C38" s="426"/>
      <c r="D38" s="426"/>
      <c r="E38" s="426"/>
      <c r="F38" s="426"/>
      <c r="G38" s="426"/>
      <c r="H38" s="426"/>
    </row>
    <row r="39" spans="1:8" ht="15">
      <c r="A39" s="426" t="s">
        <v>646</v>
      </c>
      <c r="B39" s="426"/>
      <c r="C39" s="426"/>
      <c r="D39" s="426"/>
      <c r="E39" s="426"/>
      <c r="F39" s="426"/>
      <c r="G39" s="426"/>
      <c r="H39" s="426"/>
    </row>
    <row r="40" spans="1:8" ht="15">
      <c r="A40" s="426"/>
      <c r="B40" s="426"/>
      <c r="C40" s="426"/>
      <c r="D40" s="426"/>
      <c r="E40" s="426"/>
      <c r="F40" s="426"/>
      <c r="G40" s="426"/>
      <c r="H40" s="426"/>
    </row>
    <row r="41" spans="1:8" ht="15">
      <c r="A41" s="426" t="s">
        <v>647</v>
      </c>
      <c r="B41" s="426"/>
      <c r="C41" s="426"/>
      <c r="D41" s="426"/>
      <c r="E41" s="426"/>
      <c r="F41" s="426"/>
      <c r="G41" s="426"/>
      <c r="H41" s="426"/>
    </row>
    <row r="42" spans="1:8" ht="15">
      <c r="A42" s="426" t="s">
        <v>648</v>
      </c>
      <c r="B42" s="426"/>
      <c r="C42" s="426"/>
      <c r="D42" s="426"/>
      <c r="E42" s="426"/>
      <c r="F42" s="426"/>
      <c r="G42" s="426"/>
      <c r="H42" s="426"/>
    </row>
    <row r="43" spans="1:8" ht="15">
      <c r="A43" s="426" t="s">
        <v>649</v>
      </c>
      <c r="B43" s="426"/>
      <c r="C43" s="426"/>
      <c r="D43" s="426"/>
      <c r="E43" s="426"/>
      <c r="F43" s="426"/>
      <c r="G43" s="426"/>
      <c r="H43" s="426"/>
    </row>
    <row r="44" spans="1:8" ht="15">
      <c r="A44" s="426" t="s">
        <v>650</v>
      </c>
      <c r="B44" s="426"/>
      <c r="C44" s="426"/>
      <c r="D44" s="426"/>
      <c r="E44" s="426"/>
      <c r="F44" s="426"/>
      <c r="G44" s="426"/>
      <c r="H44" s="426"/>
    </row>
    <row r="45" spans="1:8" ht="15">
      <c r="A45" s="426"/>
      <c r="B45" s="426"/>
      <c r="C45" s="426"/>
      <c r="D45" s="426"/>
      <c r="E45" s="426"/>
      <c r="F45" s="426"/>
      <c r="G45" s="426"/>
      <c r="H45" s="426"/>
    </row>
    <row r="46" spans="1:8" ht="15">
      <c r="A46" s="426" t="s">
        <v>651</v>
      </c>
      <c r="B46" s="426"/>
      <c r="C46" s="426"/>
      <c r="D46" s="426"/>
      <c r="E46" s="426"/>
      <c r="F46" s="426"/>
      <c r="G46" s="426"/>
      <c r="H46" s="426"/>
    </row>
    <row r="47" spans="1:8" ht="15">
      <c r="A47" s="426" t="s">
        <v>652</v>
      </c>
      <c r="B47" s="426"/>
      <c r="C47" s="426"/>
      <c r="D47" s="426"/>
      <c r="E47" s="426"/>
      <c r="F47" s="426"/>
      <c r="G47" s="426"/>
      <c r="H47" s="426"/>
    </row>
    <row r="48" spans="1:8" ht="15">
      <c r="A48" s="426" t="s">
        <v>653</v>
      </c>
      <c r="B48" s="426"/>
      <c r="C48" s="426"/>
      <c r="D48" s="426"/>
      <c r="E48" s="426"/>
      <c r="F48" s="426"/>
      <c r="G48" s="426"/>
      <c r="H48" s="426"/>
    </row>
    <row r="49" spans="1:8" ht="15">
      <c r="A49" s="426" t="s">
        <v>654</v>
      </c>
      <c r="B49" s="426"/>
      <c r="C49" s="426"/>
      <c r="D49" s="426"/>
      <c r="E49" s="426"/>
      <c r="F49" s="426"/>
      <c r="G49" s="426"/>
      <c r="H49" s="426"/>
    </row>
    <row r="50" spans="1:8" ht="15">
      <c r="A50" s="426" t="s">
        <v>655</v>
      </c>
      <c r="B50" s="426"/>
      <c r="C50" s="426"/>
      <c r="D50" s="426"/>
      <c r="E50" s="426"/>
      <c r="F50" s="426"/>
      <c r="G50" s="426"/>
      <c r="H50" s="426"/>
    </row>
    <row r="51" spans="1:8" ht="15">
      <c r="A51" s="426"/>
      <c r="B51" s="426"/>
      <c r="C51" s="426"/>
      <c r="D51" s="426"/>
      <c r="E51" s="426"/>
      <c r="F51" s="426"/>
      <c r="G51" s="426"/>
      <c r="H51" s="426"/>
    </row>
    <row r="52" spans="1:8" ht="15">
      <c r="A52" s="427" t="s">
        <v>656</v>
      </c>
      <c r="B52" s="427"/>
      <c r="C52" s="427"/>
      <c r="D52" s="427"/>
      <c r="E52" s="427"/>
      <c r="F52" s="427"/>
      <c r="G52" s="427"/>
      <c r="H52" s="426"/>
    </row>
    <row r="53" spans="1:8" ht="15">
      <c r="A53" s="427" t="s">
        <v>657</v>
      </c>
      <c r="B53" s="427"/>
      <c r="C53" s="427"/>
      <c r="D53" s="427"/>
      <c r="E53" s="427"/>
      <c r="F53" s="427"/>
      <c r="G53" s="427"/>
      <c r="H53" s="426"/>
    </row>
    <row r="54" spans="1:8" ht="15">
      <c r="A54" s="426"/>
      <c r="B54" s="426"/>
      <c r="C54" s="426"/>
      <c r="D54" s="426"/>
      <c r="E54" s="426"/>
      <c r="F54" s="426"/>
      <c r="G54" s="426"/>
      <c r="H54" s="426"/>
    </row>
    <row r="55" spans="1:8" ht="15">
      <c r="A55" s="426" t="s">
        <v>658</v>
      </c>
      <c r="B55" s="426"/>
      <c r="C55" s="426"/>
      <c r="D55" s="426"/>
      <c r="E55" s="426"/>
      <c r="F55" s="426"/>
      <c r="G55" s="426"/>
      <c r="H55" s="426"/>
    </row>
    <row r="56" spans="1:8" ht="15">
      <c r="A56" s="426" t="s">
        <v>659</v>
      </c>
      <c r="B56" s="426"/>
      <c r="C56" s="426"/>
      <c r="D56" s="426"/>
      <c r="E56" s="426"/>
      <c r="F56" s="426"/>
      <c r="G56" s="426"/>
      <c r="H56" s="426"/>
    </row>
    <row r="57" spans="1:8" ht="15">
      <c r="A57" s="426" t="s">
        <v>660</v>
      </c>
      <c r="B57" s="426"/>
      <c r="C57" s="426"/>
      <c r="D57" s="426"/>
      <c r="E57" s="426"/>
      <c r="F57" s="426"/>
      <c r="G57" s="426"/>
      <c r="H57" s="426"/>
    </row>
    <row r="58" spans="1:8" ht="15">
      <c r="A58" s="426" t="s">
        <v>661</v>
      </c>
      <c r="B58" s="426"/>
      <c r="C58" s="426"/>
      <c r="D58" s="426"/>
      <c r="E58" s="426"/>
      <c r="F58" s="426"/>
      <c r="G58" s="426"/>
      <c r="H58" s="426"/>
    </row>
    <row r="59" spans="1:8" ht="15">
      <c r="A59" s="426"/>
      <c r="B59" s="426"/>
      <c r="C59" s="426"/>
      <c r="D59" s="426"/>
      <c r="E59" s="426"/>
      <c r="F59" s="426"/>
      <c r="G59" s="426"/>
      <c r="H59" s="426"/>
    </row>
    <row r="60" spans="1:8" ht="15">
      <c r="A60" s="426" t="s">
        <v>662</v>
      </c>
      <c r="B60" s="426"/>
      <c r="C60" s="426"/>
      <c r="D60" s="426"/>
      <c r="E60" s="426"/>
      <c r="F60" s="426"/>
      <c r="G60" s="426"/>
      <c r="H60" s="426"/>
    </row>
    <row r="61" spans="1:8" ht="15">
      <c r="A61" s="426" t="s">
        <v>663</v>
      </c>
      <c r="B61" s="426"/>
      <c r="C61" s="426"/>
      <c r="D61" s="426"/>
      <c r="E61" s="426"/>
      <c r="F61" s="426"/>
      <c r="G61" s="426"/>
      <c r="H61" s="426"/>
    </row>
    <row r="62" spans="1:8" ht="15">
      <c r="A62" s="426" t="s">
        <v>664</v>
      </c>
      <c r="B62" s="426"/>
      <c r="C62" s="426"/>
      <c r="D62" s="426"/>
      <c r="E62" s="426"/>
      <c r="F62" s="426"/>
      <c r="G62" s="426"/>
      <c r="H62" s="426"/>
    </row>
    <row r="63" spans="1:8" ht="15">
      <c r="A63" s="426" t="s">
        <v>665</v>
      </c>
      <c r="B63" s="426"/>
      <c r="C63" s="426"/>
      <c r="D63" s="426"/>
      <c r="E63" s="426"/>
      <c r="F63" s="426"/>
      <c r="G63" s="426"/>
      <c r="H63" s="426"/>
    </row>
    <row r="64" spans="1:8" ht="15">
      <c r="A64" s="426" t="s">
        <v>666</v>
      </c>
      <c r="B64" s="426"/>
      <c r="C64" s="426"/>
      <c r="D64" s="426"/>
      <c r="E64" s="426"/>
      <c r="F64" s="426"/>
      <c r="G64" s="426"/>
      <c r="H64" s="426"/>
    </row>
    <row r="65" spans="1:8" ht="15">
      <c r="A65" s="426" t="s">
        <v>667</v>
      </c>
      <c r="B65" s="426"/>
      <c r="C65" s="426"/>
      <c r="D65" s="426"/>
      <c r="E65" s="426"/>
      <c r="F65" s="426"/>
      <c r="G65" s="426"/>
      <c r="H65" s="426"/>
    </row>
    <row r="66" spans="1:8" ht="15">
      <c r="A66" s="426"/>
      <c r="B66" s="426"/>
      <c r="C66" s="426"/>
      <c r="D66" s="426"/>
      <c r="E66" s="426"/>
      <c r="F66" s="426"/>
      <c r="G66" s="426"/>
      <c r="H66" s="426"/>
    </row>
    <row r="67" spans="1:8" ht="15">
      <c r="A67" s="426" t="s">
        <v>668</v>
      </c>
      <c r="B67" s="426"/>
      <c r="C67" s="426"/>
      <c r="D67" s="426"/>
      <c r="E67" s="426"/>
      <c r="F67" s="426"/>
      <c r="G67" s="426"/>
      <c r="H67" s="426"/>
    </row>
    <row r="68" spans="1:8" ht="15">
      <c r="A68" s="426" t="s">
        <v>669</v>
      </c>
      <c r="B68" s="426"/>
      <c r="C68" s="426"/>
      <c r="D68" s="426"/>
      <c r="E68" s="426"/>
      <c r="F68" s="426"/>
      <c r="G68" s="426"/>
      <c r="H68" s="426"/>
    </row>
    <row r="69" spans="1:8" ht="15">
      <c r="A69" s="426" t="s">
        <v>670</v>
      </c>
      <c r="B69" s="426"/>
      <c r="C69" s="426"/>
      <c r="D69" s="426"/>
      <c r="E69" s="426"/>
      <c r="F69" s="426"/>
      <c r="G69" s="426"/>
      <c r="H69" s="426"/>
    </row>
    <row r="70" spans="1:8" ht="15">
      <c r="A70" s="426" t="s">
        <v>671</v>
      </c>
      <c r="B70" s="426"/>
      <c r="C70" s="426"/>
      <c r="D70" s="426"/>
      <c r="E70" s="426"/>
      <c r="F70" s="426"/>
      <c r="G70" s="426"/>
      <c r="H70" s="426"/>
    </row>
    <row r="71" spans="1:8" ht="15">
      <c r="A71" s="426" t="s">
        <v>672</v>
      </c>
      <c r="B71" s="426"/>
      <c r="C71" s="426"/>
      <c r="D71" s="426"/>
      <c r="E71" s="426"/>
      <c r="F71" s="426"/>
      <c r="G71" s="426"/>
      <c r="H71" s="426"/>
    </row>
    <row r="72" spans="1:8" ht="15">
      <c r="A72" s="426" t="s">
        <v>673</v>
      </c>
      <c r="B72" s="426"/>
      <c r="C72" s="426"/>
      <c r="D72" s="426"/>
      <c r="E72" s="426"/>
      <c r="F72" s="426"/>
      <c r="G72" s="426"/>
      <c r="H72" s="426"/>
    </row>
    <row r="73" spans="1:8" ht="15">
      <c r="A73" s="426" t="s">
        <v>674</v>
      </c>
      <c r="B73" s="426"/>
      <c r="C73" s="426"/>
      <c r="D73" s="426"/>
      <c r="E73" s="426"/>
      <c r="F73" s="426"/>
      <c r="G73" s="426"/>
      <c r="H73" s="426"/>
    </row>
    <row r="74" spans="1:8" ht="15">
      <c r="A74" s="426"/>
      <c r="B74" s="426"/>
      <c r="C74" s="426"/>
      <c r="D74" s="426"/>
      <c r="E74" s="426"/>
      <c r="F74" s="426"/>
      <c r="G74" s="426"/>
      <c r="H74" s="426"/>
    </row>
    <row r="75" spans="1:8" ht="15">
      <c r="A75" s="426" t="s">
        <v>675</v>
      </c>
      <c r="B75" s="426"/>
      <c r="C75" s="426"/>
      <c r="D75" s="426"/>
      <c r="E75" s="426"/>
      <c r="F75" s="426"/>
      <c r="G75" s="426"/>
      <c r="H75" s="426"/>
    </row>
    <row r="76" spans="1:8" ht="15">
      <c r="A76" s="426" t="s">
        <v>676</v>
      </c>
      <c r="B76" s="426"/>
      <c r="C76" s="426"/>
      <c r="D76" s="426"/>
      <c r="E76" s="426"/>
      <c r="F76" s="426"/>
      <c r="G76" s="426"/>
      <c r="H76" s="426"/>
    </row>
    <row r="77" spans="1:8" ht="15">
      <c r="A77" s="426" t="s">
        <v>0</v>
      </c>
      <c r="B77" s="426"/>
      <c r="C77" s="426"/>
      <c r="D77" s="426"/>
      <c r="E77" s="426"/>
      <c r="F77" s="426"/>
      <c r="G77" s="426"/>
      <c r="H77" s="426"/>
    </row>
    <row r="78" spans="1:8" ht="15">
      <c r="A78" s="426"/>
      <c r="B78" s="426"/>
      <c r="C78" s="426"/>
      <c r="D78" s="426"/>
      <c r="E78" s="426"/>
      <c r="F78" s="426"/>
      <c r="G78" s="426"/>
      <c r="H78" s="426"/>
    </row>
    <row r="79" ht="15">
      <c r="A79" s="426" t="s">
        <v>622</v>
      </c>
    </row>
    <row r="80" ht="15">
      <c r="A80" s="427"/>
    </row>
    <row r="81" ht="15">
      <c r="A81" s="426"/>
    </row>
    <row r="82" ht="15">
      <c r="A82" s="426"/>
    </row>
    <row r="83" ht="15">
      <c r="A83" s="426"/>
    </row>
    <row r="84" ht="15">
      <c r="A84" s="426"/>
    </row>
    <row r="85" ht="15">
      <c r="A85" s="426"/>
    </row>
    <row r="86" ht="15">
      <c r="A86" s="426"/>
    </row>
    <row r="87" ht="15">
      <c r="A87" s="426"/>
    </row>
    <row r="88" ht="15">
      <c r="A88" s="426"/>
    </row>
    <row r="89" ht="15">
      <c r="A89" s="426"/>
    </row>
    <row r="90" ht="15">
      <c r="A90" s="426"/>
    </row>
    <row r="91" ht="15">
      <c r="A91" s="426"/>
    </row>
    <row r="92" ht="15">
      <c r="A92" s="426"/>
    </row>
    <row r="93" ht="15">
      <c r="A93" s="426"/>
    </row>
    <row r="94" ht="15">
      <c r="A94" s="426"/>
    </row>
    <row r="95" ht="15">
      <c r="A95" s="426"/>
    </row>
    <row r="96" ht="15">
      <c r="A96" s="426"/>
    </row>
    <row r="97" ht="15">
      <c r="A97" s="426"/>
    </row>
    <row r="98" ht="15">
      <c r="A98" s="426"/>
    </row>
    <row r="99" ht="15">
      <c r="A99" s="426"/>
    </row>
    <row r="100" ht="15">
      <c r="A100" s="426"/>
    </row>
    <row r="101" ht="15">
      <c r="A101" s="426"/>
    </row>
    <row r="103" ht="15">
      <c r="A103" s="426"/>
    </row>
    <row r="104" ht="15">
      <c r="A104" s="426"/>
    </row>
    <row r="105" ht="15">
      <c r="A105" s="426"/>
    </row>
    <row r="107" ht="15">
      <c r="A107" s="427"/>
    </row>
    <row r="108" ht="15">
      <c r="A108" s="427"/>
    </row>
    <row r="109" ht="15">
      <c r="A109" s="427"/>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425" t="s">
        <v>1</v>
      </c>
      <c r="B3" s="425"/>
      <c r="C3" s="425"/>
      <c r="D3" s="425"/>
      <c r="E3" s="425"/>
      <c r="F3" s="425"/>
      <c r="G3" s="425"/>
      <c r="H3" s="425"/>
      <c r="I3" s="425"/>
      <c r="J3" s="425"/>
      <c r="K3" s="425"/>
      <c r="L3" s="425"/>
    </row>
    <row r="4" spans="1:12" ht="15">
      <c r="A4" s="425"/>
      <c r="B4" s="425"/>
      <c r="C4" s="425"/>
      <c r="D4" s="425"/>
      <c r="E4" s="425"/>
      <c r="F4" s="425"/>
      <c r="G4" s="425"/>
      <c r="H4" s="425"/>
      <c r="I4" s="425"/>
      <c r="J4" s="425"/>
      <c r="K4" s="425"/>
      <c r="L4" s="425"/>
    </row>
    <row r="5" spans="1:12" ht="15">
      <c r="A5" s="426" t="s">
        <v>723</v>
      </c>
      <c r="I5" s="425"/>
      <c r="J5" s="425"/>
      <c r="K5" s="425"/>
      <c r="L5" s="425"/>
    </row>
    <row r="6" spans="1:12" ht="15">
      <c r="A6" s="426" t="str">
        <f>CONCATENATE("estimated ",inputPrYr!C4-1," 'total expenditures' exceed your ",inputPrYr!C4-1,"")</f>
        <v>estimated 2013 'total expenditures' exceed your 2013</v>
      </c>
      <c r="I6" s="425"/>
      <c r="J6" s="425"/>
      <c r="K6" s="425"/>
      <c r="L6" s="425"/>
    </row>
    <row r="7" spans="1:12" ht="15">
      <c r="A7" s="429" t="s">
        <v>2</v>
      </c>
      <c r="I7" s="425"/>
      <c r="J7" s="425"/>
      <c r="K7" s="425"/>
      <c r="L7" s="425"/>
    </row>
    <row r="8" spans="1:12" ht="15">
      <c r="A8" s="426"/>
      <c r="I8" s="425"/>
      <c r="J8" s="425"/>
      <c r="K8" s="425"/>
      <c r="L8" s="425"/>
    </row>
    <row r="9" spans="1:12" ht="15">
      <c r="A9" s="426" t="s">
        <v>3</v>
      </c>
      <c r="I9" s="425"/>
      <c r="J9" s="425"/>
      <c r="K9" s="425"/>
      <c r="L9" s="425"/>
    </row>
    <row r="10" spans="1:12" ht="15">
      <c r="A10" s="426" t="s">
        <v>4</v>
      </c>
      <c r="I10" s="425"/>
      <c r="J10" s="425"/>
      <c r="K10" s="425"/>
      <c r="L10" s="425"/>
    </row>
    <row r="11" spans="1:12" ht="15">
      <c r="A11" s="426" t="s">
        <v>5</v>
      </c>
      <c r="I11" s="425"/>
      <c r="J11" s="425"/>
      <c r="K11" s="425"/>
      <c r="L11" s="425"/>
    </row>
    <row r="12" spans="1:12" ht="15">
      <c r="A12" s="426" t="s">
        <v>6</v>
      </c>
      <c r="I12" s="425"/>
      <c r="J12" s="425"/>
      <c r="K12" s="425"/>
      <c r="L12" s="425"/>
    </row>
    <row r="13" spans="1:12" ht="15">
      <c r="A13" s="426" t="s">
        <v>7</v>
      </c>
      <c r="I13" s="425"/>
      <c r="J13" s="425"/>
      <c r="K13" s="425"/>
      <c r="L13" s="425"/>
    </row>
    <row r="14" spans="1:12" ht="15">
      <c r="A14" s="425"/>
      <c r="B14" s="425"/>
      <c r="C14" s="425"/>
      <c r="D14" s="425"/>
      <c r="E14" s="425"/>
      <c r="F14" s="425"/>
      <c r="G14" s="425"/>
      <c r="H14" s="425"/>
      <c r="I14" s="425"/>
      <c r="J14" s="425"/>
      <c r="K14" s="425"/>
      <c r="L14" s="425"/>
    </row>
    <row r="15" ht="15">
      <c r="A15" s="427" t="s">
        <v>8</v>
      </c>
    </row>
    <row r="16" ht="15">
      <c r="A16" s="427" t="s">
        <v>9</v>
      </c>
    </row>
    <row r="17" ht="15">
      <c r="A17" s="427"/>
    </row>
    <row r="18" spans="1:7" ht="15">
      <c r="A18" s="426" t="s">
        <v>10</v>
      </c>
      <c r="B18" s="426"/>
      <c r="C18" s="426"/>
      <c r="D18" s="426"/>
      <c r="E18" s="426"/>
      <c r="F18" s="426"/>
      <c r="G18" s="426"/>
    </row>
    <row r="19" spans="1:7" ht="15">
      <c r="A19" s="426" t="str">
        <f>CONCATENATE("your ",inputPrYr!C4-1," numbers to see what steps might be necessary to")</f>
        <v>your 2013 numbers to see what steps might be necessary to</v>
      </c>
      <c r="B19" s="426"/>
      <c r="C19" s="426"/>
      <c r="D19" s="426"/>
      <c r="E19" s="426"/>
      <c r="F19" s="426"/>
      <c r="G19" s="426"/>
    </row>
    <row r="20" spans="1:7" ht="15">
      <c r="A20" s="426" t="s">
        <v>11</v>
      </c>
      <c r="B20" s="426"/>
      <c r="C20" s="426"/>
      <c r="D20" s="426"/>
      <c r="E20" s="426"/>
      <c r="F20" s="426"/>
      <c r="G20" s="426"/>
    </row>
    <row r="21" spans="1:7" ht="15">
      <c r="A21" s="426" t="s">
        <v>12</v>
      </c>
      <c r="B21" s="426"/>
      <c r="C21" s="426"/>
      <c r="D21" s="426"/>
      <c r="E21" s="426"/>
      <c r="F21" s="426"/>
      <c r="G21" s="426"/>
    </row>
    <row r="22" ht="15">
      <c r="A22" s="426"/>
    </row>
    <row r="23" ht="15">
      <c r="A23" s="427" t="s">
        <v>13</v>
      </c>
    </row>
    <row r="24" ht="15">
      <c r="A24" s="427"/>
    </row>
    <row r="25" ht="15">
      <c r="A25" s="426" t="s">
        <v>14</v>
      </c>
    </row>
    <row r="26" spans="1:6" ht="15">
      <c r="A26" s="426" t="s">
        <v>15</v>
      </c>
      <c r="B26" s="426"/>
      <c r="C26" s="426"/>
      <c r="D26" s="426"/>
      <c r="E26" s="426"/>
      <c r="F26" s="426"/>
    </row>
    <row r="27" spans="1:6" ht="15">
      <c r="A27" s="426" t="s">
        <v>16</v>
      </c>
      <c r="B27" s="426"/>
      <c r="C27" s="426"/>
      <c r="D27" s="426"/>
      <c r="E27" s="426"/>
      <c r="F27" s="426"/>
    </row>
    <row r="28" spans="1:6" ht="15">
      <c r="A28" s="426" t="s">
        <v>17</v>
      </c>
      <c r="B28" s="426"/>
      <c r="C28" s="426"/>
      <c r="D28" s="426"/>
      <c r="E28" s="426"/>
      <c r="F28" s="426"/>
    </row>
    <row r="29" spans="1:6" ht="15">
      <c r="A29" s="426"/>
      <c r="B29" s="426"/>
      <c r="C29" s="426"/>
      <c r="D29" s="426"/>
      <c r="E29" s="426"/>
      <c r="F29" s="426"/>
    </row>
    <row r="30" spans="1:7" ht="15">
      <c r="A30" s="427" t="s">
        <v>18</v>
      </c>
      <c r="B30" s="427"/>
      <c r="C30" s="427"/>
      <c r="D30" s="427"/>
      <c r="E30" s="427"/>
      <c r="F30" s="427"/>
      <c r="G30" s="427"/>
    </row>
    <row r="31" spans="1:7" ht="15">
      <c r="A31" s="427" t="s">
        <v>19</v>
      </c>
      <c r="B31" s="427"/>
      <c r="C31" s="427"/>
      <c r="D31" s="427"/>
      <c r="E31" s="427"/>
      <c r="F31" s="427"/>
      <c r="G31" s="427"/>
    </row>
    <row r="32" spans="1:6" ht="15">
      <c r="A32" s="426"/>
      <c r="B32" s="426"/>
      <c r="C32" s="426"/>
      <c r="D32" s="426"/>
      <c r="E32" s="426"/>
      <c r="F32" s="426"/>
    </row>
    <row r="33" spans="1:6" ht="15">
      <c r="A33" s="430" t="str">
        <f>CONCATENATE("Well, let's look to see if any of your ",inputPrYr!C4-1," expenditures can")</f>
        <v>Well, let's look to see if any of your 2013 expenditures can</v>
      </c>
      <c r="B33" s="426"/>
      <c r="C33" s="426"/>
      <c r="D33" s="426"/>
      <c r="E33" s="426"/>
      <c r="F33" s="426"/>
    </row>
    <row r="34" spans="1:6" ht="15">
      <c r="A34" s="430" t="s">
        <v>20</v>
      </c>
      <c r="B34" s="426"/>
      <c r="C34" s="426"/>
      <c r="D34" s="426"/>
      <c r="E34" s="426"/>
      <c r="F34" s="426"/>
    </row>
    <row r="35" spans="1:6" ht="15">
      <c r="A35" s="430" t="s">
        <v>737</v>
      </c>
      <c r="B35" s="426"/>
      <c r="C35" s="426"/>
      <c r="D35" s="426"/>
      <c r="E35" s="426"/>
      <c r="F35" s="426"/>
    </row>
    <row r="36" spans="1:6" ht="15">
      <c r="A36" s="430" t="s">
        <v>738</v>
      </c>
      <c r="B36" s="426"/>
      <c r="C36" s="426"/>
      <c r="D36" s="426"/>
      <c r="E36" s="426"/>
      <c r="F36" s="426"/>
    </row>
    <row r="37" spans="1:6" ht="15">
      <c r="A37" s="430"/>
      <c r="B37" s="426"/>
      <c r="C37" s="426"/>
      <c r="D37" s="426"/>
      <c r="E37" s="426"/>
      <c r="F37" s="426"/>
    </row>
    <row r="38" spans="1:6" ht="15">
      <c r="A38" s="430" t="str">
        <f>CONCATENATE("Additionally, do your ",inputPrYr!C4-1," receipts contain a reimbursement")</f>
        <v>Additionally, do your 2013 receipts contain a reimbursement</v>
      </c>
      <c r="B38" s="426"/>
      <c r="C38" s="426"/>
      <c r="D38" s="426"/>
      <c r="E38" s="426"/>
      <c r="F38" s="426"/>
    </row>
    <row r="39" spans="1:6" ht="15">
      <c r="A39" s="430" t="s">
        <v>739</v>
      </c>
      <c r="B39" s="426"/>
      <c r="C39" s="426"/>
      <c r="D39" s="426"/>
      <c r="E39" s="426"/>
      <c r="F39" s="426"/>
    </row>
    <row r="40" spans="1:6" ht="15">
      <c r="A40" s="430" t="s">
        <v>740</v>
      </c>
      <c r="B40" s="426"/>
      <c r="C40" s="426"/>
      <c r="D40" s="426"/>
      <c r="E40" s="426"/>
      <c r="F40" s="426"/>
    </row>
    <row r="41" spans="1:6" ht="15">
      <c r="A41" s="430"/>
      <c r="B41" s="426"/>
      <c r="C41" s="426"/>
      <c r="D41" s="426"/>
      <c r="E41" s="426"/>
      <c r="F41" s="426"/>
    </row>
    <row r="42" spans="1:6" ht="15">
      <c r="A42" s="430" t="s">
        <v>741</v>
      </c>
      <c r="B42" s="426"/>
      <c r="C42" s="426"/>
      <c r="D42" s="426"/>
      <c r="E42" s="426"/>
      <c r="F42" s="426"/>
    </row>
    <row r="43" spans="1:6" ht="15">
      <c r="A43" s="430" t="s">
        <v>742</v>
      </c>
      <c r="B43" s="426"/>
      <c r="C43" s="426"/>
      <c r="D43" s="426"/>
      <c r="E43" s="426"/>
      <c r="F43" s="426"/>
    </row>
    <row r="44" spans="1:6" ht="15">
      <c r="A44" s="430" t="s">
        <v>743</v>
      </c>
      <c r="B44" s="426"/>
      <c r="C44" s="426"/>
      <c r="D44" s="426"/>
      <c r="E44" s="426"/>
      <c r="F44" s="426"/>
    </row>
    <row r="45" spans="1:6" ht="15">
      <c r="A45" s="430" t="s">
        <v>21</v>
      </c>
      <c r="B45" s="426"/>
      <c r="C45" s="426"/>
      <c r="D45" s="426"/>
      <c r="E45" s="426"/>
      <c r="F45" s="426"/>
    </row>
    <row r="46" spans="1:6" ht="15">
      <c r="A46" s="430" t="s">
        <v>745</v>
      </c>
      <c r="B46" s="426"/>
      <c r="C46" s="426"/>
      <c r="D46" s="426"/>
      <c r="E46" s="426"/>
      <c r="F46" s="426"/>
    </row>
    <row r="47" spans="1:6" ht="15">
      <c r="A47" s="430" t="s">
        <v>22</v>
      </c>
      <c r="B47" s="426"/>
      <c r="C47" s="426"/>
      <c r="D47" s="426"/>
      <c r="E47" s="426"/>
      <c r="F47" s="426"/>
    </row>
    <row r="48" spans="1:6" ht="15">
      <c r="A48" s="430" t="s">
        <v>23</v>
      </c>
      <c r="B48" s="426"/>
      <c r="C48" s="426"/>
      <c r="D48" s="426"/>
      <c r="E48" s="426"/>
      <c r="F48" s="426"/>
    </row>
    <row r="49" spans="1:6" ht="15">
      <c r="A49" s="430" t="s">
        <v>748</v>
      </c>
      <c r="B49" s="426"/>
      <c r="C49" s="426"/>
      <c r="D49" s="426"/>
      <c r="E49" s="426"/>
      <c r="F49" s="426"/>
    </row>
    <row r="50" spans="1:6" ht="15">
      <c r="A50" s="430"/>
      <c r="B50" s="426"/>
      <c r="C50" s="426"/>
      <c r="D50" s="426"/>
      <c r="E50" s="426"/>
      <c r="F50" s="426"/>
    </row>
    <row r="51" spans="1:6" ht="15">
      <c r="A51" s="430" t="s">
        <v>749</v>
      </c>
      <c r="B51" s="426"/>
      <c r="C51" s="426"/>
      <c r="D51" s="426"/>
      <c r="E51" s="426"/>
      <c r="F51" s="426"/>
    </row>
    <row r="52" spans="1:6" ht="15">
      <c r="A52" s="430" t="s">
        <v>750</v>
      </c>
      <c r="B52" s="426"/>
      <c r="C52" s="426"/>
      <c r="D52" s="426"/>
      <c r="E52" s="426"/>
      <c r="F52" s="426"/>
    </row>
    <row r="53" spans="1:6" ht="15">
      <c r="A53" s="430" t="s">
        <v>751</v>
      </c>
      <c r="B53" s="426"/>
      <c r="C53" s="426"/>
      <c r="D53" s="426"/>
      <c r="E53" s="426"/>
      <c r="F53" s="426"/>
    </row>
    <row r="54" spans="1:6" ht="15">
      <c r="A54" s="430"/>
      <c r="B54" s="426"/>
      <c r="C54" s="426"/>
      <c r="D54" s="426"/>
      <c r="E54" s="426"/>
      <c r="F54" s="426"/>
    </row>
    <row r="55" spans="1:6" ht="15">
      <c r="A55" s="430" t="s">
        <v>24</v>
      </c>
      <c r="B55" s="426"/>
      <c r="C55" s="426"/>
      <c r="D55" s="426"/>
      <c r="E55" s="426"/>
      <c r="F55" s="426"/>
    </row>
    <row r="56" spans="1:6" ht="15">
      <c r="A56" s="430" t="s">
        <v>25</v>
      </c>
      <c r="B56" s="426"/>
      <c r="C56" s="426"/>
      <c r="D56" s="426"/>
      <c r="E56" s="426"/>
      <c r="F56" s="426"/>
    </row>
    <row r="57" spans="1:6" ht="15">
      <c r="A57" s="430" t="s">
        <v>26</v>
      </c>
      <c r="B57" s="426"/>
      <c r="C57" s="426"/>
      <c r="D57" s="426"/>
      <c r="E57" s="426"/>
      <c r="F57" s="426"/>
    </row>
    <row r="58" spans="1:6" ht="15">
      <c r="A58" s="430" t="s">
        <v>27</v>
      </c>
      <c r="B58" s="426"/>
      <c r="C58" s="426"/>
      <c r="D58" s="426"/>
      <c r="E58" s="426"/>
      <c r="F58" s="426"/>
    </row>
    <row r="59" spans="1:6" ht="15">
      <c r="A59" s="430" t="s">
        <v>28</v>
      </c>
      <c r="B59" s="426"/>
      <c r="C59" s="426"/>
      <c r="D59" s="426"/>
      <c r="E59" s="426"/>
      <c r="F59" s="426"/>
    </row>
    <row r="60" spans="1:6" ht="15">
      <c r="A60" s="430"/>
      <c r="B60" s="426"/>
      <c r="C60" s="426"/>
      <c r="D60" s="426"/>
      <c r="E60" s="426"/>
      <c r="F60" s="426"/>
    </row>
    <row r="61" spans="1:6" ht="15">
      <c r="A61" s="431" t="s">
        <v>29</v>
      </c>
      <c r="B61" s="426"/>
      <c r="C61" s="426"/>
      <c r="D61" s="426"/>
      <c r="E61" s="426"/>
      <c r="F61" s="426"/>
    </row>
    <row r="62" spans="1:6" ht="15">
      <c r="A62" s="431" t="s">
        <v>30</v>
      </c>
      <c r="B62" s="426"/>
      <c r="C62" s="426"/>
      <c r="D62" s="426"/>
      <c r="E62" s="426"/>
      <c r="F62" s="426"/>
    </row>
    <row r="63" spans="1:6" ht="15">
      <c r="A63" s="431" t="s">
        <v>31</v>
      </c>
      <c r="B63" s="426"/>
      <c r="C63" s="426"/>
      <c r="D63" s="426"/>
      <c r="E63" s="426"/>
      <c r="F63" s="426"/>
    </row>
    <row r="64" ht="15">
      <c r="A64" s="431" t="s">
        <v>32</v>
      </c>
    </row>
    <row r="65" ht="15">
      <c r="A65" s="431" t="s">
        <v>33</v>
      </c>
    </row>
    <row r="66" ht="15">
      <c r="A66" s="431" t="s">
        <v>34</v>
      </c>
    </row>
    <row r="68" ht="15">
      <c r="A68" s="426" t="s">
        <v>35</v>
      </c>
    </row>
    <row r="69" ht="15">
      <c r="A69" s="426" t="s">
        <v>36</v>
      </c>
    </row>
    <row r="70" ht="15">
      <c r="A70" s="426" t="s">
        <v>37</v>
      </c>
    </row>
    <row r="71" ht="15">
      <c r="A71" s="426" t="s">
        <v>38</v>
      </c>
    </row>
    <row r="72" ht="15">
      <c r="A72" s="426" t="s">
        <v>39</v>
      </c>
    </row>
    <row r="73" ht="15">
      <c r="A73" s="426" t="s">
        <v>40</v>
      </c>
    </row>
    <row r="75" ht="15">
      <c r="A75" s="426" t="s">
        <v>622</v>
      </c>
    </row>
  </sheetData>
  <sheetProtection sheet="1"/>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425" t="s">
        <v>41</v>
      </c>
      <c r="B3" s="425"/>
      <c r="C3" s="425"/>
      <c r="D3" s="425"/>
      <c r="E3" s="425"/>
      <c r="F3" s="425"/>
      <c r="G3" s="425"/>
    </row>
    <row r="4" spans="1:7" ht="15">
      <c r="A4" s="425"/>
      <c r="B4" s="425"/>
      <c r="C4" s="425"/>
      <c r="D4" s="425"/>
      <c r="E4" s="425"/>
      <c r="F4" s="425"/>
      <c r="G4" s="425"/>
    </row>
    <row r="5" ht="15">
      <c r="A5" s="426" t="s">
        <v>624</v>
      </c>
    </row>
    <row r="6" ht="15">
      <c r="A6" s="426" t="str">
        <f>CONCATENATE(inputPrYr!C4-1," estimated expenditures show that at the end of this year")</f>
        <v>2013 estimated expenditures show that at the end of this year</v>
      </c>
    </row>
    <row r="7" ht="15">
      <c r="A7" s="426" t="s">
        <v>42</v>
      </c>
    </row>
    <row r="8" ht="15">
      <c r="A8" s="426" t="s">
        <v>43</v>
      </c>
    </row>
    <row r="10" ht="15">
      <c r="A10" t="s">
        <v>626</v>
      </c>
    </row>
    <row r="11" ht="15">
      <c r="A11" t="s">
        <v>627</v>
      </c>
    </row>
    <row r="12" ht="15">
      <c r="A12" t="s">
        <v>628</v>
      </c>
    </row>
    <row r="13" spans="1:7" ht="15">
      <c r="A13" s="425"/>
      <c r="B13" s="425"/>
      <c r="C13" s="425"/>
      <c r="D13" s="425"/>
      <c r="E13" s="425"/>
      <c r="F13" s="425"/>
      <c r="G13" s="425"/>
    </row>
    <row r="14" ht="15">
      <c r="A14" s="427" t="s">
        <v>44</v>
      </c>
    </row>
    <row r="15" ht="15">
      <c r="A15" s="426"/>
    </row>
    <row r="16" ht="15">
      <c r="A16" s="426" t="s">
        <v>45</v>
      </c>
    </row>
    <row r="17" ht="15">
      <c r="A17" s="426" t="s">
        <v>46</v>
      </c>
    </row>
    <row r="18" ht="15">
      <c r="A18" s="426" t="s">
        <v>47</v>
      </c>
    </row>
    <row r="19" ht="15">
      <c r="A19" s="426"/>
    </row>
    <row r="20" ht="15">
      <c r="A20" s="426" t="s">
        <v>48</v>
      </c>
    </row>
    <row r="21" ht="15">
      <c r="A21" s="426" t="s">
        <v>49</v>
      </c>
    </row>
    <row r="22" ht="15">
      <c r="A22" s="426" t="s">
        <v>50</v>
      </c>
    </row>
    <row r="23" ht="15">
      <c r="A23" s="426" t="s">
        <v>51</v>
      </c>
    </row>
    <row r="24" ht="15">
      <c r="A24" s="426"/>
    </row>
    <row r="25" ht="15">
      <c r="A25" s="427" t="s">
        <v>13</v>
      </c>
    </row>
    <row r="26" ht="15">
      <c r="A26" s="427"/>
    </row>
    <row r="27" ht="15">
      <c r="A27" s="426" t="s">
        <v>14</v>
      </c>
    </row>
    <row r="28" spans="1:6" ht="15">
      <c r="A28" s="426" t="s">
        <v>15</v>
      </c>
      <c r="B28" s="426"/>
      <c r="C28" s="426"/>
      <c r="D28" s="426"/>
      <c r="E28" s="426"/>
      <c r="F28" s="426"/>
    </row>
    <row r="29" spans="1:6" ht="15">
      <c r="A29" s="426" t="s">
        <v>16</v>
      </c>
      <c r="B29" s="426"/>
      <c r="C29" s="426"/>
      <c r="D29" s="426"/>
      <c r="E29" s="426"/>
      <c r="F29" s="426"/>
    </row>
    <row r="30" spans="1:6" ht="15">
      <c r="A30" s="426" t="s">
        <v>17</v>
      </c>
      <c r="B30" s="426"/>
      <c r="C30" s="426"/>
      <c r="D30" s="426"/>
      <c r="E30" s="426"/>
      <c r="F30" s="426"/>
    </row>
    <row r="31" ht="15">
      <c r="A31" s="426"/>
    </row>
    <row r="32" spans="1:7" ht="15">
      <c r="A32" s="427" t="s">
        <v>18</v>
      </c>
      <c r="B32" s="427"/>
      <c r="C32" s="427"/>
      <c r="D32" s="427"/>
      <c r="E32" s="427"/>
      <c r="F32" s="427"/>
      <c r="G32" s="427"/>
    </row>
    <row r="33" spans="1:7" ht="15">
      <c r="A33" s="427" t="s">
        <v>19</v>
      </c>
      <c r="B33" s="427"/>
      <c r="C33" s="427"/>
      <c r="D33" s="427"/>
      <c r="E33" s="427"/>
      <c r="F33" s="427"/>
      <c r="G33" s="427"/>
    </row>
    <row r="34" spans="1:7" ht="15">
      <c r="A34" s="427"/>
      <c r="B34" s="427"/>
      <c r="C34" s="427"/>
      <c r="D34" s="427"/>
      <c r="E34" s="427"/>
      <c r="F34" s="427"/>
      <c r="G34" s="427"/>
    </row>
    <row r="35" spans="1:7" ht="15">
      <c r="A35" s="426" t="s">
        <v>52</v>
      </c>
      <c r="B35" s="426"/>
      <c r="C35" s="426"/>
      <c r="D35" s="426"/>
      <c r="E35" s="426"/>
      <c r="F35" s="426"/>
      <c r="G35" s="426"/>
    </row>
    <row r="36" spans="1:7" ht="15">
      <c r="A36" s="426" t="s">
        <v>53</v>
      </c>
      <c r="B36" s="426"/>
      <c r="C36" s="426"/>
      <c r="D36" s="426"/>
      <c r="E36" s="426"/>
      <c r="F36" s="426"/>
      <c r="G36" s="426"/>
    </row>
    <row r="37" spans="1:7" ht="15">
      <c r="A37" s="426" t="s">
        <v>54</v>
      </c>
      <c r="B37" s="426"/>
      <c r="C37" s="426"/>
      <c r="D37" s="426"/>
      <c r="E37" s="426"/>
      <c r="F37" s="426"/>
      <c r="G37" s="426"/>
    </row>
    <row r="38" spans="1:7" ht="15">
      <c r="A38" s="426" t="s">
        <v>55</v>
      </c>
      <c r="B38" s="426"/>
      <c r="C38" s="426"/>
      <c r="D38" s="426"/>
      <c r="E38" s="426"/>
      <c r="F38" s="426"/>
      <c r="G38" s="426"/>
    </row>
    <row r="39" spans="1:7" ht="15">
      <c r="A39" s="426" t="s">
        <v>56</v>
      </c>
      <c r="B39" s="426"/>
      <c r="C39" s="426"/>
      <c r="D39" s="426"/>
      <c r="E39" s="426"/>
      <c r="F39" s="426"/>
      <c r="G39" s="426"/>
    </row>
    <row r="40" spans="1:7" ht="15">
      <c r="A40" s="427"/>
      <c r="B40" s="427"/>
      <c r="C40" s="427"/>
      <c r="D40" s="427"/>
      <c r="E40" s="427"/>
      <c r="F40" s="427"/>
      <c r="G40" s="427"/>
    </row>
    <row r="41" spans="1:6" ht="15">
      <c r="A41" s="430" t="str">
        <f>CONCATENATE("So, let's look to see if any of your ",inputPrYr!C4-1," expenditures can")</f>
        <v>So, let's look to see if any of your 2013 expenditures can</v>
      </c>
      <c r="B41" s="426"/>
      <c r="C41" s="426"/>
      <c r="D41" s="426"/>
      <c r="E41" s="426"/>
      <c r="F41" s="426"/>
    </row>
    <row r="42" spans="1:6" ht="15">
      <c r="A42" s="430" t="s">
        <v>20</v>
      </c>
      <c r="B42" s="426"/>
      <c r="C42" s="426"/>
      <c r="D42" s="426"/>
      <c r="E42" s="426"/>
      <c r="F42" s="426"/>
    </row>
    <row r="43" spans="1:6" ht="15">
      <c r="A43" s="430" t="s">
        <v>737</v>
      </c>
      <c r="B43" s="426"/>
      <c r="C43" s="426"/>
      <c r="D43" s="426"/>
      <c r="E43" s="426"/>
      <c r="F43" s="426"/>
    </row>
    <row r="44" spans="1:6" ht="15">
      <c r="A44" s="430" t="s">
        <v>738</v>
      </c>
      <c r="B44" s="426"/>
      <c r="C44" s="426"/>
      <c r="D44" s="426"/>
      <c r="E44" s="426"/>
      <c r="F44" s="426"/>
    </row>
    <row r="45" ht="15">
      <c r="A45" s="426"/>
    </row>
    <row r="46" spans="1:6" ht="15">
      <c r="A46" s="430" t="str">
        <f>CONCATENATE("Additionally, do your ",inputPrYr!C4-1," receipts contain a reimbursement")</f>
        <v>Additionally, do your 2013 receipts contain a reimbursement</v>
      </c>
      <c r="B46" s="426"/>
      <c r="C46" s="426"/>
      <c r="D46" s="426"/>
      <c r="E46" s="426"/>
      <c r="F46" s="426"/>
    </row>
    <row r="47" spans="1:6" ht="15">
      <c r="A47" s="430" t="s">
        <v>739</v>
      </c>
      <c r="B47" s="426"/>
      <c r="C47" s="426"/>
      <c r="D47" s="426"/>
      <c r="E47" s="426"/>
      <c r="F47" s="426"/>
    </row>
    <row r="48" spans="1:6" ht="15">
      <c r="A48" s="430" t="s">
        <v>740</v>
      </c>
      <c r="B48" s="426"/>
      <c r="C48" s="426"/>
      <c r="D48" s="426"/>
      <c r="E48" s="426"/>
      <c r="F48" s="426"/>
    </row>
    <row r="49" spans="1:7" ht="15">
      <c r="A49" s="426"/>
      <c r="B49" s="426"/>
      <c r="C49" s="426"/>
      <c r="D49" s="426"/>
      <c r="E49" s="426"/>
      <c r="F49" s="426"/>
      <c r="G49" s="426"/>
    </row>
    <row r="50" spans="1:7" ht="15">
      <c r="A50" s="426" t="s">
        <v>651</v>
      </c>
      <c r="B50" s="426"/>
      <c r="C50" s="426"/>
      <c r="D50" s="426"/>
      <c r="E50" s="426"/>
      <c r="F50" s="426"/>
      <c r="G50" s="426"/>
    </row>
    <row r="51" spans="1:7" ht="15">
      <c r="A51" s="426" t="s">
        <v>652</v>
      </c>
      <c r="B51" s="426"/>
      <c r="C51" s="426"/>
      <c r="D51" s="426"/>
      <c r="E51" s="426"/>
      <c r="F51" s="426"/>
      <c r="G51" s="426"/>
    </row>
    <row r="52" spans="1:7" ht="15">
      <c r="A52" s="426" t="s">
        <v>653</v>
      </c>
      <c r="B52" s="426"/>
      <c r="C52" s="426"/>
      <c r="D52" s="426"/>
      <c r="E52" s="426"/>
      <c r="F52" s="426"/>
      <c r="G52" s="426"/>
    </row>
    <row r="53" spans="1:7" ht="15">
      <c r="A53" s="426" t="s">
        <v>654</v>
      </c>
      <c r="B53" s="426"/>
      <c r="C53" s="426"/>
      <c r="D53" s="426"/>
      <c r="E53" s="426"/>
      <c r="F53" s="426"/>
      <c r="G53" s="426"/>
    </row>
    <row r="54" spans="1:7" ht="15">
      <c r="A54" s="426" t="s">
        <v>655</v>
      </c>
      <c r="B54" s="426"/>
      <c r="C54" s="426"/>
      <c r="D54" s="426"/>
      <c r="E54" s="426"/>
      <c r="F54" s="426"/>
      <c r="G54" s="426"/>
    </row>
    <row r="55" spans="1:7" ht="15">
      <c r="A55" s="426"/>
      <c r="B55" s="426"/>
      <c r="C55" s="426"/>
      <c r="D55" s="426"/>
      <c r="E55" s="426"/>
      <c r="F55" s="426"/>
      <c r="G55" s="426"/>
    </row>
    <row r="56" spans="1:6" ht="15">
      <c r="A56" s="430" t="s">
        <v>749</v>
      </c>
      <c r="B56" s="426"/>
      <c r="C56" s="426"/>
      <c r="D56" s="426"/>
      <c r="E56" s="426"/>
      <c r="F56" s="426"/>
    </row>
    <row r="57" spans="1:6" ht="15">
      <c r="A57" s="430" t="s">
        <v>750</v>
      </c>
      <c r="B57" s="426"/>
      <c r="C57" s="426"/>
      <c r="D57" s="426"/>
      <c r="E57" s="426"/>
      <c r="F57" s="426"/>
    </row>
    <row r="58" spans="1:6" ht="15">
      <c r="A58" s="430" t="s">
        <v>751</v>
      </c>
      <c r="B58" s="426"/>
      <c r="C58" s="426"/>
      <c r="D58" s="426"/>
      <c r="E58" s="426"/>
      <c r="F58" s="426"/>
    </row>
    <row r="59" spans="1:6" ht="15">
      <c r="A59" s="430"/>
      <c r="B59" s="426"/>
      <c r="C59" s="426"/>
      <c r="D59" s="426"/>
      <c r="E59" s="426"/>
      <c r="F59" s="426"/>
    </row>
    <row r="60" spans="1:7" ht="15">
      <c r="A60" s="426" t="s">
        <v>57</v>
      </c>
      <c r="B60" s="426"/>
      <c r="C60" s="426"/>
      <c r="D60" s="426"/>
      <c r="E60" s="426"/>
      <c r="F60" s="426"/>
      <c r="G60" s="426"/>
    </row>
    <row r="61" spans="1:7" ht="15">
      <c r="A61" s="426" t="s">
        <v>58</v>
      </c>
      <c r="B61" s="426"/>
      <c r="C61" s="426"/>
      <c r="D61" s="426"/>
      <c r="E61" s="426"/>
      <c r="F61" s="426"/>
      <c r="G61" s="426"/>
    </row>
    <row r="62" spans="1:7" ht="15">
      <c r="A62" s="426" t="s">
        <v>59</v>
      </c>
      <c r="B62" s="426"/>
      <c r="C62" s="426"/>
      <c r="D62" s="426"/>
      <c r="E62" s="426"/>
      <c r="F62" s="426"/>
      <c r="G62" s="426"/>
    </row>
    <row r="63" spans="1:7" ht="15">
      <c r="A63" s="426" t="s">
        <v>60</v>
      </c>
      <c r="B63" s="426"/>
      <c r="C63" s="426"/>
      <c r="D63" s="426"/>
      <c r="E63" s="426"/>
      <c r="F63" s="426"/>
      <c r="G63" s="426"/>
    </row>
    <row r="64" spans="1:7" ht="15">
      <c r="A64" s="426" t="s">
        <v>61</v>
      </c>
      <c r="B64" s="426"/>
      <c r="C64" s="426"/>
      <c r="D64" s="426"/>
      <c r="E64" s="426"/>
      <c r="F64" s="426"/>
      <c r="G64" s="426"/>
    </row>
    <row r="66" spans="1:6" ht="15">
      <c r="A66" s="430" t="s">
        <v>24</v>
      </c>
      <c r="B66" s="426"/>
      <c r="C66" s="426"/>
      <c r="D66" s="426"/>
      <c r="E66" s="426"/>
      <c r="F66" s="426"/>
    </row>
    <row r="67" spans="1:6" ht="15">
      <c r="A67" s="430" t="s">
        <v>25</v>
      </c>
      <c r="B67" s="426"/>
      <c r="C67" s="426"/>
      <c r="D67" s="426"/>
      <c r="E67" s="426"/>
      <c r="F67" s="426"/>
    </row>
    <row r="68" spans="1:6" ht="15">
      <c r="A68" s="430" t="s">
        <v>26</v>
      </c>
      <c r="B68" s="426"/>
      <c r="C68" s="426"/>
      <c r="D68" s="426"/>
      <c r="E68" s="426"/>
      <c r="F68" s="426"/>
    </row>
    <row r="69" spans="1:6" ht="15">
      <c r="A69" s="430" t="s">
        <v>27</v>
      </c>
      <c r="B69" s="426"/>
      <c r="C69" s="426"/>
      <c r="D69" s="426"/>
      <c r="E69" s="426"/>
      <c r="F69" s="426"/>
    </row>
    <row r="70" spans="1:6" ht="15">
      <c r="A70" s="430" t="s">
        <v>28</v>
      </c>
      <c r="B70" s="426"/>
      <c r="C70" s="426"/>
      <c r="D70" s="426"/>
      <c r="E70" s="426"/>
      <c r="F70" s="426"/>
    </row>
    <row r="71" ht="15">
      <c r="A71" s="426"/>
    </row>
    <row r="72" ht="15">
      <c r="A72" s="426" t="s">
        <v>622</v>
      </c>
    </row>
    <row r="73" ht="15">
      <c r="A73" s="426"/>
    </row>
    <row r="74" ht="15">
      <c r="A74" s="426"/>
    </row>
    <row r="75" ht="15">
      <c r="A75" s="426"/>
    </row>
    <row r="78" ht="15">
      <c r="A78" s="427"/>
    </row>
    <row r="80" ht="15">
      <c r="A80" s="426"/>
    </row>
    <row r="81" ht="15">
      <c r="A81" s="426"/>
    </row>
    <row r="82" ht="15">
      <c r="A82" s="426"/>
    </row>
    <row r="83" ht="15">
      <c r="A83" s="426"/>
    </row>
    <row r="84" ht="15">
      <c r="A84" s="426"/>
    </row>
    <row r="85" ht="15">
      <c r="A85" s="426"/>
    </row>
    <row r="86" ht="15">
      <c r="A86" s="426"/>
    </row>
    <row r="87" ht="15">
      <c r="A87" s="426"/>
    </row>
    <row r="88" ht="15">
      <c r="A88" s="426"/>
    </row>
    <row r="89" ht="15">
      <c r="A89" s="426"/>
    </row>
    <row r="90" ht="15">
      <c r="A90" s="426"/>
    </row>
    <row r="92" ht="15">
      <c r="A92" s="426"/>
    </row>
    <row r="93" ht="15">
      <c r="A93" s="426"/>
    </row>
    <row r="94" ht="15">
      <c r="A94" s="426"/>
    </row>
    <row r="95" ht="15">
      <c r="A95" s="426"/>
    </row>
    <row r="96" ht="15">
      <c r="A96" s="426"/>
    </row>
    <row r="97" ht="15">
      <c r="A97" s="426"/>
    </row>
    <row r="98" ht="15">
      <c r="A98" s="426"/>
    </row>
    <row r="99" ht="15">
      <c r="A99" s="426"/>
    </row>
    <row r="100" ht="15">
      <c r="A100" s="426"/>
    </row>
    <row r="101" ht="15">
      <c r="A101" s="426"/>
    </row>
    <row r="102" ht="15">
      <c r="A102" s="426"/>
    </row>
    <row r="103" ht="15">
      <c r="A103" s="426"/>
    </row>
    <row r="104" ht="15">
      <c r="A104" s="426"/>
    </row>
    <row r="105" ht="15">
      <c r="A105" s="426"/>
    </row>
    <row r="106" ht="15">
      <c r="A106" s="426"/>
    </row>
  </sheetData>
  <sheetProtection sheet="1"/>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425" t="s">
        <v>62</v>
      </c>
      <c r="B3" s="425"/>
      <c r="C3" s="425"/>
      <c r="D3" s="425"/>
      <c r="E3" s="425"/>
      <c r="F3" s="425"/>
      <c r="G3" s="425"/>
    </row>
    <row r="4" spans="1:7" ht="15">
      <c r="A4" s="425" t="s">
        <v>63</v>
      </c>
      <c r="B4" s="425"/>
      <c r="C4" s="425"/>
      <c r="D4" s="425"/>
      <c r="E4" s="425"/>
      <c r="F4" s="425"/>
      <c r="G4" s="425"/>
    </row>
    <row r="5" spans="1:7" ht="15">
      <c r="A5" s="425"/>
      <c r="B5" s="425"/>
      <c r="C5" s="425"/>
      <c r="D5" s="425"/>
      <c r="E5" s="425"/>
      <c r="F5" s="425"/>
      <c r="G5" s="425"/>
    </row>
    <row r="6" spans="1:7" ht="15">
      <c r="A6" s="425"/>
      <c r="B6" s="425"/>
      <c r="C6" s="425"/>
      <c r="D6" s="425"/>
      <c r="E6" s="425"/>
      <c r="F6" s="425"/>
      <c r="G6" s="425"/>
    </row>
    <row r="7" ht="15">
      <c r="A7" s="426" t="s">
        <v>723</v>
      </c>
    </row>
    <row r="8" ht="15">
      <c r="A8" s="426" t="str">
        <f>CONCATENATE("estimated ",inputPrYr!C4," 'total expenditures' exceed your ",inputPrYr!C4,"")</f>
        <v>estimated 2014 'total expenditures' exceed your 2014</v>
      </c>
    </row>
    <row r="9" ht="15">
      <c r="A9" s="429" t="s">
        <v>64</v>
      </c>
    </row>
    <row r="10" ht="15">
      <c r="A10" s="426"/>
    </row>
    <row r="11" ht="15">
      <c r="A11" s="426" t="s">
        <v>65</v>
      </c>
    </row>
    <row r="12" ht="15">
      <c r="A12" s="426" t="s">
        <v>66</v>
      </c>
    </row>
    <row r="13" ht="15">
      <c r="A13" s="426" t="s">
        <v>67</v>
      </c>
    </row>
    <row r="14" ht="15">
      <c r="A14" s="426"/>
    </row>
    <row r="15" ht="15">
      <c r="A15" s="427" t="s">
        <v>68</v>
      </c>
    </row>
    <row r="16" spans="1:7" ht="15">
      <c r="A16" s="425"/>
      <c r="B16" s="425"/>
      <c r="C16" s="425"/>
      <c r="D16" s="425"/>
      <c r="E16" s="425"/>
      <c r="F16" s="425"/>
      <c r="G16" s="425"/>
    </row>
    <row r="17" spans="1:8" ht="15">
      <c r="A17" s="432" t="s">
        <v>69</v>
      </c>
      <c r="B17" s="410"/>
      <c r="C17" s="410"/>
      <c r="D17" s="410"/>
      <c r="E17" s="410"/>
      <c r="F17" s="410"/>
      <c r="G17" s="410"/>
      <c r="H17" s="410"/>
    </row>
    <row r="18" spans="1:7" ht="15">
      <c r="A18" s="426" t="s">
        <v>70</v>
      </c>
      <c r="B18" s="433"/>
      <c r="C18" s="433"/>
      <c r="D18" s="433"/>
      <c r="E18" s="433"/>
      <c r="F18" s="433"/>
      <c r="G18" s="433"/>
    </row>
    <row r="19" ht="15">
      <c r="A19" s="426" t="s">
        <v>71</v>
      </c>
    </row>
    <row r="20" ht="15">
      <c r="A20" s="426" t="s">
        <v>72</v>
      </c>
    </row>
    <row r="22" ht="15">
      <c r="A22" s="427" t="s">
        <v>73</v>
      </c>
    </row>
    <row r="24" ht="15">
      <c r="A24" s="426" t="s">
        <v>74</v>
      </c>
    </row>
    <row r="25" ht="15">
      <c r="A25" s="426" t="s">
        <v>75</v>
      </c>
    </row>
    <row r="26" ht="15">
      <c r="A26" s="426" t="s">
        <v>76</v>
      </c>
    </row>
    <row r="28" ht="15">
      <c r="A28" s="427" t="s">
        <v>77</v>
      </c>
    </row>
    <row r="30" ht="15">
      <c r="A30" t="s">
        <v>78</v>
      </c>
    </row>
    <row r="31" ht="15">
      <c r="A31" t="s">
        <v>696</v>
      </c>
    </row>
    <row r="32" ht="15">
      <c r="A32" t="s">
        <v>697</v>
      </c>
    </row>
    <row r="33" ht="15">
      <c r="A33" s="426" t="s">
        <v>698</v>
      </c>
    </row>
    <row r="35" ht="15">
      <c r="A35" t="s">
        <v>699</v>
      </c>
    </row>
    <row r="36" ht="15">
      <c r="A36" t="s">
        <v>700</v>
      </c>
    </row>
    <row r="37" ht="15">
      <c r="A37" t="s">
        <v>701</v>
      </c>
    </row>
    <row r="38" ht="15">
      <c r="A38" t="s">
        <v>702</v>
      </c>
    </row>
    <row r="40" ht="15">
      <c r="A40" t="s">
        <v>703</v>
      </c>
    </row>
    <row r="41" ht="15">
      <c r="A41" t="s">
        <v>704</v>
      </c>
    </row>
    <row r="42" ht="15">
      <c r="A42" t="s">
        <v>705</v>
      </c>
    </row>
    <row r="43" ht="15">
      <c r="A43" t="s">
        <v>706</v>
      </c>
    </row>
    <row r="44" ht="15">
      <c r="A44" t="s">
        <v>707</v>
      </c>
    </row>
    <row r="45" ht="15">
      <c r="A45" t="s">
        <v>708</v>
      </c>
    </row>
    <row r="47" ht="15">
      <c r="A47" t="s">
        <v>709</v>
      </c>
    </row>
    <row r="48" ht="15">
      <c r="A48" t="s">
        <v>710</v>
      </c>
    </row>
    <row r="49" ht="15">
      <c r="A49" s="426" t="s">
        <v>711</v>
      </c>
    </row>
    <row r="50" ht="15">
      <c r="A50" s="426" t="s">
        <v>712</v>
      </c>
    </row>
    <row r="52" ht="15">
      <c r="A52" t="s">
        <v>622</v>
      </c>
    </row>
  </sheetData>
  <sheetProtection sheet="1"/>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X354"/>
  <sheetViews>
    <sheetView zoomScalePageLayoutView="0" workbookViewId="0" topLeftCell="A1">
      <selection activeCell="K1" sqref="K1"/>
    </sheetView>
  </sheetViews>
  <sheetFormatPr defaultColWidth="8.796875" defaultRowHeight="15"/>
  <cols>
    <col min="1" max="1" width="7.59765625" style="529" customWidth="1"/>
    <col min="2" max="2" width="11.19921875" style="555" customWidth="1"/>
    <col min="3" max="3" width="7.3984375" style="555" customWidth="1"/>
    <col min="4" max="4" width="8.8984375" style="555" customWidth="1"/>
    <col min="5" max="5" width="1.59765625" style="555" customWidth="1"/>
    <col min="6" max="6" width="14.296875" style="555" customWidth="1"/>
    <col min="7" max="7" width="2.59765625" style="555" customWidth="1"/>
    <col min="8" max="8" width="9.796875" style="555" customWidth="1"/>
    <col min="9" max="9" width="2" style="555" customWidth="1"/>
    <col min="10" max="10" width="8.59765625" style="555" customWidth="1"/>
    <col min="11" max="11" width="11.69921875" style="555" customWidth="1"/>
    <col min="12" max="12" width="7.59765625" style="529" customWidth="1"/>
    <col min="13" max="14" width="8.8984375" style="529" customWidth="1"/>
    <col min="15" max="15" width="9.8984375" style="529" bestFit="1" customWidth="1"/>
    <col min="16" max="16384" width="8.8984375" style="529" customWidth="1"/>
  </cols>
  <sheetData>
    <row r="1" spans="1:12" ht="14.25">
      <c r="A1" s="554"/>
      <c r="B1" s="554"/>
      <c r="C1" s="554"/>
      <c r="D1" s="554"/>
      <c r="E1" s="554"/>
      <c r="F1" s="554"/>
      <c r="G1" s="554"/>
      <c r="H1" s="554"/>
      <c r="I1" s="554"/>
      <c r="J1" s="554"/>
      <c r="K1" s="554"/>
      <c r="L1" s="554"/>
    </row>
    <row r="2" spans="1:12" ht="14.25">
      <c r="A2" s="554"/>
      <c r="B2" s="554"/>
      <c r="C2" s="554"/>
      <c r="D2" s="554"/>
      <c r="E2" s="554"/>
      <c r="F2" s="554"/>
      <c r="G2" s="554"/>
      <c r="H2" s="554"/>
      <c r="I2" s="554"/>
      <c r="J2" s="554"/>
      <c r="K2" s="554"/>
      <c r="L2" s="554"/>
    </row>
    <row r="3" spans="1:12" ht="14.25">
      <c r="A3" s="554"/>
      <c r="B3" s="554"/>
      <c r="C3" s="554"/>
      <c r="D3" s="554"/>
      <c r="E3" s="554"/>
      <c r="F3" s="554"/>
      <c r="G3" s="554"/>
      <c r="H3" s="554"/>
      <c r="I3" s="554"/>
      <c r="J3" s="554"/>
      <c r="K3" s="554"/>
      <c r="L3" s="554"/>
    </row>
    <row r="4" spans="1:12" ht="14.25">
      <c r="A4" s="554"/>
      <c r="L4" s="554"/>
    </row>
    <row r="5" spans="1:12" ht="15" customHeight="1">
      <c r="A5" s="554"/>
      <c r="L5" s="554"/>
    </row>
    <row r="6" spans="1:12" ht="33" customHeight="1">
      <c r="A6" s="554"/>
      <c r="B6" s="836" t="s">
        <v>862</v>
      </c>
      <c r="C6" s="837"/>
      <c r="D6" s="837"/>
      <c r="E6" s="837"/>
      <c r="F6" s="837"/>
      <c r="G6" s="837"/>
      <c r="H6" s="837"/>
      <c r="I6" s="837"/>
      <c r="J6" s="837"/>
      <c r="K6" s="837"/>
      <c r="L6" s="556"/>
    </row>
    <row r="7" spans="1:12" ht="40.5" customHeight="1">
      <c r="A7" s="554"/>
      <c r="B7" s="838" t="s">
        <v>863</v>
      </c>
      <c r="C7" s="839"/>
      <c r="D7" s="839"/>
      <c r="E7" s="839"/>
      <c r="F7" s="839"/>
      <c r="G7" s="839"/>
      <c r="H7" s="839"/>
      <c r="I7" s="839"/>
      <c r="J7" s="839"/>
      <c r="K7" s="839"/>
      <c r="L7" s="554"/>
    </row>
    <row r="8" spans="1:12" ht="14.25">
      <c r="A8" s="554"/>
      <c r="B8" s="840" t="s">
        <v>864</v>
      </c>
      <c r="C8" s="840"/>
      <c r="D8" s="840"/>
      <c r="E8" s="840"/>
      <c r="F8" s="840"/>
      <c r="G8" s="840"/>
      <c r="H8" s="840"/>
      <c r="I8" s="840"/>
      <c r="J8" s="840"/>
      <c r="K8" s="840"/>
      <c r="L8" s="554"/>
    </row>
    <row r="9" spans="1:12" ht="14.25">
      <c r="A9" s="554"/>
      <c r="L9" s="554"/>
    </row>
    <row r="10" spans="1:12" ht="14.25">
      <c r="A10" s="554"/>
      <c r="B10" s="840" t="s">
        <v>865</v>
      </c>
      <c r="C10" s="840"/>
      <c r="D10" s="840"/>
      <c r="E10" s="840"/>
      <c r="F10" s="840"/>
      <c r="G10" s="840"/>
      <c r="H10" s="840"/>
      <c r="I10" s="840"/>
      <c r="J10" s="840"/>
      <c r="K10" s="840"/>
      <c r="L10" s="554"/>
    </row>
    <row r="11" spans="1:12" ht="14.25">
      <c r="A11" s="554"/>
      <c r="B11" s="615"/>
      <c r="C11" s="615"/>
      <c r="D11" s="615"/>
      <c r="E11" s="615"/>
      <c r="F11" s="615"/>
      <c r="G11" s="615"/>
      <c r="H11" s="615"/>
      <c r="I11" s="615"/>
      <c r="J11" s="615"/>
      <c r="K11" s="615"/>
      <c r="L11" s="554"/>
    </row>
    <row r="12" spans="1:12" ht="32.25" customHeight="1">
      <c r="A12" s="554"/>
      <c r="B12" s="834" t="s">
        <v>79</v>
      </c>
      <c r="C12" s="834"/>
      <c r="D12" s="834"/>
      <c r="E12" s="834"/>
      <c r="F12" s="834"/>
      <c r="G12" s="834"/>
      <c r="H12" s="834"/>
      <c r="I12" s="834"/>
      <c r="J12" s="834"/>
      <c r="K12" s="834"/>
      <c r="L12" s="554"/>
    </row>
    <row r="13" spans="1:12" ht="14.25">
      <c r="A13" s="554"/>
      <c r="L13" s="554"/>
    </row>
    <row r="14" spans="1:12" ht="14.25">
      <c r="A14" s="554"/>
      <c r="B14" s="537" t="s">
        <v>80</v>
      </c>
      <c r="L14" s="554"/>
    </row>
    <row r="15" spans="1:12" ht="14.25">
      <c r="A15" s="554"/>
      <c r="L15" s="554"/>
    </row>
    <row r="16" spans="1:12" ht="14.25">
      <c r="A16" s="554"/>
      <c r="B16" s="555" t="s">
        <v>81</v>
      </c>
      <c r="L16" s="554"/>
    </row>
    <row r="17" spans="1:12" ht="14.25">
      <c r="A17" s="554"/>
      <c r="B17" s="555" t="s">
        <v>82</v>
      </c>
      <c r="L17" s="554"/>
    </row>
    <row r="18" spans="1:12" ht="14.25">
      <c r="A18" s="554"/>
      <c r="L18" s="554"/>
    </row>
    <row r="19" spans="1:12" ht="14.25">
      <c r="A19" s="554"/>
      <c r="B19" s="537" t="s">
        <v>145</v>
      </c>
      <c r="L19" s="554"/>
    </row>
    <row r="20" spans="1:12" ht="14.25">
      <c r="A20" s="554"/>
      <c r="B20" s="537"/>
      <c r="L20" s="554"/>
    </row>
    <row r="21" spans="1:12" ht="14.25">
      <c r="A21" s="554"/>
      <c r="B21" s="555" t="s">
        <v>146</v>
      </c>
      <c r="L21" s="554"/>
    </row>
    <row r="22" spans="1:12" ht="14.25">
      <c r="A22" s="554"/>
      <c r="L22" s="554"/>
    </row>
    <row r="23" spans="1:12" ht="14.25">
      <c r="A23" s="554"/>
      <c r="B23" s="555" t="s">
        <v>83</v>
      </c>
      <c r="E23" s="555" t="s">
        <v>84</v>
      </c>
      <c r="F23" s="831">
        <v>312000000</v>
      </c>
      <c r="G23" s="831"/>
      <c r="L23" s="554"/>
    </row>
    <row r="24" spans="1:12" ht="14.25">
      <c r="A24" s="554"/>
      <c r="L24" s="554"/>
    </row>
    <row r="25" spans="1:12" ht="14.25">
      <c r="A25" s="554"/>
      <c r="C25" s="841">
        <f>F23</f>
        <v>312000000</v>
      </c>
      <c r="D25" s="841"/>
      <c r="E25" s="555" t="s">
        <v>85</v>
      </c>
      <c r="F25" s="557">
        <v>1000</v>
      </c>
      <c r="G25" s="557" t="s">
        <v>84</v>
      </c>
      <c r="H25" s="616">
        <f>F23/F25</f>
        <v>312000</v>
      </c>
      <c r="L25" s="554"/>
    </row>
    <row r="26" spans="1:12" ht="15" thickBot="1">
      <c r="A26" s="554"/>
      <c r="L26" s="554"/>
    </row>
    <row r="27" spans="1:12" ht="14.25">
      <c r="A27" s="554"/>
      <c r="B27" s="538" t="s">
        <v>80</v>
      </c>
      <c r="C27" s="558"/>
      <c r="D27" s="558"/>
      <c r="E27" s="558"/>
      <c r="F27" s="558"/>
      <c r="G27" s="558"/>
      <c r="H27" s="558"/>
      <c r="I27" s="558"/>
      <c r="J27" s="558"/>
      <c r="K27" s="559"/>
      <c r="L27" s="554"/>
    </row>
    <row r="28" spans="1:12" ht="14.25">
      <c r="A28" s="554"/>
      <c r="B28" s="560">
        <f>F23</f>
        <v>312000000</v>
      </c>
      <c r="C28" s="561" t="s">
        <v>86</v>
      </c>
      <c r="D28" s="561"/>
      <c r="E28" s="561" t="s">
        <v>85</v>
      </c>
      <c r="F28" s="619">
        <v>1000</v>
      </c>
      <c r="G28" s="619" t="s">
        <v>84</v>
      </c>
      <c r="H28" s="562">
        <f>B28/F28</f>
        <v>312000</v>
      </c>
      <c r="I28" s="561" t="s">
        <v>87</v>
      </c>
      <c r="J28" s="561"/>
      <c r="K28" s="563"/>
      <c r="L28" s="554"/>
    </row>
    <row r="29" spans="1:12" ht="15" thickBot="1">
      <c r="A29" s="554"/>
      <c r="B29" s="564"/>
      <c r="C29" s="565"/>
      <c r="D29" s="565"/>
      <c r="E29" s="565"/>
      <c r="F29" s="565"/>
      <c r="G29" s="565"/>
      <c r="H29" s="565"/>
      <c r="I29" s="565"/>
      <c r="J29" s="565"/>
      <c r="K29" s="566"/>
      <c r="L29" s="554"/>
    </row>
    <row r="30" spans="1:12" ht="40.5" customHeight="1">
      <c r="A30" s="554"/>
      <c r="B30" s="830" t="s">
        <v>863</v>
      </c>
      <c r="C30" s="830"/>
      <c r="D30" s="830"/>
      <c r="E30" s="830"/>
      <c r="F30" s="830"/>
      <c r="G30" s="830"/>
      <c r="H30" s="830"/>
      <c r="I30" s="830"/>
      <c r="J30" s="830"/>
      <c r="K30" s="830"/>
      <c r="L30" s="554"/>
    </row>
    <row r="31" spans="1:12" ht="14.25">
      <c r="A31" s="554"/>
      <c r="B31" s="840" t="s">
        <v>88</v>
      </c>
      <c r="C31" s="840"/>
      <c r="D31" s="840"/>
      <c r="E31" s="840"/>
      <c r="F31" s="840"/>
      <c r="G31" s="840"/>
      <c r="H31" s="840"/>
      <c r="I31" s="840"/>
      <c r="J31" s="840"/>
      <c r="K31" s="840"/>
      <c r="L31" s="554"/>
    </row>
    <row r="32" spans="1:12" ht="14.25">
      <c r="A32" s="554"/>
      <c r="L32" s="554"/>
    </row>
    <row r="33" spans="1:12" ht="14.25">
      <c r="A33" s="554"/>
      <c r="B33" s="840" t="s">
        <v>89</v>
      </c>
      <c r="C33" s="840"/>
      <c r="D33" s="840"/>
      <c r="E33" s="840"/>
      <c r="F33" s="840"/>
      <c r="G33" s="840"/>
      <c r="H33" s="840"/>
      <c r="I33" s="840"/>
      <c r="J33" s="840"/>
      <c r="K33" s="840"/>
      <c r="L33" s="554"/>
    </row>
    <row r="34" spans="1:12" ht="14.25">
      <c r="A34" s="554"/>
      <c r="L34" s="554"/>
    </row>
    <row r="35" spans="1:12" ht="89.25" customHeight="1">
      <c r="A35" s="554"/>
      <c r="B35" s="834" t="s">
        <v>90</v>
      </c>
      <c r="C35" s="833"/>
      <c r="D35" s="833"/>
      <c r="E35" s="833"/>
      <c r="F35" s="833"/>
      <c r="G35" s="833"/>
      <c r="H35" s="833"/>
      <c r="I35" s="833"/>
      <c r="J35" s="833"/>
      <c r="K35" s="833"/>
      <c r="L35" s="554"/>
    </row>
    <row r="36" spans="1:12" ht="14.25">
      <c r="A36" s="554"/>
      <c r="L36" s="554"/>
    </row>
    <row r="37" spans="1:12" ht="14.25">
      <c r="A37" s="554"/>
      <c r="B37" s="537" t="s">
        <v>91</v>
      </c>
      <c r="L37" s="554"/>
    </row>
    <row r="38" spans="1:12" ht="14.25">
      <c r="A38" s="554"/>
      <c r="L38" s="554"/>
    </row>
    <row r="39" spans="1:12" ht="14.25">
      <c r="A39" s="554"/>
      <c r="B39" s="555" t="s">
        <v>92</v>
      </c>
      <c r="L39" s="554"/>
    </row>
    <row r="40" spans="1:12" ht="14.25">
      <c r="A40" s="554"/>
      <c r="L40" s="554"/>
    </row>
    <row r="41" spans="1:12" ht="14.25">
      <c r="A41" s="554"/>
      <c r="C41" s="842">
        <v>312000000</v>
      </c>
      <c r="D41" s="842"/>
      <c r="E41" s="555" t="s">
        <v>85</v>
      </c>
      <c r="F41" s="557">
        <v>1000</v>
      </c>
      <c r="G41" s="557" t="s">
        <v>84</v>
      </c>
      <c r="H41" s="567">
        <f>C41/F41</f>
        <v>312000</v>
      </c>
      <c r="L41" s="554"/>
    </row>
    <row r="42" spans="1:12" ht="14.25">
      <c r="A42" s="554"/>
      <c r="L42" s="554"/>
    </row>
    <row r="43" spans="1:12" ht="14.25">
      <c r="A43" s="554"/>
      <c r="B43" s="555" t="s">
        <v>93</v>
      </c>
      <c r="L43" s="554"/>
    </row>
    <row r="44" spans="1:12" ht="14.25">
      <c r="A44" s="554"/>
      <c r="L44" s="554"/>
    </row>
    <row r="45" spans="1:12" ht="14.25">
      <c r="A45" s="554"/>
      <c r="B45" s="555" t="s">
        <v>94</v>
      </c>
      <c r="L45" s="554"/>
    </row>
    <row r="46" spans="1:12" ht="15" thickBot="1">
      <c r="A46" s="554"/>
      <c r="L46" s="554"/>
    </row>
    <row r="47" spans="1:12" ht="14.25">
      <c r="A47" s="554"/>
      <c r="B47" s="568" t="s">
        <v>80</v>
      </c>
      <c r="C47" s="558"/>
      <c r="D47" s="558"/>
      <c r="E47" s="558"/>
      <c r="F47" s="558"/>
      <c r="G47" s="558"/>
      <c r="H47" s="558"/>
      <c r="I47" s="558"/>
      <c r="J47" s="558"/>
      <c r="K47" s="559"/>
      <c r="L47" s="554"/>
    </row>
    <row r="48" spans="1:12" ht="14.25">
      <c r="A48" s="554"/>
      <c r="B48" s="843">
        <v>312000000</v>
      </c>
      <c r="C48" s="831"/>
      <c r="D48" s="561" t="s">
        <v>95</v>
      </c>
      <c r="E48" s="561" t="s">
        <v>85</v>
      </c>
      <c r="F48" s="619">
        <v>1000</v>
      </c>
      <c r="G48" s="619" t="s">
        <v>84</v>
      </c>
      <c r="H48" s="562">
        <f>B48/F48</f>
        <v>312000</v>
      </c>
      <c r="I48" s="561" t="s">
        <v>96</v>
      </c>
      <c r="J48" s="561"/>
      <c r="K48" s="563"/>
      <c r="L48" s="554"/>
    </row>
    <row r="49" spans="1:12" ht="14.25">
      <c r="A49" s="554"/>
      <c r="B49" s="569"/>
      <c r="C49" s="561"/>
      <c r="D49" s="561"/>
      <c r="E49" s="561"/>
      <c r="F49" s="561"/>
      <c r="G49" s="561"/>
      <c r="H49" s="561"/>
      <c r="I49" s="561"/>
      <c r="J49" s="561"/>
      <c r="K49" s="563"/>
      <c r="L49" s="554"/>
    </row>
    <row r="50" spans="1:12" ht="14.25">
      <c r="A50" s="554"/>
      <c r="B50" s="570">
        <v>50000</v>
      </c>
      <c r="C50" s="561" t="s">
        <v>97</v>
      </c>
      <c r="D50" s="561"/>
      <c r="E50" s="561" t="s">
        <v>85</v>
      </c>
      <c r="F50" s="562">
        <f>H48</f>
        <v>312000</v>
      </c>
      <c r="G50" s="844" t="s">
        <v>98</v>
      </c>
      <c r="H50" s="845"/>
      <c r="I50" s="619" t="s">
        <v>84</v>
      </c>
      <c r="J50" s="571">
        <f>B50/F50</f>
        <v>0.16025641025641027</v>
      </c>
      <c r="K50" s="563"/>
      <c r="L50" s="554"/>
    </row>
    <row r="51" spans="1:15" ht="15" thickBot="1">
      <c r="A51" s="554"/>
      <c r="B51" s="564"/>
      <c r="C51" s="565"/>
      <c r="D51" s="565"/>
      <c r="E51" s="565"/>
      <c r="F51" s="565"/>
      <c r="G51" s="565"/>
      <c r="H51" s="565"/>
      <c r="I51" s="846" t="s">
        <v>99</v>
      </c>
      <c r="J51" s="846"/>
      <c r="K51" s="847"/>
      <c r="L51" s="554"/>
      <c r="O51" s="572"/>
    </row>
    <row r="52" spans="1:12" ht="40.5" customHeight="1">
      <c r="A52" s="554"/>
      <c r="B52" s="830" t="s">
        <v>863</v>
      </c>
      <c r="C52" s="830"/>
      <c r="D52" s="830"/>
      <c r="E52" s="830"/>
      <c r="F52" s="830"/>
      <c r="G52" s="830"/>
      <c r="H52" s="830"/>
      <c r="I52" s="830"/>
      <c r="J52" s="830"/>
      <c r="K52" s="830"/>
      <c r="L52" s="554"/>
    </row>
    <row r="53" spans="1:12" ht="14.25">
      <c r="A53" s="554"/>
      <c r="B53" s="840" t="s">
        <v>100</v>
      </c>
      <c r="C53" s="840"/>
      <c r="D53" s="840"/>
      <c r="E53" s="840"/>
      <c r="F53" s="840"/>
      <c r="G53" s="840"/>
      <c r="H53" s="840"/>
      <c r="I53" s="840"/>
      <c r="J53" s="840"/>
      <c r="K53" s="840"/>
      <c r="L53" s="554"/>
    </row>
    <row r="54" spans="1:12" ht="14.25">
      <c r="A54" s="554"/>
      <c r="B54" s="615"/>
      <c r="C54" s="615"/>
      <c r="D54" s="615"/>
      <c r="E54" s="615"/>
      <c r="F54" s="615"/>
      <c r="G54" s="615"/>
      <c r="H54" s="615"/>
      <c r="I54" s="615"/>
      <c r="J54" s="615"/>
      <c r="K54" s="615"/>
      <c r="L54" s="554"/>
    </row>
    <row r="55" spans="1:12" ht="14.25">
      <c r="A55" s="554"/>
      <c r="B55" s="836" t="s">
        <v>101</v>
      </c>
      <c r="C55" s="836"/>
      <c r="D55" s="836"/>
      <c r="E55" s="836"/>
      <c r="F55" s="836"/>
      <c r="G55" s="836"/>
      <c r="H55" s="836"/>
      <c r="I55" s="836"/>
      <c r="J55" s="836"/>
      <c r="K55" s="836"/>
      <c r="L55" s="554"/>
    </row>
    <row r="56" spans="1:12" ht="15" customHeight="1">
      <c r="A56" s="554"/>
      <c r="L56" s="554"/>
    </row>
    <row r="57" spans="1:24" ht="74.25" customHeight="1">
      <c r="A57" s="554"/>
      <c r="B57" s="834" t="s">
        <v>102</v>
      </c>
      <c r="C57" s="833"/>
      <c r="D57" s="833"/>
      <c r="E57" s="833"/>
      <c r="F57" s="833"/>
      <c r="G57" s="833"/>
      <c r="H57" s="833"/>
      <c r="I57" s="833"/>
      <c r="J57" s="833"/>
      <c r="K57" s="833"/>
      <c r="L57" s="554"/>
      <c r="M57" s="539"/>
      <c r="N57" s="528"/>
      <c r="O57" s="528"/>
      <c r="P57" s="528"/>
      <c r="Q57" s="528"/>
      <c r="R57" s="528"/>
      <c r="S57" s="528"/>
      <c r="T57" s="528"/>
      <c r="U57" s="528"/>
      <c r="V57" s="528"/>
      <c r="W57" s="528"/>
      <c r="X57" s="528"/>
    </row>
    <row r="58" spans="1:24" ht="15" customHeight="1">
      <c r="A58" s="554"/>
      <c r="B58" s="834"/>
      <c r="C58" s="833"/>
      <c r="D58" s="833"/>
      <c r="E58" s="833"/>
      <c r="F58" s="833"/>
      <c r="G58" s="833"/>
      <c r="H58" s="833"/>
      <c r="I58" s="833"/>
      <c r="J58" s="833"/>
      <c r="K58" s="833"/>
      <c r="L58" s="554"/>
      <c r="M58" s="539"/>
      <c r="N58" s="528"/>
      <c r="O58" s="528"/>
      <c r="P58" s="528"/>
      <c r="Q58" s="528"/>
      <c r="R58" s="528"/>
      <c r="S58" s="528"/>
      <c r="T58" s="528"/>
      <c r="U58" s="528"/>
      <c r="V58" s="528"/>
      <c r="W58" s="528"/>
      <c r="X58" s="528"/>
    </row>
    <row r="59" spans="1:24" ht="14.25">
      <c r="A59" s="554"/>
      <c r="B59" s="537" t="s">
        <v>91</v>
      </c>
      <c r="L59" s="554"/>
      <c r="M59" s="528"/>
      <c r="N59" s="528"/>
      <c r="O59" s="528"/>
      <c r="P59" s="528"/>
      <c r="Q59" s="528"/>
      <c r="R59" s="528"/>
      <c r="S59" s="528"/>
      <c r="T59" s="528"/>
      <c r="U59" s="528"/>
      <c r="V59" s="528"/>
      <c r="W59" s="528"/>
      <c r="X59" s="528"/>
    </row>
    <row r="60" spans="1:24" ht="14.25">
      <c r="A60" s="554"/>
      <c r="L60" s="554"/>
      <c r="M60" s="528"/>
      <c r="N60" s="528"/>
      <c r="O60" s="528"/>
      <c r="P60" s="528"/>
      <c r="Q60" s="528"/>
      <c r="R60" s="528"/>
      <c r="S60" s="528"/>
      <c r="T60" s="528"/>
      <c r="U60" s="528"/>
      <c r="V60" s="528"/>
      <c r="W60" s="528"/>
      <c r="X60" s="528"/>
    </row>
    <row r="61" spans="1:24" ht="14.25">
      <c r="A61" s="554"/>
      <c r="B61" s="555" t="s">
        <v>103</v>
      </c>
      <c r="L61" s="554"/>
      <c r="M61" s="528"/>
      <c r="N61" s="528"/>
      <c r="O61" s="528"/>
      <c r="P61" s="528"/>
      <c r="Q61" s="528"/>
      <c r="R61" s="528"/>
      <c r="S61" s="528"/>
      <c r="T61" s="528"/>
      <c r="U61" s="528"/>
      <c r="V61" s="528"/>
      <c r="W61" s="528"/>
      <c r="X61" s="528"/>
    </row>
    <row r="62" spans="1:24" ht="14.25">
      <c r="A62" s="554"/>
      <c r="B62" s="555" t="s">
        <v>147</v>
      </c>
      <c r="L62" s="554"/>
      <c r="M62" s="528"/>
      <c r="N62" s="528"/>
      <c r="O62" s="528"/>
      <c r="P62" s="528"/>
      <c r="Q62" s="528"/>
      <c r="R62" s="528"/>
      <c r="S62" s="528"/>
      <c r="T62" s="528"/>
      <c r="U62" s="528"/>
      <c r="V62" s="528"/>
      <c r="W62" s="528"/>
      <c r="X62" s="528"/>
    </row>
    <row r="63" spans="1:24" ht="14.25">
      <c r="A63" s="554"/>
      <c r="B63" s="555" t="s">
        <v>148</v>
      </c>
      <c r="L63" s="554"/>
      <c r="M63" s="528"/>
      <c r="N63" s="528"/>
      <c r="O63" s="528"/>
      <c r="P63" s="528"/>
      <c r="Q63" s="528"/>
      <c r="R63" s="528"/>
      <c r="S63" s="528"/>
      <c r="T63" s="528"/>
      <c r="U63" s="528"/>
      <c r="V63" s="528"/>
      <c r="W63" s="528"/>
      <c r="X63" s="528"/>
    </row>
    <row r="64" spans="1:24" ht="14.25">
      <c r="A64" s="554"/>
      <c r="L64" s="554"/>
      <c r="M64" s="528"/>
      <c r="N64" s="528"/>
      <c r="O64" s="528"/>
      <c r="P64" s="528"/>
      <c r="Q64" s="528"/>
      <c r="R64" s="528"/>
      <c r="S64" s="528"/>
      <c r="T64" s="528"/>
      <c r="U64" s="528"/>
      <c r="V64" s="528"/>
      <c r="W64" s="528"/>
      <c r="X64" s="528"/>
    </row>
    <row r="65" spans="1:24" ht="14.25">
      <c r="A65" s="554"/>
      <c r="B65" s="555" t="s">
        <v>104</v>
      </c>
      <c r="L65" s="554"/>
      <c r="M65" s="528"/>
      <c r="N65" s="528"/>
      <c r="O65" s="528"/>
      <c r="P65" s="528"/>
      <c r="Q65" s="528"/>
      <c r="R65" s="528"/>
      <c r="S65" s="528"/>
      <c r="T65" s="528"/>
      <c r="U65" s="528"/>
      <c r="V65" s="528"/>
      <c r="W65" s="528"/>
      <c r="X65" s="528"/>
    </row>
    <row r="66" spans="1:24" ht="14.25">
      <c r="A66" s="554"/>
      <c r="B66" s="555" t="s">
        <v>105</v>
      </c>
      <c r="L66" s="554"/>
      <c r="M66" s="528"/>
      <c r="N66" s="528"/>
      <c r="O66" s="528"/>
      <c r="P66" s="528"/>
      <c r="Q66" s="528"/>
      <c r="R66" s="528"/>
      <c r="S66" s="528"/>
      <c r="T66" s="528"/>
      <c r="U66" s="528"/>
      <c r="V66" s="528"/>
      <c r="W66" s="528"/>
      <c r="X66" s="528"/>
    </row>
    <row r="67" spans="1:24" ht="14.25">
      <c r="A67" s="554"/>
      <c r="L67" s="554"/>
      <c r="M67" s="528"/>
      <c r="N67" s="528"/>
      <c r="O67" s="528"/>
      <c r="P67" s="528"/>
      <c r="Q67" s="528"/>
      <c r="R67" s="528"/>
      <c r="S67" s="528"/>
      <c r="T67" s="528"/>
      <c r="U67" s="528"/>
      <c r="V67" s="528"/>
      <c r="W67" s="528"/>
      <c r="X67" s="528"/>
    </row>
    <row r="68" spans="1:24" ht="14.25">
      <c r="A68" s="554"/>
      <c r="B68" s="555" t="s">
        <v>106</v>
      </c>
      <c r="L68" s="554"/>
      <c r="M68" s="540"/>
      <c r="N68" s="527"/>
      <c r="O68" s="527"/>
      <c r="P68" s="527"/>
      <c r="Q68" s="527"/>
      <c r="R68" s="527"/>
      <c r="S68" s="527"/>
      <c r="T68" s="527"/>
      <c r="U68" s="527"/>
      <c r="V68" s="527"/>
      <c r="W68" s="527"/>
      <c r="X68" s="528"/>
    </row>
    <row r="69" spans="1:24" ht="14.25">
      <c r="A69" s="554"/>
      <c r="B69" s="555" t="s">
        <v>149</v>
      </c>
      <c r="L69" s="554"/>
      <c r="M69" s="528"/>
      <c r="N69" s="528"/>
      <c r="O69" s="528"/>
      <c r="P69" s="528"/>
      <c r="Q69" s="528"/>
      <c r="R69" s="528"/>
      <c r="S69" s="528"/>
      <c r="T69" s="528"/>
      <c r="U69" s="528"/>
      <c r="V69" s="528"/>
      <c r="W69" s="528"/>
      <c r="X69" s="528"/>
    </row>
    <row r="70" spans="1:24" ht="14.25">
      <c r="A70" s="554"/>
      <c r="B70" s="555" t="s">
        <v>150</v>
      </c>
      <c r="L70" s="554"/>
      <c r="M70" s="528"/>
      <c r="N70" s="528"/>
      <c r="O70" s="528"/>
      <c r="P70" s="528"/>
      <c r="Q70" s="528"/>
      <c r="R70" s="528"/>
      <c r="S70" s="528"/>
      <c r="T70" s="528"/>
      <c r="U70" s="528"/>
      <c r="V70" s="528"/>
      <c r="W70" s="528"/>
      <c r="X70" s="528"/>
    </row>
    <row r="71" spans="1:12" ht="15" thickBot="1">
      <c r="A71" s="554"/>
      <c r="B71" s="561"/>
      <c r="C71" s="561"/>
      <c r="D71" s="561"/>
      <c r="E71" s="561"/>
      <c r="F71" s="561"/>
      <c r="G71" s="561"/>
      <c r="H71" s="561"/>
      <c r="I71" s="561"/>
      <c r="J71" s="561"/>
      <c r="K71" s="561"/>
      <c r="L71" s="554"/>
    </row>
    <row r="72" spans="1:12" ht="14.25">
      <c r="A72" s="554"/>
      <c r="B72" s="538" t="s">
        <v>80</v>
      </c>
      <c r="C72" s="558"/>
      <c r="D72" s="558"/>
      <c r="E72" s="558"/>
      <c r="F72" s="558"/>
      <c r="G72" s="558"/>
      <c r="H72" s="558"/>
      <c r="I72" s="558"/>
      <c r="J72" s="558"/>
      <c r="K72" s="559"/>
      <c r="L72" s="573"/>
    </row>
    <row r="73" spans="1:12" ht="14.25">
      <c r="A73" s="554"/>
      <c r="B73" s="569"/>
      <c r="C73" s="561" t="s">
        <v>86</v>
      </c>
      <c r="D73" s="561"/>
      <c r="E73" s="561"/>
      <c r="F73" s="561"/>
      <c r="G73" s="561"/>
      <c r="H73" s="561"/>
      <c r="I73" s="561"/>
      <c r="J73" s="561"/>
      <c r="K73" s="563"/>
      <c r="L73" s="573"/>
    </row>
    <row r="74" spans="1:12" ht="14.25">
      <c r="A74" s="554"/>
      <c r="B74" s="569" t="s">
        <v>107</v>
      </c>
      <c r="C74" s="831">
        <v>312000000</v>
      </c>
      <c r="D74" s="831"/>
      <c r="E74" s="619" t="s">
        <v>85</v>
      </c>
      <c r="F74" s="619">
        <v>1000</v>
      </c>
      <c r="G74" s="619" t="s">
        <v>84</v>
      </c>
      <c r="H74" s="610">
        <f>C74/F74</f>
        <v>312000</v>
      </c>
      <c r="I74" s="561" t="s">
        <v>108</v>
      </c>
      <c r="J74" s="561"/>
      <c r="K74" s="563"/>
      <c r="L74" s="573"/>
    </row>
    <row r="75" spans="1:12" ht="14.25">
      <c r="A75" s="554"/>
      <c r="B75" s="569"/>
      <c r="C75" s="561"/>
      <c r="D75" s="561"/>
      <c r="E75" s="619"/>
      <c r="F75" s="561"/>
      <c r="G75" s="561"/>
      <c r="H75" s="561"/>
      <c r="I75" s="561"/>
      <c r="J75" s="561"/>
      <c r="K75" s="563"/>
      <c r="L75" s="573"/>
    </row>
    <row r="76" spans="1:12" ht="14.25">
      <c r="A76" s="554"/>
      <c r="B76" s="569"/>
      <c r="C76" s="561" t="s">
        <v>109</v>
      </c>
      <c r="D76" s="561"/>
      <c r="E76" s="619"/>
      <c r="F76" s="561" t="s">
        <v>108</v>
      </c>
      <c r="G76" s="561"/>
      <c r="H76" s="561"/>
      <c r="I76" s="561"/>
      <c r="J76" s="561"/>
      <c r="K76" s="563"/>
      <c r="L76" s="573"/>
    </row>
    <row r="77" spans="1:12" ht="14.25">
      <c r="A77" s="554"/>
      <c r="B77" s="569" t="s">
        <v>112</v>
      </c>
      <c r="C77" s="831">
        <v>50000</v>
      </c>
      <c r="D77" s="831"/>
      <c r="E77" s="619" t="s">
        <v>85</v>
      </c>
      <c r="F77" s="610">
        <f>H74</f>
        <v>312000</v>
      </c>
      <c r="G77" s="619" t="s">
        <v>84</v>
      </c>
      <c r="H77" s="571">
        <f>C77/F77</f>
        <v>0.16025641025641027</v>
      </c>
      <c r="I77" s="561" t="s">
        <v>110</v>
      </c>
      <c r="J77" s="561"/>
      <c r="K77" s="563"/>
      <c r="L77" s="573"/>
    </row>
    <row r="78" spans="1:12" ht="14.25">
      <c r="A78" s="554"/>
      <c r="B78" s="569"/>
      <c r="C78" s="561"/>
      <c r="D78" s="561"/>
      <c r="E78" s="619"/>
      <c r="F78" s="561"/>
      <c r="G78" s="561"/>
      <c r="H78" s="561"/>
      <c r="I78" s="561"/>
      <c r="J78" s="561"/>
      <c r="K78" s="563"/>
      <c r="L78" s="573"/>
    </row>
    <row r="79" spans="1:12" ht="14.25">
      <c r="A79" s="554"/>
      <c r="B79" s="574"/>
      <c r="C79" s="575" t="s">
        <v>111</v>
      </c>
      <c r="D79" s="575"/>
      <c r="E79" s="611"/>
      <c r="F79" s="575"/>
      <c r="G79" s="575"/>
      <c r="H79" s="575"/>
      <c r="I79" s="575"/>
      <c r="J79" s="575"/>
      <c r="K79" s="576"/>
      <c r="L79" s="573"/>
    </row>
    <row r="80" spans="1:12" ht="14.25">
      <c r="A80" s="554"/>
      <c r="B80" s="569" t="s">
        <v>900</v>
      </c>
      <c r="C80" s="831">
        <v>100000</v>
      </c>
      <c r="D80" s="831"/>
      <c r="E80" s="619" t="s">
        <v>299</v>
      </c>
      <c r="F80" s="619">
        <v>0.115</v>
      </c>
      <c r="G80" s="619" t="s">
        <v>84</v>
      </c>
      <c r="H80" s="610">
        <f>C80*F80</f>
        <v>11500</v>
      </c>
      <c r="I80" s="561" t="s">
        <v>113</v>
      </c>
      <c r="J80" s="561"/>
      <c r="K80" s="563"/>
      <c r="L80" s="573"/>
    </row>
    <row r="81" spans="1:12" ht="14.25">
      <c r="A81" s="554"/>
      <c r="B81" s="569"/>
      <c r="C81" s="561"/>
      <c r="D81" s="561"/>
      <c r="E81" s="619"/>
      <c r="F81" s="561"/>
      <c r="G81" s="561"/>
      <c r="H81" s="561"/>
      <c r="I81" s="561"/>
      <c r="J81" s="561"/>
      <c r="K81" s="563"/>
      <c r="L81" s="573"/>
    </row>
    <row r="82" spans="1:12" ht="14.25">
      <c r="A82" s="554"/>
      <c r="B82" s="574"/>
      <c r="C82" s="575" t="s">
        <v>114</v>
      </c>
      <c r="D82" s="575"/>
      <c r="E82" s="611"/>
      <c r="F82" s="575" t="s">
        <v>110</v>
      </c>
      <c r="G82" s="575"/>
      <c r="H82" s="575"/>
      <c r="I82" s="575"/>
      <c r="J82" s="575" t="s">
        <v>115</v>
      </c>
      <c r="K82" s="576"/>
      <c r="L82" s="573"/>
    </row>
    <row r="83" spans="1:12" ht="14.25">
      <c r="A83" s="554"/>
      <c r="B83" s="569" t="s">
        <v>901</v>
      </c>
      <c r="C83" s="829">
        <f>H80</f>
        <v>11500</v>
      </c>
      <c r="D83" s="829"/>
      <c r="E83" s="619" t="s">
        <v>299</v>
      </c>
      <c r="F83" s="571">
        <f>H77</f>
        <v>0.16025641025641027</v>
      </c>
      <c r="G83" s="619" t="s">
        <v>85</v>
      </c>
      <c r="H83" s="619">
        <v>1000</v>
      </c>
      <c r="I83" s="619" t="s">
        <v>84</v>
      </c>
      <c r="J83" s="612">
        <f>C83*F83/H83</f>
        <v>1.842948717948718</v>
      </c>
      <c r="K83" s="563"/>
      <c r="L83" s="573"/>
    </row>
    <row r="84" spans="1:12" ht="15" thickBot="1">
      <c r="A84" s="554"/>
      <c r="B84" s="564"/>
      <c r="C84" s="577"/>
      <c r="D84" s="577"/>
      <c r="E84" s="578"/>
      <c r="F84" s="579"/>
      <c r="G84" s="578"/>
      <c r="H84" s="578"/>
      <c r="I84" s="578"/>
      <c r="J84" s="580"/>
      <c r="K84" s="566"/>
      <c r="L84" s="573"/>
    </row>
    <row r="85" spans="1:12" ht="40.5" customHeight="1">
      <c r="A85" s="554"/>
      <c r="B85" s="830" t="s">
        <v>863</v>
      </c>
      <c r="C85" s="830"/>
      <c r="D85" s="830"/>
      <c r="E85" s="830"/>
      <c r="F85" s="830"/>
      <c r="G85" s="830"/>
      <c r="H85" s="830"/>
      <c r="I85" s="830"/>
      <c r="J85" s="830"/>
      <c r="K85" s="830"/>
      <c r="L85" s="554"/>
    </row>
    <row r="86" spans="1:12" ht="14.25">
      <c r="A86" s="554"/>
      <c r="B86" s="836" t="s">
        <v>116</v>
      </c>
      <c r="C86" s="836"/>
      <c r="D86" s="836"/>
      <c r="E86" s="836"/>
      <c r="F86" s="836"/>
      <c r="G86" s="836"/>
      <c r="H86" s="836"/>
      <c r="I86" s="836"/>
      <c r="J86" s="836"/>
      <c r="K86" s="836"/>
      <c r="L86" s="554"/>
    </row>
    <row r="87" spans="1:12" ht="14.25">
      <c r="A87" s="554"/>
      <c r="B87" s="581"/>
      <c r="C87" s="581"/>
      <c r="D87" s="581"/>
      <c r="E87" s="581"/>
      <c r="F87" s="581"/>
      <c r="G87" s="581"/>
      <c r="H87" s="581"/>
      <c r="I87" s="581"/>
      <c r="J87" s="581"/>
      <c r="K87" s="581"/>
      <c r="L87" s="554"/>
    </row>
    <row r="88" spans="1:12" ht="14.25">
      <c r="A88" s="554"/>
      <c r="B88" s="836" t="s">
        <v>117</v>
      </c>
      <c r="C88" s="836"/>
      <c r="D88" s="836"/>
      <c r="E88" s="836"/>
      <c r="F88" s="836"/>
      <c r="G88" s="836"/>
      <c r="H88" s="836"/>
      <c r="I88" s="836"/>
      <c r="J88" s="836"/>
      <c r="K88" s="836"/>
      <c r="L88" s="554"/>
    </row>
    <row r="89" spans="1:12" ht="14.25">
      <c r="A89" s="554"/>
      <c r="B89" s="613"/>
      <c r="C89" s="613"/>
      <c r="D89" s="613"/>
      <c r="E89" s="613"/>
      <c r="F89" s="613"/>
      <c r="G89" s="613"/>
      <c r="H89" s="613"/>
      <c r="I89" s="613"/>
      <c r="J89" s="613"/>
      <c r="K89" s="613"/>
      <c r="L89" s="554"/>
    </row>
    <row r="90" spans="1:12" ht="45" customHeight="1">
      <c r="A90" s="554"/>
      <c r="B90" s="834" t="s">
        <v>118</v>
      </c>
      <c r="C90" s="834"/>
      <c r="D90" s="834"/>
      <c r="E90" s="834"/>
      <c r="F90" s="834"/>
      <c r="G90" s="834"/>
      <c r="H90" s="834"/>
      <c r="I90" s="834"/>
      <c r="J90" s="834"/>
      <c r="K90" s="834"/>
      <c r="L90" s="554"/>
    </row>
    <row r="91" spans="1:12" ht="15" customHeight="1" thickBot="1">
      <c r="A91" s="554"/>
      <c r="L91" s="554"/>
    </row>
    <row r="92" spans="1:12" ht="15" customHeight="1">
      <c r="A92" s="554"/>
      <c r="B92" s="541" t="s">
        <v>80</v>
      </c>
      <c r="C92" s="582"/>
      <c r="D92" s="582"/>
      <c r="E92" s="582"/>
      <c r="F92" s="582"/>
      <c r="G92" s="582"/>
      <c r="H92" s="582"/>
      <c r="I92" s="582"/>
      <c r="J92" s="582"/>
      <c r="K92" s="583"/>
      <c r="L92" s="554"/>
    </row>
    <row r="93" spans="1:12" ht="15" customHeight="1">
      <c r="A93" s="554"/>
      <c r="B93" s="584"/>
      <c r="C93" s="617" t="s">
        <v>86</v>
      </c>
      <c r="D93" s="617"/>
      <c r="E93" s="617"/>
      <c r="F93" s="617"/>
      <c r="G93" s="617"/>
      <c r="H93" s="617"/>
      <c r="I93" s="617"/>
      <c r="J93" s="617"/>
      <c r="K93" s="585"/>
      <c r="L93" s="554"/>
    </row>
    <row r="94" spans="1:12" ht="15" customHeight="1">
      <c r="A94" s="554"/>
      <c r="B94" s="584" t="s">
        <v>107</v>
      </c>
      <c r="C94" s="831">
        <v>312000000</v>
      </c>
      <c r="D94" s="831"/>
      <c r="E94" s="619" t="s">
        <v>85</v>
      </c>
      <c r="F94" s="619">
        <v>1000</v>
      </c>
      <c r="G94" s="619" t="s">
        <v>84</v>
      </c>
      <c r="H94" s="610">
        <f>C94/F94</f>
        <v>312000</v>
      </c>
      <c r="I94" s="617" t="s">
        <v>108</v>
      </c>
      <c r="J94" s="617"/>
      <c r="K94" s="585"/>
      <c r="L94" s="554"/>
    </row>
    <row r="95" spans="1:12" ht="15" customHeight="1">
      <c r="A95" s="554"/>
      <c r="B95" s="584"/>
      <c r="C95" s="617"/>
      <c r="D95" s="617"/>
      <c r="E95" s="619"/>
      <c r="F95" s="617"/>
      <c r="G95" s="617"/>
      <c r="H95" s="617"/>
      <c r="I95" s="617"/>
      <c r="J95" s="617"/>
      <c r="K95" s="585"/>
      <c r="L95" s="554"/>
    </row>
    <row r="96" spans="1:12" ht="15" customHeight="1">
      <c r="A96" s="554"/>
      <c r="B96" s="584"/>
      <c r="C96" s="617" t="s">
        <v>109</v>
      </c>
      <c r="D96" s="617"/>
      <c r="E96" s="619"/>
      <c r="F96" s="617" t="s">
        <v>108</v>
      </c>
      <c r="G96" s="617"/>
      <c r="H96" s="617"/>
      <c r="I96" s="617"/>
      <c r="J96" s="617"/>
      <c r="K96" s="585"/>
      <c r="L96" s="554"/>
    </row>
    <row r="97" spans="1:12" ht="15" customHeight="1">
      <c r="A97" s="554"/>
      <c r="B97" s="584" t="s">
        <v>112</v>
      </c>
      <c r="C97" s="831">
        <v>50000</v>
      </c>
      <c r="D97" s="831"/>
      <c r="E97" s="619" t="s">
        <v>85</v>
      </c>
      <c r="F97" s="610">
        <f>H94</f>
        <v>312000</v>
      </c>
      <c r="G97" s="619" t="s">
        <v>84</v>
      </c>
      <c r="H97" s="571">
        <f>C97/F97</f>
        <v>0.16025641025641027</v>
      </c>
      <c r="I97" s="617" t="s">
        <v>110</v>
      </c>
      <c r="J97" s="617"/>
      <c r="K97" s="585"/>
      <c r="L97" s="554"/>
    </row>
    <row r="98" spans="1:12" ht="15" customHeight="1">
      <c r="A98" s="554"/>
      <c r="B98" s="584"/>
      <c r="C98" s="617"/>
      <c r="D98" s="617"/>
      <c r="E98" s="619"/>
      <c r="F98" s="617"/>
      <c r="G98" s="617"/>
      <c r="H98" s="617"/>
      <c r="I98" s="617"/>
      <c r="J98" s="617"/>
      <c r="K98" s="585"/>
      <c r="L98" s="554"/>
    </row>
    <row r="99" spans="1:12" ht="15" customHeight="1">
      <c r="A99" s="554"/>
      <c r="B99" s="586"/>
      <c r="C99" s="587" t="s">
        <v>119</v>
      </c>
      <c r="D99" s="587"/>
      <c r="E99" s="611"/>
      <c r="F99" s="587"/>
      <c r="G99" s="587"/>
      <c r="H99" s="587"/>
      <c r="I99" s="587"/>
      <c r="J99" s="587"/>
      <c r="K99" s="588"/>
      <c r="L99" s="554"/>
    </row>
    <row r="100" spans="1:12" ht="15" customHeight="1">
      <c r="A100" s="554"/>
      <c r="B100" s="584" t="s">
        <v>900</v>
      </c>
      <c r="C100" s="831">
        <v>2500000</v>
      </c>
      <c r="D100" s="831"/>
      <c r="E100" s="619" t="s">
        <v>299</v>
      </c>
      <c r="F100" s="589">
        <v>0.3</v>
      </c>
      <c r="G100" s="619" t="s">
        <v>84</v>
      </c>
      <c r="H100" s="610">
        <f>C100*F100</f>
        <v>750000</v>
      </c>
      <c r="I100" s="617" t="s">
        <v>113</v>
      </c>
      <c r="J100" s="617"/>
      <c r="K100" s="585"/>
      <c r="L100" s="554"/>
    </row>
    <row r="101" spans="1:12" ht="15" customHeight="1">
      <c r="A101" s="554"/>
      <c r="B101" s="584"/>
      <c r="C101" s="617"/>
      <c r="D101" s="617"/>
      <c r="E101" s="619"/>
      <c r="F101" s="617"/>
      <c r="G101" s="617"/>
      <c r="H101" s="617"/>
      <c r="I101" s="617"/>
      <c r="J101" s="617"/>
      <c r="K101" s="585"/>
      <c r="L101" s="554"/>
    </row>
    <row r="102" spans="1:12" ht="15" customHeight="1">
      <c r="A102" s="554"/>
      <c r="B102" s="586"/>
      <c r="C102" s="587" t="s">
        <v>114</v>
      </c>
      <c r="D102" s="587"/>
      <c r="E102" s="611"/>
      <c r="F102" s="587" t="s">
        <v>110</v>
      </c>
      <c r="G102" s="587"/>
      <c r="H102" s="587"/>
      <c r="I102" s="587"/>
      <c r="J102" s="587" t="s">
        <v>115</v>
      </c>
      <c r="K102" s="588"/>
      <c r="L102" s="554"/>
    </row>
    <row r="103" spans="1:12" ht="15" customHeight="1">
      <c r="A103" s="554"/>
      <c r="B103" s="584" t="s">
        <v>901</v>
      </c>
      <c r="C103" s="829">
        <f>H100</f>
        <v>750000</v>
      </c>
      <c r="D103" s="829"/>
      <c r="E103" s="619" t="s">
        <v>299</v>
      </c>
      <c r="F103" s="571">
        <f>H97</f>
        <v>0.16025641025641027</v>
      </c>
      <c r="G103" s="619" t="s">
        <v>85</v>
      </c>
      <c r="H103" s="619">
        <v>1000</v>
      </c>
      <c r="I103" s="619" t="s">
        <v>84</v>
      </c>
      <c r="J103" s="612">
        <f>C103*F103/H103</f>
        <v>120.19230769230771</v>
      </c>
      <c r="K103" s="585"/>
      <c r="L103" s="554"/>
    </row>
    <row r="104" spans="1:12" ht="15" customHeight="1" thickBot="1">
      <c r="A104" s="554"/>
      <c r="B104" s="590"/>
      <c r="C104" s="577"/>
      <c r="D104" s="577"/>
      <c r="E104" s="578"/>
      <c r="F104" s="579"/>
      <c r="G104" s="578"/>
      <c r="H104" s="578"/>
      <c r="I104" s="578"/>
      <c r="J104" s="580"/>
      <c r="K104" s="618"/>
      <c r="L104" s="554"/>
    </row>
    <row r="105" spans="1:12" ht="40.5" customHeight="1">
      <c r="A105" s="554"/>
      <c r="B105" s="830" t="s">
        <v>863</v>
      </c>
      <c r="C105" s="848"/>
      <c r="D105" s="848"/>
      <c r="E105" s="848"/>
      <c r="F105" s="848"/>
      <c r="G105" s="848"/>
      <c r="H105" s="848"/>
      <c r="I105" s="848"/>
      <c r="J105" s="848"/>
      <c r="K105" s="848"/>
      <c r="L105" s="554"/>
    </row>
    <row r="106" spans="1:12" ht="15" customHeight="1">
      <c r="A106" s="554"/>
      <c r="B106" s="849" t="s">
        <v>120</v>
      </c>
      <c r="C106" s="837"/>
      <c r="D106" s="837"/>
      <c r="E106" s="837"/>
      <c r="F106" s="837"/>
      <c r="G106" s="837"/>
      <c r="H106" s="837"/>
      <c r="I106" s="837"/>
      <c r="J106" s="837"/>
      <c r="K106" s="837"/>
      <c r="L106" s="554"/>
    </row>
    <row r="107" spans="1:12" ht="15" customHeight="1">
      <c r="A107" s="554"/>
      <c r="B107" s="617"/>
      <c r="C107" s="591"/>
      <c r="D107" s="591"/>
      <c r="E107" s="619"/>
      <c r="F107" s="571"/>
      <c r="G107" s="619"/>
      <c r="H107" s="619"/>
      <c r="I107" s="619"/>
      <c r="J107" s="612"/>
      <c r="K107" s="617"/>
      <c r="L107" s="554"/>
    </row>
    <row r="108" spans="1:12" ht="15" customHeight="1">
      <c r="A108" s="554"/>
      <c r="B108" s="849" t="s">
        <v>121</v>
      </c>
      <c r="C108" s="852"/>
      <c r="D108" s="852"/>
      <c r="E108" s="852"/>
      <c r="F108" s="852"/>
      <c r="G108" s="852"/>
      <c r="H108" s="852"/>
      <c r="I108" s="852"/>
      <c r="J108" s="852"/>
      <c r="K108" s="852"/>
      <c r="L108" s="554"/>
    </row>
    <row r="109" spans="1:12" ht="15" customHeight="1">
      <c r="A109" s="554"/>
      <c r="B109" s="617"/>
      <c r="C109" s="591"/>
      <c r="D109" s="591"/>
      <c r="E109" s="619"/>
      <c r="F109" s="571"/>
      <c r="G109" s="619"/>
      <c r="H109" s="619"/>
      <c r="I109" s="619"/>
      <c r="J109" s="612"/>
      <c r="K109" s="617"/>
      <c r="L109" s="554"/>
    </row>
    <row r="110" spans="1:12" ht="59.25" customHeight="1">
      <c r="A110" s="554"/>
      <c r="B110" s="832" t="s">
        <v>122</v>
      </c>
      <c r="C110" s="833"/>
      <c r="D110" s="833"/>
      <c r="E110" s="833"/>
      <c r="F110" s="833"/>
      <c r="G110" s="833"/>
      <c r="H110" s="833"/>
      <c r="I110" s="833"/>
      <c r="J110" s="833"/>
      <c r="K110" s="833"/>
      <c r="L110" s="554"/>
    </row>
    <row r="111" spans="1:12" ht="15" thickBot="1">
      <c r="A111" s="554"/>
      <c r="B111" s="615"/>
      <c r="C111" s="615"/>
      <c r="D111" s="615"/>
      <c r="E111" s="615"/>
      <c r="F111" s="615"/>
      <c r="G111" s="615"/>
      <c r="H111" s="615"/>
      <c r="I111" s="615"/>
      <c r="J111" s="615"/>
      <c r="K111" s="615"/>
      <c r="L111" s="592"/>
    </row>
    <row r="112" spans="1:12" ht="14.25">
      <c r="A112" s="554"/>
      <c r="B112" s="538" t="s">
        <v>80</v>
      </c>
      <c r="C112" s="558"/>
      <c r="D112" s="558"/>
      <c r="E112" s="558"/>
      <c r="F112" s="558"/>
      <c r="G112" s="558"/>
      <c r="H112" s="558"/>
      <c r="I112" s="558"/>
      <c r="J112" s="558"/>
      <c r="K112" s="559"/>
      <c r="L112" s="554"/>
    </row>
    <row r="113" spans="1:12" ht="14.25">
      <c r="A113" s="554"/>
      <c r="B113" s="569"/>
      <c r="C113" s="561" t="s">
        <v>86</v>
      </c>
      <c r="D113" s="561"/>
      <c r="E113" s="561"/>
      <c r="F113" s="561"/>
      <c r="G113" s="561"/>
      <c r="H113" s="561"/>
      <c r="I113" s="561"/>
      <c r="J113" s="561"/>
      <c r="K113" s="563"/>
      <c r="L113" s="554"/>
    </row>
    <row r="114" spans="1:12" ht="14.25">
      <c r="A114" s="554"/>
      <c r="B114" s="569" t="s">
        <v>107</v>
      </c>
      <c r="C114" s="831">
        <v>312000000</v>
      </c>
      <c r="D114" s="831"/>
      <c r="E114" s="619" t="s">
        <v>85</v>
      </c>
      <c r="F114" s="619">
        <v>1000</v>
      </c>
      <c r="G114" s="619" t="s">
        <v>84</v>
      </c>
      <c r="H114" s="610">
        <f>C114/F114</f>
        <v>312000</v>
      </c>
      <c r="I114" s="561" t="s">
        <v>108</v>
      </c>
      <c r="J114" s="561"/>
      <c r="K114" s="563"/>
      <c r="L114" s="554"/>
    </row>
    <row r="115" spans="1:12" ht="14.25">
      <c r="A115" s="554"/>
      <c r="B115" s="569"/>
      <c r="C115" s="561"/>
      <c r="D115" s="561"/>
      <c r="E115" s="619"/>
      <c r="F115" s="561"/>
      <c r="G115" s="561"/>
      <c r="H115" s="561"/>
      <c r="I115" s="561"/>
      <c r="J115" s="561"/>
      <c r="K115" s="563"/>
      <c r="L115" s="554"/>
    </row>
    <row r="116" spans="1:12" ht="14.25">
      <c r="A116" s="554"/>
      <c r="B116" s="569"/>
      <c r="C116" s="561" t="s">
        <v>109</v>
      </c>
      <c r="D116" s="561"/>
      <c r="E116" s="619"/>
      <c r="F116" s="561" t="s">
        <v>108</v>
      </c>
      <c r="G116" s="561"/>
      <c r="H116" s="561"/>
      <c r="I116" s="561"/>
      <c r="J116" s="561"/>
      <c r="K116" s="563"/>
      <c r="L116" s="554"/>
    </row>
    <row r="117" spans="1:12" ht="14.25">
      <c r="A117" s="554"/>
      <c r="B117" s="569" t="s">
        <v>112</v>
      </c>
      <c r="C117" s="831">
        <v>50000</v>
      </c>
      <c r="D117" s="831"/>
      <c r="E117" s="619" t="s">
        <v>85</v>
      </c>
      <c r="F117" s="610">
        <f>H114</f>
        <v>312000</v>
      </c>
      <c r="G117" s="619" t="s">
        <v>84</v>
      </c>
      <c r="H117" s="571">
        <f>C117/F117</f>
        <v>0.16025641025641027</v>
      </c>
      <c r="I117" s="561" t="s">
        <v>110</v>
      </c>
      <c r="J117" s="561"/>
      <c r="K117" s="563"/>
      <c r="L117" s="554"/>
    </row>
    <row r="118" spans="1:12" ht="14.25">
      <c r="A118" s="554"/>
      <c r="B118" s="569"/>
      <c r="C118" s="561"/>
      <c r="D118" s="561"/>
      <c r="E118" s="619"/>
      <c r="F118" s="561"/>
      <c r="G118" s="561"/>
      <c r="H118" s="561"/>
      <c r="I118" s="561"/>
      <c r="J118" s="561"/>
      <c r="K118" s="563"/>
      <c r="L118" s="554"/>
    </row>
    <row r="119" spans="1:12" ht="14.25">
      <c r="A119" s="554"/>
      <c r="B119" s="574"/>
      <c r="C119" s="575" t="s">
        <v>119</v>
      </c>
      <c r="D119" s="575"/>
      <c r="E119" s="611"/>
      <c r="F119" s="575"/>
      <c r="G119" s="575"/>
      <c r="H119" s="575"/>
      <c r="I119" s="575"/>
      <c r="J119" s="575"/>
      <c r="K119" s="576"/>
      <c r="L119" s="554"/>
    </row>
    <row r="120" spans="1:12" ht="14.25">
      <c r="A120" s="554"/>
      <c r="B120" s="569" t="s">
        <v>900</v>
      </c>
      <c r="C120" s="831">
        <v>2500000</v>
      </c>
      <c r="D120" s="831"/>
      <c r="E120" s="619" t="s">
        <v>299</v>
      </c>
      <c r="F120" s="589">
        <v>0.25</v>
      </c>
      <c r="G120" s="619" t="s">
        <v>84</v>
      </c>
      <c r="H120" s="610">
        <f>C120*F120</f>
        <v>625000</v>
      </c>
      <c r="I120" s="561" t="s">
        <v>113</v>
      </c>
      <c r="J120" s="561"/>
      <c r="K120" s="563"/>
      <c r="L120" s="554"/>
    </row>
    <row r="121" spans="1:12" ht="14.25">
      <c r="A121" s="554"/>
      <c r="B121" s="569"/>
      <c r="C121" s="561"/>
      <c r="D121" s="561"/>
      <c r="E121" s="619"/>
      <c r="F121" s="561"/>
      <c r="G121" s="561"/>
      <c r="H121" s="561"/>
      <c r="I121" s="561"/>
      <c r="J121" s="561"/>
      <c r="K121" s="563"/>
      <c r="L121" s="554"/>
    </row>
    <row r="122" spans="1:12" ht="14.25">
      <c r="A122" s="554"/>
      <c r="B122" s="574"/>
      <c r="C122" s="575" t="s">
        <v>114</v>
      </c>
      <c r="D122" s="575"/>
      <c r="E122" s="611"/>
      <c r="F122" s="575" t="s">
        <v>110</v>
      </c>
      <c r="G122" s="575"/>
      <c r="H122" s="575"/>
      <c r="I122" s="575"/>
      <c r="J122" s="575" t="s">
        <v>115</v>
      </c>
      <c r="K122" s="576"/>
      <c r="L122" s="554"/>
    </row>
    <row r="123" spans="1:12" ht="14.25">
      <c r="A123" s="554"/>
      <c r="B123" s="569" t="s">
        <v>901</v>
      </c>
      <c r="C123" s="829">
        <f>H120</f>
        <v>625000</v>
      </c>
      <c r="D123" s="829"/>
      <c r="E123" s="619" t="s">
        <v>299</v>
      </c>
      <c r="F123" s="571">
        <f>H117</f>
        <v>0.16025641025641027</v>
      </c>
      <c r="G123" s="619" t="s">
        <v>85</v>
      </c>
      <c r="H123" s="619">
        <v>1000</v>
      </c>
      <c r="I123" s="619" t="s">
        <v>84</v>
      </c>
      <c r="J123" s="612">
        <f>C123*F123/H123</f>
        <v>100.16025641025642</v>
      </c>
      <c r="K123" s="563"/>
      <c r="L123" s="554"/>
    </row>
    <row r="124" spans="1:12" ht="15" thickBot="1">
      <c r="A124" s="554"/>
      <c r="B124" s="564"/>
      <c r="C124" s="577"/>
      <c r="D124" s="577"/>
      <c r="E124" s="578"/>
      <c r="F124" s="579"/>
      <c r="G124" s="578"/>
      <c r="H124" s="578"/>
      <c r="I124" s="578"/>
      <c r="J124" s="580"/>
      <c r="K124" s="566"/>
      <c r="L124" s="554"/>
    </row>
    <row r="125" spans="1:12" ht="40.5" customHeight="1">
      <c r="A125" s="554"/>
      <c r="B125" s="830" t="s">
        <v>863</v>
      </c>
      <c r="C125" s="830"/>
      <c r="D125" s="830"/>
      <c r="E125" s="830"/>
      <c r="F125" s="830"/>
      <c r="G125" s="830"/>
      <c r="H125" s="830"/>
      <c r="I125" s="830"/>
      <c r="J125" s="830"/>
      <c r="K125" s="830"/>
      <c r="L125" s="592"/>
    </row>
    <row r="126" spans="1:12" ht="14.25">
      <c r="A126" s="554"/>
      <c r="B126" s="836" t="s">
        <v>123</v>
      </c>
      <c r="C126" s="836"/>
      <c r="D126" s="836"/>
      <c r="E126" s="836"/>
      <c r="F126" s="836"/>
      <c r="G126" s="836"/>
      <c r="H126" s="836"/>
      <c r="I126" s="836"/>
      <c r="J126" s="836"/>
      <c r="K126" s="836"/>
      <c r="L126" s="592"/>
    </row>
    <row r="127" spans="1:12" ht="14.25">
      <c r="A127" s="554"/>
      <c r="B127" s="615"/>
      <c r="C127" s="615"/>
      <c r="D127" s="615"/>
      <c r="E127" s="615"/>
      <c r="F127" s="615"/>
      <c r="G127" s="615"/>
      <c r="H127" s="615"/>
      <c r="I127" s="615"/>
      <c r="J127" s="615"/>
      <c r="K127" s="615"/>
      <c r="L127" s="592"/>
    </row>
    <row r="128" spans="1:12" ht="14.25">
      <c r="A128" s="554"/>
      <c r="B128" s="836" t="s">
        <v>124</v>
      </c>
      <c r="C128" s="836"/>
      <c r="D128" s="836"/>
      <c r="E128" s="836"/>
      <c r="F128" s="836"/>
      <c r="G128" s="836"/>
      <c r="H128" s="836"/>
      <c r="I128" s="836"/>
      <c r="J128" s="836"/>
      <c r="K128" s="836"/>
      <c r="L128" s="592"/>
    </row>
    <row r="129" spans="1:12" ht="14.25">
      <c r="A129" s="554"/>
      <c r="B129" s="613"/>
      <c r="C129" s="613"/>
      <c r="D129" s="613"/>
      <c r="E129" s="613"/>
      <c r="F129" s="613"/>
      <c r="G129" s="613"/>
      <c r="H129" s="613"/>
      <c r="I129" s="613"/>
      <c r="J129" s="613"/>
      <c r="K129" s="613"/>
      <c r="L129" s="592"/>
    </row>
    <row r="130" spans="1:12" ht="74.25" customHeight="1">
      <c r="A130" s="554"/>
      <c r="B130" s="834" t="s">
        <v>902</v>
      </c>
      <c r="C130" s="834"/>
      <c r="D130" s="834"/>
      <c r="E130" s="834"/>
      <c r="F130" s="834"/>
      <c r="G130" s="834"/>
      <c r="H130" s="834"/>
      <c r="I130" s="834"/>
      <c r="J130" s="834"/>
      <c r="K130" s="834"/>
      <c r="L130" s="592"/>
    </row>
    <row r="131" spans="1:12" ht="15" thickBot="1">
      <c r="A131" s="554"/>
      <c r="L131" s="554"/>
    </row>
    <row r="132" spans="1:12" ht="14.25">
      <c r="A132" s="554"/>
      <c r="B132" s="538" t="s">
        <v>80</v>
      </c>
      <c r="C132" s="558"/>
      <c r="D132" s="558"/>
      <c r="E132" s="558"/>
      <c r="F132" s="558"/>
      <c r="G132" s="558"/>
      <c r="H132" s="558"/>
      <c r="I132" s="558"/>
      <c r="J132" s="558"/>
      <c r="K132" s="559"/>
      <c r="L132" s="554"/>
    </row>
    <row r="133" spans="1:12" ht="14.25">
      <c r="A133" s="554"/>
      <c r="B133" s="569"/>
      <c r="C133" s="835" t="s">
        <v>125</v>
      </c>
      <c r="D133" s="835"/>
      <c r="E133" s="561"/>
      <c r="F133" s="619" t="s">
        <v>126</v>
      </c>
      <c r="G133" s="561"/>
      <c r="H133" s="835" t="s">
        <v>113</v>
      </c>
      <c r="I133" s="835"/>
      <c r="J133" s="561"/>
      <c r="K133" s="563"/>
      <c r="L133" s="554"/>
    </row>
    <row r="134" spans="1:12" ht="14.25">
      <c r="A134" s="554"/>
      <c r="B134" s="569" t="s">
        <v>107</v>
      </c>
      <c r="C134" s="831">
        <v>100000</v>
      </c>
      <c r="D134" s="831"/>
      <c r="E134" s="619" t="s">
        <v>299</v>
      </c>
      <c r="F134" s="619">
        <v>0.115</v>
      </c>
      <c r="G134" s="619" t="s">
        <v>84</v>
      </c>
      <c r="H134" s="850">
        <f>C134*F134</f>
        <v>11500</v>
      </c>
      <c r="I134" s="850"/>
      <c r="J134" s="561"/>
      <c r="K134" s="563"/>
      <c r="L134" s="554"/>
    </row>
    <row r="135" spans="1:12" ht="14.25">
      <c r="A135" s="554"/>
      <c r="B135" s="569"/>
      <c r="C135" s="561"/>
      <c r="D135" s="561"/>
      <c r="E135" s="561"/>
      <c r="F135" s="561"/>
      <c r="G135" s="561"/>
      <c r="H135" s="561"/>
      <c r="I135" s="561"/>
      <c r="J135" s="561"/>
      <c r="K135" s="563"/>
      <c r="L135" s="554"/>
    </row>
    <row r="136" spans="1:12" ht="14.25">
      <c r="A136" s="554"/>
      <c r="B136" s="574"/>
      <c r="C136" s="851" t="s">
        <v>113</v>
      </c>
      <c r="D136" s="851"/>
      <c r="E136" s="575"/>
      <c r="F136" s="611" t="s">
        <v>127</v>
      </c>
      <c r="G136" s="611"/>
      <c r="H136" s="575"/>
      <c r="I136" s="575"/>
      <c r="J136" s="575" t="s">
        <v>128</v>
      </c>
      <c r="K136" s="576"/>
      <c r="L136" s="554"/>
    </row>
    <row r="137" spans="1:12" ht="14.25">
      <c r="A137" s="554"/>
      <c r="B137" s="569" t="s">
        <v>112</v>
      </c>
      <c r="C137" s="850">
        <f>H134</f>
        <v>11500</v>
      </c>
      <c r="D137" s="850"/>
      <c r="E137" s="619" t="s">
        <v>299</v>
      </c>
      <c r="F137" s="593">
        <v>52.869</v>
      </c>
      <c r="G137" s="619" t="s">
        <v>85</v>
      </c>
      <c r="H137" s="619">
        <v>1000</v>
      </c>
      <c r="I137" s="619" t="s">
        <v>84</v>
      </c>
      <c r="J137" s="594">
        <f>C137*F137/H137</f>
        <v>607.9935</v>
      </c>
      <c r="K137" s="563"/>
      <c r="L137" s="554"/>
    </row>
    <row r="138" spans="1:12" ht="15" thickBot="1">
      <c r="A138" s="554"/>
      <c r="B138" s="564"/>
      <c r="C138" s="595"/>
      <c r="D138" s="595"/>
      <c r="E138" s="578"/>
      <c r="F138" s="596"/>
      <c r="G138" s="578"/>
      <c r="H138" s="578"/>
      <c r="I138" s="578"/>
      <c r="J138" s="597"/>
      <c r="K138" s="566"/>
      <c r="L138" s="554"/>
    </row>
    <row r="139" spans="1:12" ht="40.5" customHeight="1">
      <c r="A139" s="554"/>
      <c r="B139" s="542" t="s">
        <v>863</v>
      </c>
      <c r="C139" s="543"/>
      <c r="D139" s="543"/>
      <c r="E139" s="544"/>
      <c r="F139" s="545"/>
      <c r="G139" s="544"/>
      <c r="H139" s="544"/>
      <c r="I139" s="544"/>
      <c r="J139" s="546"/>
      <c r="K139" s="547"/>
      <c r="L139" s="554"/>
    </row>
    <row r="140" spans="1:12" ht="14.25">
      <c r="A140" s="554"/>
      <c r="B140" s="548" t="s">
        <v>903</v>
      </c>
      <c r="C140" s="549"/>
      <c r="D140" s="549"/>
      <c r="E140" s="550"/>
      <c r="F140" s="551"/>
      <c r="G140" s="550"/>
      <c r="H140" s="550"/>
      <c r="I140" s="550"/>
      <c r="J140" s="552"/>
      <c r="K140" s="553"/>
      <c r="L140" s="554"/>
    </row>
    <row r="141" spans="1:12" ht="14.25">
      <c r="A141" s="554"/>
      <c r="B141" s="569"/>
      <c r="C141" s="610"/>
      <c r="D141" s="610"/>
      <c r="E141" s="619"/>
      <c r="F141" s="598"/>
      <c r="G141" s="619"/>
      <c r="H141" s="619"/>
      <c r="I141" s="619"/>
      <c r="J141" s="594"/>
      <c r="K141" s="563"/>
      <c r="L141" s="554"/>
    </row>
    <row r="142" spans="1:12" ht="14.25">
      <c r="A142" s="554"/>
      <c r="B142" s="548" t="s">
        <v>904</v>
      </c>
      <c r="C142" s="549"/>
      <c r="D142" s="549"/>
      <c r="E142" s="550"/>
      <c r="F142" s="551"/>
      <c r="G142" s="550"/>
      <c r="H142" s="550"/>
      <c r="I142" s="550"/>
      <c r="J142" s="552"/>
      <c r="K142" s="553"/>
      <c r="L142" s="554"/>
    </row>
    <row r="143" spans="1:12" ht="14.25">
      <c r="A143" s="554"/>
      <c r="B143" s="569"/>
      <c r="C143" s="610"/>
      <c r="D143" s="610"/>
      <c r="E143" s="619"/>
      <c r="F143" s="598"/>
      <c r="G143" s="619"/>
      <c r="H143" s="619"/>
      <c r="I143" s="619"/>
      <c r="J143" s="594"/>
      <c r="K143" s="563"/>
      <c r="L143" s="554"/>
    </row>
    <row r="144" spans="1:12" ht="76.5" customHeight="1">
      <c r="A144" s="554"/>
      <c r="B144" s="856" t="s">
        <v>905</v>
      </c>
      <c r="C144" s="857"/>
      <c r="D144" s="857"/>
      <c r="E144" s="857"/>
      <c r="F144" s="857"/>
      <c r="G144" s="857"/>
      <c r="H144" s="857"/>
      <c r="I144" s="857"/>
      <c r="J144" s="857"/>
      <c r="K144" s="858"/>
      <c r="L144" s="554"/>
    </row>
    <row r="145" spans="1:12" ht="15" thickBot="1">
      <c r="A145" s="554"/>
      <c r="B145" s="569"/>
      <c r="C145" s="610"/>
      <c r="D145" s="610"/>
      <c r="E145" s="619"/>
      <c r="F145" s="598"/>
      <c r="G145" s="619"/>
      <c r="H145" s="619"/>
      <c r="I145" s="619"/>
      <c r="J145" s="594"/>
      <c r="K145" s="563"/>
      <c r="L145" s="554"/>
    </row>
    <row r="146" spans="1:12" ht="14.25">
      <c r="A146" s="554"/>
      <c r="B146" s="538" t="s">
        <v>80</v>
      </c>
      <c r="C146" s="599"/>
      <c r="D146" s="599"/>
      <c r="E146" s="600"/>
      <c r="F146" s="601"/>
      <c r="G146" s="600"/>
      <c r="H146" s="600"/>
      <c r="I146" s="600"/>
      <c r="J146" s="602"/>
      <c r="K146" s="559"/>
      <c r="L146" s="554"/>
    </row>
    <row r="147" spans="1:12" ht="14.25">
      <c r="A147" s="554"/>
      <c r="B147" s="569"/>
      <c r="C147" s="850" t="s">
        <v>906</v>
      </c>
      <c r="D147" s="850"/>
      <c r="E147" s="619"/>
      <c r="F147" s="598" t="s">
        <v>907</v>
      </c>
      <c r="G147" s="619"/>
      <c r="H147" s="619"/>
      <c r="I147" s="619"/>
      <c r="J147" s="854" t="s">
        <v>908</v>
      </c>
      <c r="K147" s="859"/>
      <c r="L147" s="554"/>
    </row>
    <row r="148" spans="1:12" ht="14.25">
      <c r="A148" s="554"/>
      <c r="B148" s="569"/>
      <c r="C148" s="853">
        <v>52.869</v>
      </c>
      <c r="D148" s="853"/>
      <c r="E148" s="619" t="s">
        <v>299</v>
      </c>
      <c r="F148" s="614">
        <v>312000000</v>
      </c>
      <c r="G148" s="603" t="s">
        <v>85</v>
      </c>
      <c r="H148" s="619">
        <v>1000</v>
      </c>
      <c r="I148" s="619" t="s">
        <v>84</v>
      </c>
      <c r="J148" s="854">
        <f>C148*(F148/1000)</f>
        <v>16495128</v>
      </c>
      <c r="K148" s="855"/>
      <c r="L148" s="554"/>
    </row>
    <row r="149" spans="1:12" ht="15" thickBot="1">
      <c r="A149" s="554"/>
      <c r="B149" s="564"/>
      <c r="C149" s="595"/>
      <c r="D149" s="595"/>
      <c r="E149" s="578"/>
      <c r="F149" s="596"/>
      <c r="G149" s="578"/>
      <c r="H149" s="578"/>
      <c r="I149" s="578"/>
      <c r="J149" s="597"/>
      <c r="K149" s="566"/>
      <c r="L149" s="554"/>
    </row>
    <row r="150" spans="1:12" ht="15" thickBot="1">
      <c r="A150" s="554"/>
      <c r="B150" s="564"/>
      <c r="C150" s="565"/>
      <c r="D150" s="565"/>
      <c r="E150" s="565"/>
      <c r="F150" s="565"/>
      <c r="G150" s="565"/>
      <c r="H150" s="565"/>
      <c r="I150" s="565"/>
      <c r="J150" s="565"/>
      <c r="K150" s="566"/>
      <c r="L150" s="554"/>
    </row>
    <row r="151" spans="1:12" ht="14.25">
      <c r="A151" s="554"/>
      <c r="B151" s="554"/>
      <c r="C151" s="554"/>
      <c r="D151" s="554"/>
      <c r="E151" s="554"/>
      <c r="F151" s="554"/>
      <c r="G151" s="554"/>
      <c r="H151" s="554"/>
      <c r="I151" s="554"/>
      <c r="J151" s="554"/>
      <c r="K151" s="554"/>
      <c r="L151" s="554"/>
    </row>
    <row r="152" spans="1:12" ht="14.25">
      <c r="A152" s="554"/>
      <c r="B152" s="554"/>
      <c r="C152" s="554"/>
      <c r="D152" s="554"/>
      <c r="E152" s="554"/>
      <c r="F152" s="554"/>
      <c r="G152" s="554"/>
      <c r="H152" s="554"/>
      <c r="I152" s="554"/>
      <c r="J152" s="554"/>
      <c r="K152" s="554"/>
      <c r="L152" s="554"/>
    </row>
    <row r="153" spans="1:12" ht="14.25">
      <c r="A153" s="554"/>
      <c r="B153" s="554"/>
      <c r="C153" s="554"/>
      <c r="D153" s="554"/>
      <c r="E153" s="554"/>
      <c r="F153" s="554"/>
      <c r="G153" s="554"/>
      <c r="H153" s="554"/>
      <c r="I153" s="554"/>
      <c r="J153" s="554"/>
      <c r="K153" s="554"/>
      <c r="L153" s="554"/>
    </row>
    <row r="154" spans="1:12" ht="14.25">
      <c r="A154" s="604"/>
      <c r="B154" s="604"/>
      <c r="C154" s="604"/>
      <c r="D154" s="604"/>
      <c r="E154" s="604"/>
      <c r="F154" s="604"/>
      <c r="G154" s="604"/>
      <c r="H154" s="604"/>
      <c r="I154" s="604"/>
      <c r="J154" s="604"/>
      <c r="K154" s="604"/>
      <c r="L154" s="604"/>
    </row>
    <row r="155" spans="1:12" ht="14.25">
      <c r="A155" s="604"/>
      <c r="B155" s="604"/>
      <c r="C155" s="604"/>
      <c r="D155" s="604"/>
      <c r="E155" s="604"/>
      <c r="F155" s="604"/>
      <c r="G155" s="604"/>
      <c r="H155" s="604"/>
      <c r="I155" s="604"/>
      <c r="J155" s="604"/>
      <c r="K155" s="604"/>
      <c r="L155" s="604"/>
    </row>
    <row r="156" spans="1:12" ht="14.25">
      <c r="A156" s="604"/>
      <c r="B156" s="604"/>
      <c r="C156" s="604"/>
      <c r="D156" s="604"/>
      <c r="E156" s="604"/>
      <c r="F156" s="604"/>
      <c r="G156" s="604"/>
      <c r="H156" s="604"/>
      <c r="I156" s="604"/>
      <c r="J156" s="604"/>
      <c r="K156" s="604"/>
      <c r="L156" s="604"/>
    </row>
    <row r="157" spans="1:12" ht="14.25">
      <c r="A157" s="604"/>
      <c r="B157" s="604"/>
      <c r="C157" s="604"/>
      <c r="D157" s="604"/>
      <c r="E157" s="604"/>
      <c r="F157" s="604"/>
      <c r="G157" s="604"/>
      <c r="H157" s="604"/>
      <c r="I157" s="604"/>
      <c r="J157" s="604"/>
      <c r="K157" s="604"/>
      <c r="L157" s="604"/>
    </row>
    <row r="158" spans="1:12" ht="14.25">
      <c r="A158" s="604"/>
      <c r="B158" s="604"/>
      <c r="C158" s="604"/>
      <c r="D158" s="604"/>
      <c r="E158" s="604"/>
      <c r="F158" s="604"/>
      <c r="G158" s="604"/>
      <c r="H158" s="604"/>
      <c r="I158" s="604"/>
      <c r="J158" s="604"/>
      <c r="K158" s="604"/>
      <c r="L158" s="604"/>
    </row>
    <row r="159" spans="1:12" ht="14.25">
      <c r="A159" s="604"/>
      <c r="B159" s="604"/>
      <c r="C159" s="604"/>
      <c r="D159" s="604"/>
      <c r="E159" s="604"/>
      <c r="F159" s="604"/>
      <c r="G159" s="604"/>
      <c r="H159" s="604"/>
      <c r="I159" s="604"/>
      <c r="J159" s="604"/>
      <c r="K159" s="604"/>
      <c r="L159" s="604"/>
    </row>
    <row r="160" spans="1:12" ht="14.25">
      <c r="A160" s="604"/>
      <c r="B160" s="604"/>
      <c r="C160" s="604"/>
      <c r="D160" s="604"/>
      <c r="E160" s="604"/>
      <c r="F160" s="604"/>
      <c r="G160" s="604"/>
      <c r="H160" s="604"/>
      <c r="I160" s="604"/>
      <c r="J160" s="604"/>
      <c r="K160" s="604"/>
      <c r="L160" s="604"/>
    </row>
    <row r="161" spans="1:12" ht="14.25">
      <c r="A161" s="604"/>
      <c r="B161" s="604"/>
      <c r="C161" s="604"/>
      <c r="D161" s="604"/>
      <c r="E161" s="604"/>
      <c r="F161" s="604"/>
      <c r="G161" s="604"/>
      <c r="H161" s="604"/>
      <c r="I161" s="604"/>
      <c r="J161" s="604"/>
      <c r="K161" s="604"/>
      <c r="L161" s="604"/>
    </row>
    <row r="162" spans="1:12" ht="14.25">
      <c r="A162" s="604"/>
      <c r="B162" s="604"/>
      <c r="C162" s="604"/>
      <c r="D162" s="604"/>
      <c r="E162" s="604"/>
      <c r="F162" s="604"/>
      <c r="G162" s="604"/>
      <c r="H162" s="604"/>
      <c r="I162" s="604"/>
      <c r="J162" s="604"/>
      <c r="K162" s="604"/>
      <c r="L162" s="604"/>
    </row>
    <row r="163" spans="1:12" ht="14.25">
      <c r="A163" s="604"/>
      <c r="B163" s="604"/>
      <c r="C163" s="604"/>
      <c r="D163" s="604"/>
      <c r="E163" s="604"/>
      <c r="F163" s="604"/>
      <c r="G163" s="604"/>
      <c r="H163" s="604"/>
      <c r="I163" s="604"/>
      <c r="J163" s="604"/>
      <c r="K163" s="604"/>
      <c r="L163" s="604"/>
    </row>
    <row r="164" spans="1:12" ht="14.25">
      <c r="A164" s="604"/>
      <c r="B164" s="604"/>
      <c r="C164" s="604"/>
      <c r="D164" s="604"/>
      <c r="E164" s="604"/>
      <c r="F164" s="604"/>
      <c r="G164" s="604"/>
      <c r="H164" s="604"/>
      <c r="I164" s="604"/>
      <c r="J164" s="604"/>
      <c r="K164" s="604"/>
      <c r="L164" s="604"/>
    </row>
    <row r="165" spans="1:12" ht="14.25">
      <c r="A165" s="604"/>
      <c r="B165" s="604"/>
      <c r="C165" s="604"/>
      <c r="D165" s="604"/>
      <c r="E165" s="604"/>
      <c r="F165" s="604"/>
      <c r="G165" s="604"/>
      <c r="H165" s="604"/>
      <c r="I165" s="604"/>
      <c r="J165" s="604"/>
      <c r="K165" s="604"/>
      <c r="L165" s="604"/>
    </row>
    <row r="166" spans="1:12" ht="14.25">
      <c r="A166" s="604"/>
      <c r="B166" s="604"/>
      <c r="C166" s="604"/>
      <c r="D166" s="604"/>
      <c r="E166" s="604"/>
      <c r="F166" s="604"/>
      <c r="G166" s="604"/>
      <c r="H166" s="604"/>
      <c r="I166" s="604"/>
      <c r="J166" s="604"/>
      <c r="K166" s="604"/>
      <c r="L166" s="604"/>
    </row>
    <row r="167" spans="1:12" ht="14.25">
      <c r="A167" s="604"/>
      <c r="B167" s="604"/>
      <c r="C167" s="604"/>
      <c r="D167" s="604"/>
      <c r="E167" s="604"/>
      <c r="F167" s="604"/>
      <c r="G167" s="604"/>
      <c r="H167" s="604"/>
      <c r="I167" s="604"/>
      <c r="J167" s="604"/>
      <c r="K167" s="604"/>
      <c r="L167" s="604"/>
    </row>
    <row r="168" spans="1:12" ht="14.25">
      <c r="A168" s="604"/>
      <c r="B168" s="604"/>
      <c r="C168" s="604"/>
      <c r="D168" s="604"/>
      <c r="E168" s="604"/>
      <c r="F168" s="604"/>
      <c r="G168" s="604"/>
      <c r="H168" s="604"/>
      <c r="I168" s="604"/>
      <c r="J168" s="604"/>
      <c r="K168" s="604"/>
      <c r="L168" s="604"/>
    </row>
    <row r="169" spans="1:12" ht="14.25">
      <c r="A169" s="604"/>
      <c r="B169" s="604"/>
      <c r="C169" s="604"/>
      <c r="D169" s="604"/>
      <c r="E169" s="604"/>
      <c r="F169" s="604"/>
      <c r="G169" s="604"/>
      <c r="H169" s="604"/>
      <c r="I169" s="604"/>
      <c r="J169" s="604"/>
      <c r="K169" s="604"/>
      <c r="L169" s="604"/>
    </row>
    <row r="170" spans="1:12" ht="14.25">
      <c r="A170" s="604"/>
      <c r="B170" s="604"/>
      <c r="C170" s="604"/>
      <c r="D170" s="604"/>
      <c r="E170" s="604"/>
      <c r="F170" s="604"/>
      <c r="G170" s="604"/>
      <c r="H170" s="604"/>
      <c r="I170" s="604"/>
      <c r="J170" s="604"/>
      <c r="K170" s="604"/>
      <c r="L170" s="604"/>
    </row>
    <row r="171" spans="1:12" ht="14.25">
      <c r="A171" s="604"/>
      <c r="B171" s="604"/>
      <c r="C171" s="604"/>
      <c r="D171" s="604"/>
      <c r="E171" s="604"/>
      <c r="F171" s="604"/>
      <c r="G171" s="604"/>
      <c r="H171" s="604"/>
      <c r="I171" s="604"/>
      <c r="J171" s="604"/>
      <c r="K171" s="604"/>
      <c r="L171" s="604"/>
    </row>
    <row r="172" spans="1:12" ht="14.25">
      <c r="A172" s="604"/>
      <c r="B172" s="604"/>
      <c r="C172" s="604"/>
      <c r="D172" s="604"/>
      <c r="E172" s="604"/>
      <c r="F172" s="604"/>
      <c r="G172" s="604"/>
      <c r="H172" s="604"/>
      <c r="I172" s="604"/>
      <c r="J172" s="604"/>
      <c r="K172" s="604"/>
      <c r="L172" s="604"/>
    </row>
    <row r="173" spans="1:12" ht="14.25">
      <c r="A173" s="604"/>
      <c r="B173" s="604"/>
      <c r="C173" s="604"/>
      <c r="D173" s="604"/>
      <c r="E173" s="604"/>
      <c r="F173" s="604"/>
      <c r="G173" s="604"/>
      <c r="H173" s="604"/>
      <c r="I173" s="604"/>
      <c r="J173" s="604"/>
      <c r="K173" s="604"/>
      <c r="L173" s="604"/>
    </row>
    <row r="174" spans="1:12" ht="14.25">
      <c r="A174" s="604"/>
      <c r="B174" s="604"/>
      <c r="C174" s="604"/>
      <c r="D174" s="604"/>
      <c r="E174" s="604"/>
      <c r="F174" s="604"/>
      <c r="G174" s="604"/>
      <c r="H174" s="604"/>
      <c r="I174" s="604"/>
      <c r="J174" s="604"/>
      <c r="K174" s="604"/>
      <c r="L174" s="604"/>
    </row>
    <row r="175" spans="1:12" ht="14.25">
      <c r="A175" s="604"/>
      <c r="B175" s="604"/>
      <c r="C175" s="604"/>
      <c r="D175" s="604"/>
      <c r="E175" s="604"/>
      <c r="F175" s="604"/>
      <c r="G175" s="604"/>
      <c r="H175" s="604"/>
      <c r="I175" s="604"/>
      <c r="J175" s="604"/>
      <c r="K175" s="604"/>
      <c r="L175" s="604"/>
    </row>
    <row r="176" spans="1:12" ht="14.25">
      <c r="A176" s="604"/>
      <c r="B176" s="604"/>
      <c r="C176" s="604"/>
      <c r="D176" s="604"/>
      <c r="E176" s="604"/>
      <c r="F176" s="604"/>
      <c r="G176" s="604"/>
      <c r="H176" s="604"/>
      <c r="I176" s="604"/>
      <c r="J176" s="604"/>
      <c r="K176" s="604"/>
      <c r="L176" s="604"/>
    </row>
    <row r="177" spans="1:12" ht="14.25">
      <c r="A177" s="604"/>
      <c r="B177" s="604"/>
      <c r="C177" s="604"/>
      <c r="D177" s="604"/>
      <c r="E177" s="604"/>
      <c r="F177" s="604"/>
      <c r="G177" s="604"/>
      <c r="H177" s="604"/>
      <c r="I177" s="604"/>
      <c r="J177" s="604"/>
      <c r="K177" s="604"/>
      <c r="L177" s="604"/>
    </row>
    <row r="178" spans="1:12" ht="14.25">
      <c r="A178" s="604"/>
      <c r="B178" s="604"/>
      <c r="C178" s="604"/>
      <c r="D178" s="604"/>
      <c r="E178" s="604"/>
      <c r="F178" s="604"/>
      <c r="G178" s="604"/>
      <c r="H178" s="604"/>
      <c r="I178" s="604"/>
      <c r="J178" s="604"/>
      <c r="K178" s="604"/>
      <c r="L178" s="604"/>
    </row>
    <row r="179" spans="1:12" ht="14.25">
      <c r="A179" s="604"/>
      <c r="B179" s="604"/>
      <c r="C179" s="604"/>
      <c r="D179" s="604"/>
      <c r="E179" s="604"/>
      <c r="F179" s="604"/>
      <c r="G179" s="604"/>
      <c r="H179" s="604"/>
      <c r="I179" s="604"/>
      <c r="J179" s="604"/>
      <c r="K179" s="604"/>
      <c r="L179" s="604"/>
    </row>
    <row r="180" spans="1:12" ht="14.25">
      <c r="A180" s="604"/>
      <c r="B180" s="604"/>
      <c r="C180" s="604"/>
      <c r="D180" s="604"/>
      <c r="E180" s="604"/>
      <c r="F180" s="604"/>
      <c r="G180" s="604"/>
      <c r="H180" s="604"/>
      <c r="I180" s="604"/>
      <c r="J180" s="604"/>
      <c r="K180" s="604"/>
      <c r="L180" s="604"/>
    </row>
    <row r="181" spans="1:12" ht="14.25">
      <c r="A181" s="604"/>
      <c r="B181" s="604"/>
      <c r="C181" s="604"/>
      <c r="D181" s="604"/>
      <c r="E181" s="604"/>
      <c r="F181" s="604"/>
      <c r="G181" s="604"/>
      <c r="H181" s="604"/>
      <c r="I181" s="604"/>
      <c r="J181" s="604"/>
      <c r="K181" s="604"/>
      <c r="L181" s="604"/>
    </row>
    <row r="182" spans="1:12" ht="14.25">
      <c r="A182" s="604"/>
      <c r="B182" s="604"/>
      <c r="C182" s="604"/>
      <c r="D182" s="604"/>
      <c r="E182" s="604"/>
      <c r="F182" s="604"/>
      <c r="G182" s="604"/>
      <c r="H182" s="604"/>
      <c r="I182" s="604"/>
      <c r="J182" s="604"/>
      <c r="K182" s="604"/>
      <c r="L182" s="604"/>
    </row>
    <row r="183" spans="1:12" ht="14.25">
      <c r="A183" s="604"/>
      <c r="B183" s="604"/>
      <c r="C183" s="604"/>
      <c r="D183" s="604"/>
      <c r="E183" s="604"/>
      <c r="F183" s="604"/>
      <c r="G183" s="604"/>
      <c r="H183" s="604"/>
      <c r="I183" s="604"/>
      <c r="J183" s="604"/>
      <c r="K183" s="604"/>
      <c r="L183" s="604"/>
    </row>
    <row r="184" spans="1:12" ht="14.25">
      <c r="A184" s="604"/>
      <c r="B184" s="604"/>
      <c r="C184" s="604"/>
      <c r="D184" s="604"/>
      <c r="E184" s="604"/>
      <c r="F184" s="604"/>
      <c r="G184" s="604"/>
      <c r="H184" s="604"/>
      <c r="I184" s="604"/>
      <c r="J184" s="604"/>
      <c r="K184" s="604"/>
      <c r="L184" s="604"/>
    </row>
    <row r="185" spans="1:12" ht="14.25">
      <c r="A185" s="604"/>
      <c r="B185" s="604"/>
      <c r="C185" s="604"/>
      <c r="D185" s="604"/>
      <c r="E185" s="604"/>
      <c r="F185" s="604"/>
      <c r="G185" s="604"/>
      <c r="H185" s="604"/>
      <c r="I185" s="604"/>
      <c r="J185" s="604"/>
      <c r="K185" s="604"/>
      <c r="L185" s="604"/>
    </row>
    <row r="186" spans="1:12" ht="14.25">
      <c r="A186" s="604"/>
      <c r="B186" s="604"/>
      <c r="C186" s="604"/>
      <c r="D186" s="604"/>
      <c r="E186" s="604"/>
      <c r="F186" s="604"/>
      <c r="G186" s="604"/>
      <c r="H186" s="604"/>
      <c r="I186" s="604"/>
      <c r="J186" s="604"/>
      <c r="K186" s="604"/>
      <c r="L186" s="604"/>
    </row>
    <row r="187" spans="1:12" ht="14.25">
      <c r="A187" s="604"/>
      <c r="B187" s="604"/>
      <c r="C187" s="604"/>
      <c r="D187" s="604"/>
      <c r="E187" s="604"/>
      <c r="F187" s="604"/>
      <c r="G187" s="604"/>
      <c r="H187" s="604"/>
      <c r="I187" s="604"/>
      <c r="J187" s="604"/>
      <c r="K187" s="604"/>
      <c r="L187" s="604"/>
    </row>
    <row r="188" spans="1:12" ht="14.25">
      <c r="A188" s="604"/>
      <c r="B188" s="604"/>
      <c r="C188" s="604"/>
      <c r="D188" s="604"/>
      <c r="E188" s="604"/>
      <c r="F188" s="604"/>
      <c r="G188" s="604"/>
      <c r="H188" s="604"/>
      <c r="I188" s="604"/>
      <c r="J188" s="604"/>
      <c r="K188" s="604"/>
      <c r="L188" s="604"/>
    </row>
    <row r="189" spans="1:12" ht="14.25">
      <c r="A189" s="604"/>
      <c r="B189" s="604"/>
      <c r="C189" s="604"/>
      <c r="D189" s="604"/>
      <c r="E189" s="604"/>
      <c r="F189" s="604"/>
      <c r="G189" s="604"/>
      <c r="H189" s="604"/>
      <c r="I189" s="604"/>
      <c r="J189" s="604"/>
      <c r="K189" s="604"/>
      <c r="L189" s="604"/>
    </row>
    <row r="190" spans="1:12" ht="14.25">
      <c r="A190" s="604"/>
      <c r="B190" s="604"/>
      <c r="C190" s="604"/>
      <c r="D190" s="604"/>
      <c r="E190" s="604"/>
      <c r="F190" s="604"/>
      <c r="G190" s="604"/>
      <c r="H190" s="604"/>
      <c r="I190" s="604"/>
      <c r="J190" s="604"/>
      <c r="K190" s="604"/>
      <c r="L190" s="604"/>
    </row>
    <row r="191" spans="1:12" ht="14.25">
      <c r="A191" s="604"/>
      <c r="B191" s="604"/>
      <c r="C191" s="604"/>
      <c r="D191" s="604"/>
      <c r="E191" s="604"/>
      <c r="F191" s="604"/>
      <c r="G191" s="604"/>
      <c r="H191" s="604"/>
      <c r="I191" s="604"/>
      <c r="J191" s="604"/>
      <c r="K191" s="604"/>
      <c r="L191" s="604"/>
    </row>
    <row r="192" spans="1:12" ht="14.25">
      <c r="A192" s="604"/>
      <c r="B192" s="604"/>
      <c r="C192" s="604"/>
      <c r="D192" s="604"/>
      <c r="E192" s="604"/>
      <c r="F192" s="604"/>
      <c r="G192" s="604"/>
      <c r="H192" s="604"/>
      <c r="I192" s="604"/>
      <c r="J192" s="604"/>
      <c r="K192" s="604"/>
      <c r="L192" s="604"/>
    </row>
    <row r="193" spans="1:12" ht="14.25">
      <c r="A193" s="604"/>
      <c r="B193" s="604"/>
      <c r="C193" s="604"/>
      <c r="D193" s="604"/>
      <c r="E193" s="604"/>
      <c r="F193" s="604"/>
      <c r="G193" s="604"/>
      <c r="H193" s="604"/>
      <c r="I193" s="604"/>
      <c r="J193" s="604"/>
      <c r="K193" s="604"/>
      <c r="L193" s="604"/>
    </row>
    <row r="194" spans="1:12" ht="14.25">
      <c r="A194" s="604"/>
      <c r="B194" s="604"/>
      <c r="C194" s="604"/>
      <c r="D194" s="604"/>
      <c r="E194" s="604"/>
      <c r="F194" s="604"/>
      <c r="G194" s="604"/>
      <c r="H194" s="604"/>
      <c r="I194" s="604"/>
      <c r="J194" s="604"/>
      <c r="K194" s="604"/>
      <c r="L194" s="604"/>
    </row>
    <row r="195" spans="1:12" ht="14.25">
      <c r="A195" s="604"/>
      <c r="B195" s="604"/>
      <c r="C195" s="604"/>
      <c r="D195" s="604"/>
      <c r="E195" s="604"/>
      <c r="F195" s="604"/>
      <c r="G195" s="604"/>
      <c r="H195" s="604"/>
      <c r="I195" s="604"/>
      <c r="J195" s="604"/>
      <c r="K195" s="604"/>
      <c r="L195" s="604"/>
    </row>
    <row r="196" spans="1:12" ht="14.25">
      <c r="A196" s="604"/>
      <c r="B196" s="604"/>
      <c r="C196" s="604"/>
      <c r="D196" s="604"/>
      <c r="E196" s="604"/>
      <c r="F196" s="604"/>
      <c r="G196" s="604"/>
      <c r="H196" s="604"/>
      <c r="I196" s="604"/>
      <c r="J196" s="604"/>
      <c r="K196" s="604"/>
      <c r="L196" s="604"/>
    </row>
    <row r="197" spans="1:12" ht="14.25">
      <c r="A197" s="604"/>
      <c r="B197" s="604"/>
      <c r="C197" s="604"/>
      <c r="D197" s="604"/>
      <c r="E197" s="604"/>
      <c r="F197" s="604"/>
      <c r="G197" s="604"/>
      <c r="H197" s="604"/>
      <c r="I197" s="604"/>
      <c r="J197" s="604"/>
      <c r="K197" s="604"/>
      <c r="L197" s="604"/>
    </row>
    <row r="198" spans="1:12" ht="14.25">
      <c r="A198" s="604"/>
      <c r="B198" s="604"/>
      <c r="C198" s="604"/>
      <c r="D198" s="604"/>
      <c r="E198" s="604"/>
      <c r="F198" s="604"/>
      <c r="G198" s="604"/>
      <c r="H198" s="604"/>
      <c r="I198" s="604"/>
      <c r="J198" s="604"/>
      <c r="K198" s="604"/>
      <c r="L198" s="604"/>
    </row>
    <row r="199" spans="1:12" ht="14.25">
      <c r="A199" s="604"/>
      <c r="B199" s="604"/>
      <c r="C199" s="604"/>
      <c r="D199" s="604"/>
      <c r="E199" s="604"/>
      <c r="F199" s="604"/>
      <c r="G199" s="604"/>
      <c r="H199" s="604"/>
      <c r="I199" s="604"/>
      <c r="J199" s="604"/>
      <c r="K199" s="604"/>
      <c r="L199" s="604"/>
    </row>
    <row r="200" spans="1:12" ht="14.25">
      <c r="A200" s="604"/>
      <c r="B200" s="604"/>
      <c r="C200" s="604"/>
      <c r="D200" s="604"/>
      <c r="E200" s="604"/>
      <c r="F200" s="604"/>
      <c r="G200" s="604"/>
      <c r="H200" s="604"/>
      <c r="I200" s="604"/>
      <c r="J200" s="604"/>
      <c r="K200" s="604"/>
      <c r="L200" s="604"/>
    </row>
    <row r="201" spans="1:12" ht="14.25">
      <c r="A201" s="604"/>
      <c r="B201" s="604"/>
      <c r="C201" s="604"/>
      <c r="D201" s="604"/>
      <c r="E201" s="604"/>
      <c r="F201" s="604"/>
      <c r="G201" s="604"/>
      <c r="H201" s="604"/>
      <c r="I201" s="604"/>
      <c r="J201" s="604"/>
      <c r="K201" s="604"/>
      <c r="L201" s="604"/>
    </row>
    <row r="202" spans="1:12" ht="14.25">
      <c r="A202" s="604"/>
      <c r="B202" s="604"/>
      <c r="C202" s="604"/>
      <c r="D202" s="604"/>
      <c r="E202" s="604"/>
      <c r="F202" s="604"/>
      <c r="G202" s="604"/>
      <c r="H202" s="604"/>
      <c r="I202" s="604"/>
      <c r="J202" s="604"/>
      <c r="K202" s="604"/>
      <c r="L202" s="604"/>
    </row>
    <row r="203" spans="1:12" ht="14.25">
      <c r="A203" s="604"/>
      <c r="B203" s="604"/>
      <c r="C203" s="604"/>
      <c r="D203" s="604"/>
      <c r="E203" s="604"/>
      <c r="F203" s="604"/>
      <c r="G203" s="604"/>
      <c r="H203" s="604"/>
      <c r="I203" s="604"/>
      <c r="J203" s="604"/>
      <c r="K203" s="604"/>
      <c r="L203" s="604"/>
    </row>
    <row r="204" spans="1:12" ht="14.25">
      <c r="A204" s="604"/>
      <c r="B204" s="604"/>
      <c r="C204" s="604"/>
      <c r="D204" s="604"/>
      <c r="E204" s="604"/>
      <c r="F204" s="604"/>
      <c r="G204" s="604"/>
      <c r="H204" s="604"/>
      <c r="I204" s="604"/>
      <c r="J204" s="604"/>
      <c r="K204" s="604"/>
      <c r="L204" s="604"/>
    </row>
    <row r="205" spans="1:12" ht="14.25">
      <c r="A205" s="604"/>
      <c r="B205" s="604"/>
      <c r="C205" s="604"/>
      <c r="D205" s="604"/>
      <c r="E205" s="604"/>
      <c r="F205" s="604"/>
      <c r="G205" s="604"/>
      <c r="H205" s="604"/>
      <c r="I205" s="604"/>
      <c r="J205" s="604"/>
      <c r="K205" s="604"/>
      <c r="L205" s="604"/>
    </row>
    <row r="206" spans="1:12" ht="14.25">
      <c r="A206" s="604"/>
      <c r="B206" s="604"/>
      <c r="C206" s="604"/>
      <c r="D206" s="604"/>
      <c r="E206" s="604"/>
      <c r="F206" s="604"/>
      <c r="G206" s="604"/>
      <c r="H206" s="604"/>
      <c r="I206" s="604"/>
      <c r="J206" s="604"/>
      <c r="K206" s="604"/>
      <c r="L206" s="604"/>
    </row>
    <row r="207" spans="1:12" ht="14.25">
      <c r="A207" s="604"/>
      <c r="B207" s="604"/>
      <c r="C207" s="604"/>
      <c r="D207" s="604"/>
      <c r="E207" s="604"/>
      <c r="F207" s="604"/>
      <c r="G207" s="604"/>
      <c r="H207" s="604"/>
      <c r="I207" s="604"/>
      <c r="J207" s="604"/>
      <c r="K207" s="604"/>
      <c r="L207" s="604"/>
    </row>
    <row r="208" spans="1:12" ht="14.25">
      <c r="A208" s="604"/>
      <c r="B208" s="604"/>
      <c r="C208" s="604"/>
      <c r="D208" s="604"/>
      <c r="E208" s="604"/>
      <c r="F208" s="604"/>
      <c r="G208" s="604"/>
      <c r="H208" s="604"/>
      <c r="I208" s="604"/>
      <c r="J208" s="604"/>
      <c r="K208" s="604"/>
      <c r="L208" s="604"/>
    </row>
    <row r="209" spans="1:12" ht="14.25">
      <c r="A209" s="604"/>
      <c r="B209" s="604"/>
      <c r="C209" s="604"/>
      <c r="D209" s="604"/>
      <c r="E209" s="604"/>
      <c r="F209" s="604"/>
      <c r="G209" s="604"/>
      <c r="H209" s="604"/>
      <c r="I209" s="604"/>
      <c r="J209" s="604"/>
      <c r="K209" s="604"/>
      <c r="L209" s="604"/>
    </row>
    <row r="210" spans="1:12" ht="14.25">
      <c r="A210" s="604"/>
      <c r="B210" s="604"/>
      <c r="C210" s="604"/>
      <c r="D210" s="604"/>
      <c r="E210" s="604"/>
      <c r="F210" s="604"/>
      <c r="G210" s="604"/>
      <c r="H210" s="604"/>
      <c r="I210" s="604"/>
      <c r="J210" s="604"/>
      <c r="K210" s="604"/>
      <c r="L210" s="604"/>
    </row>
    <row r="211" spans="1:12" ht="14.25">
      <c r="A211" s="604"/>
      <c r="B211" s="604"/>
      <c r="C211" s="604"/>
      <c r="D211" s="604"/>
      <c r="E211" s="604"/>
      <c r="F211" s="604"/>
      <c r="G211" s="604"/>
      <c r="H211" s="604"/>
      <c r="I211" s="604"/>
      <c r="J211" s="604"/>
      <c r="K211" s="604"/>
      <c r="L211" s="604"/>
    </row>
    <row r="212" spans="1:12" ht="14.25">
      <c r="A212" s="604"/>
      <c r="B212" s="604"/>
      <c r="C212" s="604"/>
      <c r="D212" s="604"/>
      <c r="E212" s="604"/>
      <c r="F212" s="604"/>
      <c r="G212" s="604"/>
      <c r="H212" s="604"/>
      <c r="I212" s="604"/>
      <c r="J212" s="604"/>
      <c r="K212" s="604"/>
      <c r="L212" s="604"/>
    </row>
    <row r="213" spans="1:12" ht="14.25">
      <c r="A213" s="604"/>
      <c r="B213" s="604"/>
      <c r="C213" s="604"/>
      <c r="D213" s="604"/>
      <c r="E213" s="604"/>
      <c r="F213" s="604"/>
      <c r="G213" s="604"/>
      <c r="H213" s="604"/>
      <c r="I213" s="604"/>
      <c r="J213" s="604"/>
      <c r="K213" s="604"/>
      <c r="L213" s="604"/>
    </row>
    <row r="214" spans="1:12" ht="14.25">
      <c r="A214" s="604"/>
      <c r="B214" s="604"/>
      <c r="C214" s="604"/>
      <c r="D214" s="604"/>
      <c r="E214" s="604"/>
      <c r="F214" s="604"/>
      <c r="G214" s="604"/>
      <c r="H214" s="604"/>
      <c r="I214" s="604"/>
      <c r="J214" s="604"/>
      <c r="K214" s="604"/>
      <c r="L214" s="604"/>
    </row>
    <row r="215" spans="1:12" ht="14.25">
      <c r="A215" s="604"/>
      <c r="B215" s="604"/>
      <c r="C215" s="604"/>
      <c r="D215" s="604"/>
      <c r="E215" s="604"/>
      <c r="F215" s="604"/>
      <c r="G215" s="604"/>
      <c r="H215" s="604"/>
      <c r="I215" s="604"/>
      <c r="J215" s="604"/>
      <c r="K215" s="604"/>
      <c r="L215" s="604"/>
    </row>
    <row r="216" spans="1:12" ht="14.25">
      <c r="A216" s="604"/>
      <c r="B216" s="604"/>
      <c r="C216" s="604"/>
      <c r="D216" s="604"/>
      <c r="E216" s="604"/>
      <c r="F216" s="604"/>
      <c r="G216" s="604"/>
      <c r="H216" s="604"/>
      <c r="I216" s="604"/>
      <c r="J216" s="604"/>
      <c r="K216" s="604"/>
      <c r="L216" s="604"/>
    </row>
    <row r="217" spans="1:12" ht="14.25">
      <c r="A217" s="604"/>
      <c r="B217" s="604"/>
      <c r="C217" s="604"/>
      <c r="D217" s="604"/>
      <c r="E217" s="604"/>
      <c r="F217" s="604"/>
      <c r="G217" s="604"/>
      <c r="H217" s="604"/>
      <c r="I217" s="604"/>
      <c r="J217" s="604"/>
      <c r="K217" s="604"/>
      <c r="L217" s="604"/>
    </row>
    <row r="218" spans="1:12" ht="14.25">
      <c r="A218" s="604"/>
      <c r="B218" s="604"/>
      <c r="C218" s="604"/>
      <c r="D218" s="604"/>
      <c r="E218" s="604"/>
      <c r="F218" s="604"/>
      <c r="G218" s="604"/>
      <c r="H218" s="604"/>
      <c r="I218" s="604"/>
      <c r="J218" s="604"/>
      <c r="K218" s="604"/>
      <c r="L218" s="604"/>
    </row>
    <row r="219" spans="1:12" ht="14.25">
      <c r="A219" s="604"/>
      <c r="B219" s="604"/>
      <c r="C219" s="604"/>
      <c r="D219" s="604"/>
      <c r="E219" s="604"/>
      <c r="F219" s="604"/>
      <c r="G219" s="604"/>
      <c r="H219" s="604"/>
      <c r="I219" s="604"/>
      <c r="J219" s="604"/>
      <c r="K219" s="604"/>
      <c r="L219" s="604"/>
    </row>
    <row r="220" spans="1:12" ht="14.25">
      <c r="A220" s="604"/>
      <c r="B220" s="604"/>
      <c r="C220" s="604"/>
      <c r="D220" s="604"/>
      <c r="E220" s="604"/>
      <c r="F220" s="604"/>
      <c r="G220" s="604"/>
      <c r="H220" s="604"/>
      <c r="I220" s="604"/>
      <c r="J220" s="604"/>
      <c r="K220" s="604"/>
      <c r="L220" s="604"/>
    </row>
    <row r="221" spans="1:12" ht="14.25">
      <c r="A221" s="604"/>
      <c r="B221" s="604"/>
      <c r="C221" s="604"/>
      <c r="D221" s="604"/>
      <c r="E221" s="604"/>
      <c r="F221" s="604"/>
      <c r="G221" s="604"/>
      <c r="H221" s="604"/>
      <c r="I221" s="604"/>
      <c r="J221" s="604"/>
      <c r="K221" s="604"/>
      <c r="L221" s="604"/>
    </row>
    <row r="222" spans="1:12" ht="14.25">
      <c r="A222" s="604"/>
      <c r="B222" s="604"/>
      <c r="C222" s="604"/>
      <c r="D222" s="604"/>
      <c r="E222" s="604"/>
      <c r="F222" s="604"/>
      <c r="G222" s="604"/>
      <c r="H222" s="604"/>
      <c r="I222" s="604"/>
      <c r="J222" s="604"/>
      <c r="K222" s="604"/>
      <c r="L222" s="604"/>
    </row>
    <row r="223" spans="1:12" ht="14.25">
      <c r="A223" s="604"/>
      <c r="B223" s="604"/>
      <c r="C223" s="604"/>
      <c r="D223" s="604"/>
      <c r="E223" s="604"/>
      <c r="F223" s="604"/>
      <c r="G223" s="604"/>
      <c r="H223" s="604"/>
      <c r="I223" s="604"/>
      <c r="J223" s="604"/>
      <c r="K223" s="604"/>
      <c r="L223" s="604"/>
    </row>
    <row r="224" spans="1:12" ht="14.25">
      <c r="A224" s="604"/>
      <c r="B224" s="604"/>
      <c r="C224" s="604"/>
      <c r="D224" s="604"/>
      <c r="E224" s="604"/>
      <c r="F224" s="604"/>
      <c r="G224" s="604"/>
      <c r="H224" s="604"/>
      <c r="I224" s="604"/>
      <c r="J224" s="604"/>
      <c r="K224" s="604"/>
      <c r="L224" s="604"/>
    </row>
    <row r="225" spans="1:12" ht="14.25">
      <c r="A225" s="604"/>
      <c r="B225" s="604"/>
      <c r="C225" s="604"/>
      <c r="D225" s="604"/>
      <c r="E225" s="604"/>
      <c r="F225" s="604"/>
      <c r="G225" s="604"/>
      <c r="H225" s="604"/>
      <c r="I225" s="604"/>
      <c r="J225" s="604"/>
      <c r="K225" s="604"/>
      <c r="L225" s="604"/>
    </row>
    <row r="226" spans="1:12" ht="14.25">
      <c r="A226" s="604"/>
      <c r="B226" s="604"/>
      <c r="C226" s="604"/>
      <c r="D226" s="604"/>
      <c r="E226" s="604"/>
      <c r="F226" s="604"/>
      <c r="G226" s="604"/>
      <c r="H226" s="604"/>
      <c r="I226" s="604"/>
      <c r="J226" s="604"/>
      <c r="K226" s="604"/>
      <c r="L226" s="604"/>
    </row>
    <row r="227" spans="1:12" ht="14.25">
      <c r="A227" s="604"/>
      <c r="B227" s="604"/>
      <c r="C227" s="604"/>
      <c r="D227" s="604"/>
      <c r="E227" s="604"/>
      <c r="F227" s="604"/>
      <c r="G227" s="604"/>
      <c r="H227" s="604"/>
      <c r="I227" s="604"/>
      <c r="J227" s="604"/>
      <c r="K227" s="604"/>
      <c r="L227" s="604"/>
    </row>
    <row r="228" spans="1:12" ht="14.25">
      <c r="A228" s="604"/>
      <c r="B228" s="604"/>
      <c r="C228" s="604"/>
      <c r="D228" s="604"/>
      <c r="E228" s="604"/>
      <c r="F228" s="604"/>
      <c r="G228" s="604"/>
      <c r="H228" s="604"/>
      <c r="I228" s="604"/>
      <c r="J228" s="604"/>
      <c r="K228" s="604"/>
      <c r="L228" s="604"/>
    </row>
    <row r="229" spans="1:12" ht="14.25">
      <c r="A229" s="604"/>
      <c r="B229" s="604"/>
      <c r="C229" s="604"/>
      <c r="D229" s="604"/>
      <c r="E229" s="604"/>
      <c r="F229" s="604"/>
      <c r="G229" s="604"/>
      <c r="H229" s="604"/>
      <c r="I229" s="604"/>
      <c r="J229" s="604"/>
      <c r="K229" s="604"/>
      <c r="L229" s="604"/>
    </row>
    <row r="230" spans="1:12" ht="14.25">
      <c r="A230" s="604"/>
      <c r="B230" s="604"/>
      <c r="C230" s="604"/>
      <c r="D230" s="604"/>
      <c r="E230" s="604"/>
      <c r="F230" s="604"/>
      <c r="G230" s="604"/>
      <c r="H230" s="604"/>
      <c r="I230" s="604"/>
      <c r="J230" s="604"/>
      <c r="K230" s="604"/>
      <c r="L230" s="604"/>
    </row>
    <row r="231" spans="1:12" ht="14.25">
      <c r="A231" s="604"/>
      <c r="B231" s="604"/>
      <c r="C231" s="604"/>
      <c r="D231" s="604"/>
      <c r="E231" s="604"/>
      <c r="F231" s="604"/>
      <c r="G231" s="604"/>
      <c r="H231" s="604"/>
      <c r="I231" s="604"/>
      <c r="J231" s="604"/>
      <c r="K231" s="604"/>
      <c r="L231" s="604"/>
    </row>
    <row r="232" spans="1:12" ht="14.25">
      <c r="A232" s="604"/>
      <c r="B232" s="604"/>
      <c r="C232" s="604"/>
      <c r="D232" s="604"/>
      <c r="E232" s="604"/>
      <c r="F232" s="604"/>
      <c r="G232" s="604"/>
      <c r="H232" s="604"/>
      <c r="I232" s="604"/>
      <c r="J232" s="604"/>
      <c r="K232" s="604"/>
      <c r="L232" s="604"/>
    </row>
    <row r="233" spans="1:12" ht="14.25">
      <c r="A233" s="604"/>
      <c r="B233" s="604"/>
      <c r="C233" s="604"/>
      <c r="D233" s="604"/>
      <c r="E233" s="604"/>
      <c r="F233" s="604"/>
      <c r="G233" s="604"/>
      <c r="H233" s="604"/>
      <c r="I233" s="604"/>
      <c r="J233" s="604"/>
      <c r="K233" s="604"/>
      <c r="L233" s="604"/>
    </row>
    <row r="234" spans="1:12" ht="14.25">
      <c r="A234" s="604"/>
      <c r="B234" s="604"/>
      <c r="C234" s="604"/>
      <c r="D234" s="604"/>
      <c r="E234" s="604"/>
      <c r="F234" s="604"/>
      <c r="G234" s="604"/>
      <c r="H234" s="604"/>
      <c r="I234" s="604"/>
      <c r="J234" s="604"/>
      <c r="K234" s="604"/>
      <c r="L234" s="604"/>
    </row>
    <row r="235" spans="1:12" ht="14.25">
      <c r="A235" s="604"/>
      <c r="B235" s="604"/>
      <c r="C235" s="604"/>
      <c r="D235" s="604"/>
      <c r="E235" s="604"/>
      <c r="F235" s="604"/>
      <c r="G235" s="604"/>
      <c r="H235" s="604"/>
      <c r="I235" s="604"/>
      <c r="J235" s="604"/>
      <c r="K235" s="604"/>
      <c r="L235" s="604"/>
    </row>
    <row r="236" spans="1:12" ht="14.25">
      <c r="A236" s="604"/>
      <c r="B236" s="604"/>
      <c r="C236" s="604"/>
      <c r="D236" s="604"/>
      <c r="E236" s="604"/>
      <c r="F236" s="604"/>
      <c r="G236" s="604"/>
      <c r="H236" s="604"/>
      <c r="I236" s="604"/>
      <c r="J236" s="604"/>
      <c r="K236" s="604"/>
      <c r="L236" s="604"/>
    </row>
    <row r="237" spans="1:12" ht="14.25">
      <c r="A237" s="604"/>
      <c r="B237" s="604"/>
      <c r="C237" s="604"/>
      <c r="D237" s="604"/>
      <c r="E237" s="604"/>
      <c r="F237" s="604"/>
      <c r="G237" s="604"/>
      <c r="H237" s="604"/>
      <c r="I237" s="604"/>
      <c r="J237" s="604"/>
      <c r="K237" s="604"/>
      <c r="L237" s="604"/>
    </row>
    <row r="238" spans="1:12" ht="14.25">
      <c r="A238" s="604"/>
      <c r="B238" s="604"/>
      <c r="C238" s="604"/>
      <c r="D238" s="604"/>
      <c r="E238" s="604"/>
      <c r="F238" s="604"/>
      <c r="G238" s="604"/>
      <c r="H238" s="604"/>
      <c r="I238" s="604"/>
      <c r="J238" s="604"/>
      <c r="K238" s="604"/>
      <c r="L238" s="604"/>
    </row>
    <row r="239" spans="1:12" ht="14.25">
      <c r="A239" s="604"/>
      <c r="B239" s="604"/>
      <c r="C239" s="604"/>
      <c r="D239" s="604"/>
      <c r="E239" s="604"/>
      <c r="F239" s="604"/>
      <c r="G239" s="604"/>
      <c r="H239" s="604"/>
      <c r="I239" s="604"/>
      <c r="J239" s="604"/>
      <c r="K239" s="604"/>
      <c r="L239" s="604"/>
    </row>
    <row r="240" spans="1:12" ht="14.25">
      <c r="A240" s="604"/>
      <c r="B240" s="604"/>
      <c r="C240" s="604"/>
      <c r="D240" s="604"/>
      <c r="E240" s="604"/>
      <c r="F240" s="604"/>
      <c r="G240" s="604"/>
      <c r="H240" s="604"/>
      <c r="I240" s="604"/>
      <c r="J240" s="604"/>
      <c r="K240" s="604"/>
      <c r="L240" s="604"/>
    </row>
    <row r="241" spans="1:12" ht="14.25">
      <c r="A241" s="604"/>
      <c r="B241" s="604"/>
      <c r="C241" s="604"/>
      <c r="D241" s="604"/>
      <c r="E241" s="604"/>
      <c r="F241" s="604"/>
      <c r="G241" s="604"/>
      <c r="H241" s="604"/>
      <c r="I241" s="604"/>
      <c r="J241" s="604"/>
      <c r="K241" s="604"/>
      <c r="L241" s="604"/>
    </row>
    <row r="242" spans="1:12" ht="14.25">
      <c r="A242" s="604"/>
      <c r="B242" s="604"/>
      <c r="C242" s="604"/>
      <c r="D242" s="604"/>
      <c r="E242" s="604"/>
      <c r="F242" s="604"/>
      <c r="G242" s="604"/>
      <c r="H242" s="604"/>
      <c r="I242" s="604"/>
      <c r="J242" s="604"/>
      <c r="K242" s="604"/>
      <c r="L242" s="604"/>
    </row>
    <row r="243" spans="1:12" ht="14.25">
      <c r="A243" s="604"/>
      <c r="B243" s="604"/>
      <c r="C243" s="604"/>
      <c r="D243" s="604"/>
      <c r="E243" s="604"/>
      <c r="F243" s="604"/>
      <c r="G243" s="604"/>
      <c r="H243" s="604"/>
      <c r="I243" s="604"/>
      <c r="J243" s="604"/>
      <c r="K243" s="604"/>
      <c r="L243" s="604"/>
    </row>
    <row r="244" spans="1:12" ht="14.25">
      <c r="A244" s="604"/>
      <c r="B244" s="604"/>
      <c r="C244" s="604"/>
      <c r="D244" s="604"/>
      <c r="E244" s="604"/>
      <c r="F244" s="604"/>
      <c r="G244" s="604"/>
      <c r="H244" s="604"/>
      <c r="I244" s="604"/>
      <c r="J244" s="604"/>
      <c r="K244" s="604"/>
      <c r="L244" s="604"/>
    </row>
    <row r="245" spans="1:12" ht="14.25">
      <c r="A245" s="604"/>
      <c r="B245" s="604"/>
      <c r="C245" s="604"/>
      <c r="D245" s="604"/>
      <c r="E245" s="604"/>
      <c r="F245" s="604"/>
      <c r="G245" s="604"/>
      <c r="H245" s="604"/>
      <c r="I245" s="604"/>
      <c r="J245" s="604"/>
      <c r="K245" s="604"/>
      <c r="L245" s="604"/>
    </row>
    <row r="246" spans="1:12" ht="14.25">
      <c r="A246" s="604"/>
      <c r="B246" s="604"/>
      <c r="C246" s="604"/>
      <c r="D246" s="604"/>
      <c r="E246" s="604"/>
      <c r="F246" s="604"/>
      <c r="G246" s="604"/>
      <c r="H246" s="604"/>
      <c r="I246" s="604"/>
      <c r="J246" s="604"/>
      <c r="K246" s="604"/>
      <c r="L246" s="604"/>
    </row>
    <row r="247" spans="1:12" ht="14.25">
      <c r="A247" s="604"/>
      <c r="B247" s="604"/>
      <c r="C247" s="604"/>
      <c r="D247" s="604"/>
      <c r="E247" s="604"/>
      <c r="F247" s="604"/>
      <c r="G247" s="604"/>
      <c r="H247" s="604"/>
      <c r="I247" s="604"/>
      <c r="J247" s="604"/>
      <c r="K247" s="604"/>
      <c r="L247" s="604"/>
    </row>
    <row r="248" spans="1:12" ht="14.25">
      <c r="A248" s="604"/>
      <c r="B248" s="604"/>
      <c r="C248" s="604"/>
      <c r="D248" s="604"/>
      <c r="E248" s="604"/>
      <c r="F248" s="604"/>
      <c r="G248" s="604"/>
      <c r="H248" s="604"/>
      <c r="I248" s="604"/>
      <c r="J248" s="604"/>
      <c r="K248" s="604"/>
      <c r="L248" s="604"/>
    </row>
    <row r="249" spans="1:12" ht="14.25">
      <c r="A249" s="604"/>
      <c r="B249" s="604"/>
      <c r="C249" s="604"/>
      <c r="D249" s="604"/>
      <c r="E249" s="604"/>
      <c r="F249" s="604"/>
      <c r="G249" s="604"/>
      <c r="H249" s="604"/>
      <c r="I249" s="604"/>
      <c r="J249" s="604"/>
      <c r="K249" s="604"/>
      <c r="L249" s="604"/>
    </row>
    <row r="250" spans="1:12" ht="14.25">
      <c r="A250" s="604"/>
      <c r="B250" s="604"/>
      <c r="C250" s="604"/>
      <c r="D250" s="604"/>
      <c r="E250" s="604"/>
      <c r="F250" s="604"/>
      <c r="G250" s="604"/>
      <c r="H250" s="604"/>
      <c r="I250" s="604"/>
      <c r="J250" s="604"/>
      <c r="K250" s="604"/>
      <c r="L250" s="604"/>
    </row>
    <row r="251" spans="1:12" ht="14.25">
      <c r="A251" s="604"/>
      <c r="B251" s="604"/>
      <c r="C251" s="604"/>
      <c r="D251" s="604"/>
      <c r="E251" s="604"/>
      <c r="F251" s="604"/>
      <c r="G251" s="604"/>
      <c r="H251" s="604"/>
      <c r="I251" s="604"/>
      <c r="J251" s="604"/>
      <c r="K251" s="604"/>
      <c r="L251" s="604"/>
    </row>
    <row r="252" spans="1:12" ht="14.25">
      <c r="A252" s="604"/>
      <c r="B252" s="604"/>
      <c r="C252" s="604"/>
      <c r="D252" s="604"/>
      <c r="E252" s="604"/>
      <c r="F252" s="604"/>
      <c r="G252" s="604"/>
      <c r="H252" s="604"/>
      <c r="I252" s="604"/>
      <c r="J252" s="604"/>
      <c r="K252" s="604"/>
      <c r="L252" s="604"/>
    </row>
    <row r="253" spans="1:12" ht="14.25">
      <c r="A253" s="604"/>
      <c r="B253" s="604"/>
      <c r="C253" s="604"/>
      <c r="D253" s="604"/>
      <c r="E253" s="604"/>
      <c r="F253" s="604"/>
      <c r="G253" s="604"/>
      <c r="H253" s="604"/>
      <c r="I253" s="604"/>
      <c r="J253" s="604"/>
      <c r="K253" s="604"/>
      <c r="L253" s="604"/>
    </row>
    <row r="254" spans="1:12" ht="14.25">
      <c r="A254" s="604"/>
      <c r="B254" s="604"/>
      <c r="C254" s="604"/>
      <c r="D254" s="604"/>
      <c r="E254" s="604"/>
      <c r="F254" s="604"/>
      <c r="G254" s="604"/>
      <c r="H254" s="604"/>
      <c r="I254" s="604"/>
      <c r="J254" s="604"/>
      <c r="K254" s="604"/>
      <c r="L254" s="604"/>
    </row>
    <row r="255" spans="1:12" ht="14.25">
      <c r="A255" s="604"/>
      <c r="B255" s="604"/>
      <c r="C255" s="604"/>
      <c r="D255" s="604"/>
      <c r="E255" s="604"/>
      <c r="F255" s="604"/>
      <c r="G255" s="604"/>
      <c r="H255" s="604"/>
      <c r="I255" s="604"/>
      <c r="J255" s="604"/>
      <c r="K255" s="604"/>
      <c r="L255" s="604"/>
    </row>
    <row r="256" spans="1:12" ht="14.25">
      <c r="A256" s="604"/>
      <c r="B256" s="604"/>
      <c r="C256" s="604"/>
      <c r="D256" s="604"/>
      <c r="E256" s="604"/>
      <c r="F256" s="604"/>
      <c r="G256" s="604"/>
      <c r="H256" s="604"/>
      <c r="I256" s="604"/>
      <c r="J256" s="604"/>
      <c r="K256" s="604"/>
      <c r="L256" s="604"/>
    </row>
    <row r="257" spans="1:12" ht="14.25">
      <c r="A257" s="604"/>
      <c r="B257" s="604"/>
      <c r="C257" s="604"/>
      <c r="D257" s="604"/>
      <c r="E257" s="604"/>
      <c r="F257" s="604"/>
      <c r="G257" s="604"/>
      <c r="H257" s="604"/>
      <c r="I257" s="604"/>
      <c r="J257" s="604"/>
      <c r="K257" s="604"/>
      <c r="L257" s="604"/>
    </row>
    <row r="258" spans="1:12" ht="14.25">
      <c r="A258" s="604"/>
      <c r="B258" s="604"/>
      <c r="C258" s="604"/>
      <c r="D258" s="604"/>
      <c r="E258" s="604"/>
      <c r="F258" s="604"/>
      <c r="G258" s="604"/>
      <c r="H258" s="604"/>
      <c r="I258" s="604"/>
      <c r="J258" s="604"/>
      <c r="K258" s="604"/>
      <c r="L258" s="604"/>
    </row>
    <row r="259" spans="1:12" ht="14.25">
      <c r="A259" s="604"/>
      <c r="B259" s="604"/>
      <c r="C259" s="604"/>
      <c r="D259" s="604"/>
      <c r="E259" s="604"/>
      <c r="F259" s="604"/>
      <c r="G259" s="604"/>
      <c r="H259" s="604"/>
      <c r="I259" s="604"/>
      <c r="J259" s="604"/>
      <c r="K259" s="604"/>
      <c r="L259" s="604"/>
    </row>
    <row r="260" spans="1:12" ht="14.25">
      <c r="A260" s="604"/>
      <c r="B260" s="604"/>
      <c r="C260" s="604"/>
      <c r="D260" s="604"/>
      <c r="E260" s="604"/>
      <c r="F260" s="604"/>
      <c r="G260" s="604"/>
      <c r="H260" s="604"/>
      <c r="I260" s="604"/>
      <c r="J260" s="604"/>
      <c r="K260" s="604"/>
      <c r="L260" s="604"/>
    </row>
    <row r="261" spans="1:12" ht="14.25">
      <c r="A261" s="604"/>
      <c r="B261" s="604"/>
      <c r="C261" s="604"/>
      <c r="D261" s="604"/>
      <c r="E261" s="604"/>
      <c r="F261" s="604"/>
      <c r="G261" s="604"/>
      <c r="H261" s="604"/>
      <c r="I261" s="604"/>
      <c r="J261" s="604"/>
      <c r="K261" s="604"/>
      <c r="L261" s="604"/>
    </row>
    <row r="262" spans="1:12" ht="14.25">
      <c r="A262" s="604"/>
      <c r="B262" s="604"/>
      <c r="C262" s="604"/>
      <c r="D262" s="604"/>
      <c r="E262" s="604"/>
      <c r="F262" s="604"/>
      <c r="G262" s="604"/>
      <c r="H262" s="604"/>
      <c r="I262" s="604"/>
      <c r="J262" s="604"/>
      <c r="K262" s="604"/>
      <c r="L262" s="604"/>
    </row>
    <row r="263" spans="1:12" ht="14.25">
      <c r="A263" s="604"/>
      <c r="B263" s="604"/>
      <c r="C263" s="604"/>
      <c r="D263" s="604"/>
      <c r="E263" s="604"/>
      <c r="F263" s="604"/>
      <c r="G263" s="604"/>
      <c r="H263" s="604"/>
      <c r="I263" s="604"/>
      <c r="J263" s="604"/>
      <c r="K263" s="604"/>
      <c r="L263" s="604"/>
    </row>
    <row r="264" spans="1:12" ht="14.25">
      <c r="A264" s="604"/>
      <c r="B264" s="604"/>
      <c r="C264" s="604"/>
      <c r="D264" s="604"/>
      <c r="E264" s="604"/>
      <c r="F264" s="604"/>
      <c r="G264" s="604"/>
      <c r="H264" s="604"/>
      <c r="I264" s="604"/>
      <c r="J264" s="604"/>
      <c r="K264" s="604"/>
      <c r="L264" s="604"/>
    </row>
    <row r="265" spans="1:12" ht="14.25">
      <c r="A265" s="604"/>
      <c r="B265" s="604"/>
      <c r="C265" s="604"/>
      <c r="D265" s="604"/>
      <c r="E265" s="604"/>
      <c r="F265" s="604"/>
      <c r="G265" s="604"/>
      <c r="H265" s="604"/>
      <c r="I265" s="604"/>
      <c r="J265" s="604"/>
      <c r="K265" s="604"/>
      <c r="L265" s="604"/>
    </row>
    <row r="266" spans="1:12" ht="14.25">
      <c r="A266" s="604"/>
      <c r="B266" s="604"/>
      <c r="C266" s="604"/>
      <c r="D266" s="604"/>
      <c r="E266" s="604"/>
      <c r="F266" s="604"/>
      <c r="G266" s="604"/>
      <c r="H266" s="604"/>
      <c r="I266" s="604"/>
      <c r="J266" s="604"/>
      <c r="K266" s="604"/>
      <c r="L266" s="604"/>
    </row>
    <row r="267" spans="1:12" ht="14.25">
      <c r="A267" s="604"/>
      <c r="B267" s="604"/>
      <c r="C267" s="604"/>
      <c r="D267" s="604"/>
      <c r="E267" s="604"/>
      <c r="F267" s="604"/>
      <c r="G267" s="604"/>
      <c r="H267" s="604"/>
      <c r="I267" s="604"/>
      <c r="J267" s="604"/>
      <c r="K267" s="604"/>
      <c r="L267" s="604"/>
    </row>
    <row r="268" spans="1:12" ht="14.25">
      <c r="A268" s="604"/>
      <c r="B268" s="604"/>
      <c r="C268" s="604"/>
      <c r="D268" s="604"/>
      <c r="E268" s="604"/>
      <c r="F268" s="604"/>
      <c r="G268" s="604"/>
      <c r="H268" s="604"/>
      <c r="I268" s="604"/>
      <c r="J268" s="604"/>
      <c r="K268" s="604"/>
      <c r="L268" s="604"/>
    </row>
    <row r="269" spans="1:12" ht="14.25">
      <c r="A269" s="604"/>
      <c r="B269" s="604"/>
      <c r="C269" s="604"/>
      <c r="D269" s="604"/>
      <c r="E269" s="604"/>
      <c r="F269" s="604"/>
      <c r="G269" s="604"/>
      <c r="H269" s="604"/>
      <c r="I269" s="604"/>
      <c r="J269" s="604"/>
      <c r="K269" s="604"/>
      <c r="L269" s="604"/>
    </row>
    <row r="270" spans="1:12" ht="14.25">
      <c r="A270" s="604"/>
      <c r="B270" s="604"/>
      <c r="C270" s="604"/>
      <c r="D270" s="604"/>
      <c r="E270" s="604"/>
      <c r="F270" s="604"/>
      <c r="G270" s="604"/>
      <c r="H270" s="604"/>
      <c r="I270" s="604"/>
      <c r="J270" s="604"/>
      <c r="K270" s="604"/>
      <c r="L270" s="604"/>
    </row>
    <row r="271" spans="1:12" ht="14.25">
      <c r="A271" s="604"/>
      <c r="B271" s="604"/>
      <c r="C271" s="604"/>
      <c r="D271" s="604"/>
      <c r="E271" s="604"/>
      <c r="F271" s="604"/>
      <c r="G271" s="604"/>
      <c r="H271" s="604"/>
      <c r="I271" s="604"/>
      <c r="J271" s="604"/>
      <c r="K271" s="604"/>
      <c r="L271" s="604"/>
    </row>
    <row r="272" spans="1:12" ht="14.25">
      <c r="A272" s="604"/>
      <c r="B272" s="604"/>
      <c r="C272" s="604"/>
      <c r="D272" s="604"/>
      <c r="E272" s="604"/>
      <c r="F272" s="604"/>
      <c r="G272" s="604"/>
      <c r="H272" s="604"/>
      <c r="I272" s="604"/>
      <c r="J272" s="604"/>
      <c r="K272" s="604"/>
      <c r="L272" s="604"/>
    </row>
    <row r="273" spans="1:12" ht="14.25">
      <c r="A273" s="604"/>
      <c r="B273" s="604"/>
      <c r="C273" s="604"/>
      <c r="D273" s="604"/>
      <c r="E273" s="604"/>
      <c r="F273" s="604"/>
      <c r="G273" s="604"/>
      <c r="H273" s="604"/>
      <c r="I273" s="604"/>
      <c r="J273" s="604"/>
      <c r="K273" s="604"/>
      <c r="L273" s="604"/>
    </row>
    <row r="274" spans="1:12" ht="14.25">
      <c r="A274" s="604"/>
      <c r="B274" s="604"/>
      <c r="C274" s="604"/>
      <c r="D274" s="604"/>
      <c r="E274" s="604"/>
      <c r="F274" s="604"/>
      <c r="G274" s="604"/>
      <c r="H274" s="604"/>
      <c r="I274" s="604"/>
      <c r="J274" s="604"/>
      <c r="K274" s="604"/>
      <c r="L274" s="604"/>
    </row>
    <row r="275" spans="1:12" ht="14.25">
      <c r="A275" s="604"/>
      <c r="B275" s="604"/>
      <c r="C275" s="604"/>
      <c r="D275" s="604"/>
      <c r="E275" s="604"/>
      <c r="F275" s="604"/>
      <c r="G275" s="604"/>
      <c r="H275" s="604"/>
      <c r="I275" s="604"/>
      <c r="J275" s="604"/>
      <c r="K275" s="604"/>
      <c r="L275" s="604"/>
    </row>
    <row r="276" spans="1:12" ht="14.25">
      <c r="A276" s="604"/>
      <c r="B276" s="604"/>
      <c r="C276" s="604"/>
      <c r="D276" s="604"/>
      <c r="E276" s="604"/>
      <c r="F276" s="604"/>
      <c r="G276" s="604"/>
      <c r="H276" s="604"/>
      <c r="I276" s="604"/>
      <c r="J276" s="604"/>
      <c r="K276" s="604"/>
      <c r="L276" s="604"/>
    </row>
    <row r="277" spans="1:12" ht="14.25">
      <c r="A277" s="604"/>
      <c r="B277" s="604"/>
      <c r="C277" s="604"/>
      <c r="D277" s="604"/>
      <c r="E277" s="604"/>
      <c r="F277" s="604"/>
      <c r="G277" s="604"/>
      <c r="H277" s="604"/>
      <c r="I277" s="604"/>
      <c r="J277" s="604"/>
      <c r="K277" s="604"/>
      <c r="L277" s="604"/>
    </row>
    <row r="278" spans="1:12" ht="14.25">
      <c r="A278" s="604"/>
      <c r="B278" s="604"/>
      <c r="C278" s="604"/>
      <c r="D278" s="604"/>
      <c r="E278" s="604"/>
      <c r="F278" s="604"/>
      <c r="G278" s="604"/>
      <c r="H278" s="604"/>
      <c r="I278" s="604"/>
      <c r="J278" s="604"/>
      <c r="K278" s="604"/>
      <c r="L278" s="604"/>
    </row>
    <row r="279" spans="1:12" ht="14.25">
      <c r="A279" s="604"/>
      <c r="B279" s="604"/>
      <c r="C279" s="604"/>
      <c r="D279" s="604"/>
      <c r="E279" s="604"/>
      <c r="F279" s="604"/>
      <c r="G279" s="604"/>
      <c r="H279" s="604"/>
      <c r="I279" s="604"/>
      <c r="J279" s="604"/>
      <c r="K279" s="604"/>
      <c r="L279" s="604"/>
    </row>
    <row r="280" spans="1:12" ht="14.25">
      <c r="A280" s="604"/>
      <c r="B280" s="604"/>
      <c r="C280" s="604"/>
      <c r="D280" s="604"/>
      <c r="E280" s="604"/>
      <c r="F280" s="604"/>
      <c r="G280" s="604"/>
      <c r="H280" s="604"/>
      <c r="I280" s="604"/>
      <c r="J280" s="604"/>
      <c r="K280" s="604"/>
      <c r="L280" s="604"/>
    </row>
    <row r="281" spans="1:12" ht="14.25">
      <c r="A281" s="604"/>
      <c r="B281" s="604"/>
      <c r="C281" s="604"/>
      <c r="D281" s="604"/>
      <c r="E281" s="604"/>
      <c r="F281" s="604"/>
      <c r="G281" s="604"/>
      <c r="H281" s="604"/>
      <c r="I281" s="604"/>
      <c r="J281" s="604"/>
      <c r="K281" s="604"/>
      <c r="L281" s="604"/>
    </row>
    <row r="282" spans="1:12" ht="14.25">
      <c r="A282" s="604"/>
      <c r="B282" s="604"/>
      <c r="C282" s="604"/>
      <c r="D282" s="604"/>
      <c r="E282" s="604"/>
      <c r="F282" s="604"/>
      <c r="G282" s="604"/>
      <c r="H282" s="604"/>
      <c r="I282" s="604"/>
      <c r="J282" s="604"/>
      <c r="K282" s="604"/>
      <c r="L282" s="604"/>
    </row>
    <row r="283" spans="1:12" ht="14.25">
      <c r="A283" s="604"/>
      <c r="B283" s="604"/>
      <c r="C283" s="604"/>
      <c r="D283" s="604"/>
      <c r="E283" s="604"/>
      <c r="F283" s="604"/>
      <c r="G283" s="604"/>
      <c r="H283" s="604"/>
      <c r="I283" s="604"/>
      <c r="J283" s="604"/>
      <c r="K283" s="604"/>
      <c r="L283" s="604"/>
    </row>
    <row r="284" spans="1:12" ht="14.25">
      <c r="A284" s="604"/>
      <c r="B284" s="604"/>
      <c r="C284" s="604"/>
      <c r="D284" s="604"/>
      <c r="E284" s="604"/>
      <c r="F284" s="604"/>
      <c r="G284" s="604"/>
      <c r="H284" s="604"/>
      <c r="I284" s="604"/>
      <c r="J284" s="604"/>
      <c r="K284" s="604"/>
      <c r="L284" s="604"/>
    </row>
    <row r="285" spans="1:12" ht="14.25">
      <c r="A285" s="604"/>
      <c r="B285" s="604"/>
      <c r="C285" s="604"/>
      <c r="D285" s="604"/>
      <c r="E285" s="604"/>
      <c r="F285" s="604"/>
      <c r="G285" s="604"/>
      <c r="H285" s="604"/>
      <c r="I285" s="604"/>
      <c r="J285" s="604"/>
      <c r="K285" s="604"/>
      <c r="L285" s="604"/>
    </row>
    <row r="286" spans="1:12" ht="14.25">
      <c r="A286" s="604"/>
      <c r="B286" s="604"/>
      <c r="C286" s="604"/>
      <c r="D286" s="604"/>
      <c r="E286" s="604"/>
      <c r="F286" s="604"/>
      <c r="G286" s="604"/>
      <c r="H286" s="604"/>
      <c r="I286" s="604"/>
      <c r="J286" s="604"/>
      <c r="K286" s="604"/>
      <c r="L286" s="604"/>
    </row>
    <row r="287" spans="1:12" ht="14.25">
      <c r="A287" s="604"/>
      <c r="B287" s="604"/>
      <c r="C287" s="604"/>
      <c r="D287" s="604"/>
      <c r="E287" s="604"/>
      <c r="F287" s="604"/>
      <c r="G287" s="604"/>
      <c r="H287" s="604"/>
      <c r="I287" s="604"/>
      <c r="J287" s="604"/>
      <c r="K287" s="604"/>
      <c r="L287" s="604"/>
    </row>
    <row r="288" spans="1:12" ht="14.25">
      <c r="A288" s="604"/>
      <c r="B288" s="604"/>
      <c r="C288" s="604"/>
      <c r="D288" s="604"/>
      <c r="E288" s="604"/>
      <c r="F288" s="604"/>
      <c r="G288" s="604"/>
      <c r="H288" s="604"/>
      <c r="I288" s="604"/>
      <c r="J288" s="604"/>
      <c r="K288" s="604"/>
      <c r="L288" s="604"/>
    </row>
    <row r="289" spans="1:12" ht="14.25">
      <c r="A289" s="604"/>
      <c r="B289" s="604"/>
      <c r="C289" s="604"/>
      <c r="D289" s="604"/>
      <c r="E289" s="604"/>
      <c r="F289" s="604"/>
      <c r="G289" s="604"/>
      <c r="H289" s="604"/>
      <c r="I289" s="604"/>
      <c r="J289" s="604"/>
      <c r="K289" s="604"/>
      <c r="L289" s="604"/>
    </row>
    <row r="290" spans="1:12" ht="14.25">
      <c r="A290" s="604"/>
      <c r="B290" s="604"/>
      <c r="C290" s="604"/>
      <c r="D290" s="604"/>
      <c r="E290" s="604"/>
      <c r="F290" s="604"/>
      <c r="G290" s="604"/>
      <c r="H290" s="604"/>
      <c r="I290" s="604"/>
      <c r="J290" s="604"/>
      <c r="K290" s="604"/>
      <c r="L290" s="604"/>
    </row>
    <row r="291" spans="1:12" ht="14.25">
      <c r="A291" s="604"/>
      <c r="B291" s="604"/>
      <c r="C291" s="604"/>
      <c r="D291" s="604"/>
      <c r="E291" s="604"/>
      <c r="F291" s="604"/>
      <c r="G291" s="604"/>
      <c r="H291" s="604"/>
      <c r="I291" s="604"/>
      <c r="J291" s="604"/>
      <c r="K291" s="604"/>
      <c r="L291" s="604"/>
    </row>
    <row r="292" spans="1:12" ht="14.25">
      <c r="A292" s="604"/>
      <c r="B292" s="604"/>
      <c r="C292" s="604"/>
      <c r="D292" s="604"/>
      <c r="E292" s="604"/>
      <c r="F292" s="604"/>
      <c r="G292" s="604"/>
      <c r="H292" s="604"/>
      <c r="I292" s="604"/>
      <c r="J292" s="604"/>
      <c r="K292" s="604"/>
      <c r="L292" s="604"/>
    </row>
    <row r="293" spans="1:12" ht="14.25">
      <c r="A293" s="604"/>
      <c r="B293" s="604"/>
      <c r="C293" s="604"/>
      <c r="D293" s="604"/>
      <c r="E293" s="604"/>
      <c r="F293" s="604"/>
      <c r="G293" s="604"/>
      <c r="H293" s="604"/>
      <c r="I293" s="604"/>
      <c r="J293" s="604"/>
      <c r="K293" s="604"/>
      <c r="L293" s="604"/>
    </row>
    <row r="294" spans="1:12" ht="14.25">
      <c r="A294" s="604"/>
      <c r="B294" s="604"/>
      <c r="C294" s="604"/>
      <c r="D294" s="604"/>
      <c r="E294" s="604"/>
      <c r="F294" s="604"/>
      <c r="G294" s="604"/>
      <c r="H294" s="604"/>
      <c r="I294" s="604"/>
      <c r="J294" s="604"/>
      <c r="K294" s="604"/>
      <c r="L294" s="604"/>
    </row>
    <row r="295" spans="1:12" ht="14.25">
      <c r="A295" s="604"/>
      <c r="B295" s="604"/>
      <c r="C295" s="604"/>
      <c r="D295" s="604"/>
      <c r="E295" s="604"/>
      <c r="F295" s="604"/>
      <c r="G295" s="604"/>
      <c r="H295" s="604"/>
      <c r="I295" s="604"/>
      <c r="J295" s="604"/>
      <c r="K295" s="604"/>
      <c r="L295" s="604"/>
    </row>
    <row r="296" spans="1:12" ht="14.25">
      <c r="A296" s="604"/>
      <c r="B296" s="604"/>
      <c r="C296" s="604"/>
      <c r="D296" s="604"/>
      <c r="E296" s="604"/>
      <c r="F296" s="604"/>
      <c r="G296" s="604"/>
      <c r="H296" s="604"/>
      <c r="I296" s="604"/>
      <c r="J296" s="604"/>
      <c r="K296" s="604"/>
      <c r="L296" s="604"/>
    </row>
    <row r="297" spans="1:12" ht="14.25">
      <c r="A297" s="604"/>
      <c r="B297" s="604"/>
      <c r="C297" s="604"/>
      <c r="D297" s="604"/>
      <c r="E297" s="604"/>
      <c r="F297" s="604"/>
      <c r="G297" s="604"/>
      <c r="H297" s="604"/>
      <c r="I297" s="604"/>
      <c r="J297" s="604"/>
      <c r="K297" s="604"/>
      <c r="L297" s="604"/>
    </row>
    <row r="298" spans="1:12" ht="14.25">
      <c r="A298" s="604"/>
      <c r="B298" s="604"/>
      <c r="C298" s="604"/>
      <c r="D298" s="604"/>
      <c r="E298" s="604"/>
      <c r="F298" s="604"/>
      <c r="G298" s="604"/>
      <c r="H298" s="604"/>
      <c r="I298" s="604"/>
      <c r="J298" s="604"/>
      <c r="K298" s="604"/>
      <c r="L298" s="604"/>
    </row>
    <row r="299" spans="1:12" ht="14.25">
      <c r="A299" s="604"/>
      <c r="B299" s="604"/>
      <c r="C299" s="604"/>
      <c r="D299" s="604"/>
      <c r="E299" s="604"/>
      <c r="F299" s="604"/>
      <c r="G299" s="604"/>
      <c r="H299" s="604"/>
      <c r="I299" s="604"/>
      <c r="J299" s="604"/>
      <c r="K299" s="604"/>
      <c r="L299" s="604"/>
    </row>
    <row r="300" spans="1:12" ht="14.25">
      <c r="A300" s="604"/>
      <c r="B300" s="604"/>
      <c r="C300" s="604"/>
      <c r="D300" s="604"/>
      <c r="E300" s="604"/>
      <c r="F300" s="604"/>
      <c r="G300" s="604"/>
      <c r="H300" s="604"/>
      <c r="I300" s="604"/>
      <c r="J300" s="604"/>
      <c r="K300" s="604"/>
      <c r="L300" s="604"/>
    </row>
    <row r="301" spans="1:12" ht="14.25">
      <c r="A301" s="604"/>
      <c r="B301" s="604"/>
      <c r="C301" s="604"/>
      <c r="D301" s="604"/>
      <c r="E301" s="604"/>
      <c r="F301" s="604"/>
      <c r="G301" s="604"/>
      <c r="H301" s="604"/>
      <c r="I301" s="604"/>
      <c r="J301" s="604"/>
      <c r="K301" s="604"/>
      <c r="L301" s="604"/>
    </row>
    <row r="302" spans="1:12" ht="14.25">
      <c r="A302" s="604"/>
      <c r="B302" s="604"/>
      <c r="C302" s="604"/>
      <c r="D302" s="604"/>
      <c r="E302" s="604"/>
      <c r="F302" s="604"/>
      <c r="G302" s="604"/>
      <c r="H302" s="604"/>
      <c r="I302" s="604"/>
      <c r="J302" s="604"/>
      <c r="K302" s="604"/>
      <c r="L302" s="604"/>
    </row>
    <row r="303" spans="1:12" ht="14.25">
      <c r="A303" s="604"/>
      <c r="B303" s="604"/>
      <c r="C303" s="604"/>
      <c r="D303" s="604"/>
      <c r="E303" s="604"/>
      <c r="F303" s="604"/>
      <c r="G303" s="604"/>
      <c r="H303" s="604"/>
      <c r="I303" s="604"/>
      <c r="J303" s="604"/>
      <c r="K303" s="604"/>
      <c r="L303" s="604"/>
    </row>
    <row r="304" spans="1:12" ht="14.25">
      <c r="A304" s="604"/>
      <c r="B304" s="604"/>
      <c r="C304" s="604"/>
      <c r="D304" s="604"/>
      <c r="E304" s="604"/>
      <c r="F304" s="604"/>
      <c r="G304" s="604"/>
      <c r="H304" s="604"/>
      <c r="I304" s="604"/>
      <c r="J304" s="604"/>
      <c r="K304" s="604"/>
      <c r="L304" s="604"/>
    </row>
    <row r="305" spans="1:12" ht="14.25">
      <c r="A305" s="604"/>
      <c r="B305" s="604"/>
      <c r="C305" s="604"/>
      <c r="D305" s="604"/>
      <c r="E305" s="604"/>
      <c r="F305" s="604"/>
      <c r="G305" s="604"/>
      <c r="H305" s="604"/>
      <c r="I305" s="604"/>
      <c r="J305" s="604"/>
      <c r="K305" s="604"/>
      <c r="L305" s="604"/>
    </row>
    <row r="306" spans="1:12" ht="14.25">
      <c r="A306" s="604"/>
      <c r="B306" s="604"/>
      <c r="C306" s="604"/>
      <c r="D306" s="604"/>
      <c r="E306" s="604"/>
      <c r="F306" s="604"/>
      <c r="G306" s="604"/>
      <c r="H306" s="604"/>
      <c r="I306" s="604"/>
      <c r="J306" s="604"/>
      <c r="K306" s="604"/>
      <c r="L306" s="604"/>
    </row>
    <row r="307" spans="1:12" ht="14.25">
      <c r="A307" s="604"/>
      <c r="B307" s="604"/>
      <c r="C307" s="604"/>
      <c r="D307" s="604"/>
      <c r="E307" s="604"/>
      <c r="F307" s="604"/>
      <c r="G307" s="604"/>
      <c r="H307" s="604"/>
      <c r="I307" s="604"/>
      <c r="J307" s="604"/>
      <c r="K307" s="604"/>
      <c r="L307" s="604"/>
    </row>
    <row r="308" spans="1:12" ht="14.25">
      <c r="A308" s="604"/>
      <c r="B308" s="604"/>
      <c r="C308" s="604"/>
      <c r="D308" s="604"/>
      <c r="E308" s="604"/>
      <c r="F308" s="604"/>
      <c r="G308" s="604"/>
      <c r="H308" s="604"/>
      <c r="I308" s="604"/>
      <c r="J308" s="604"/>
      <c r="K308" s="604"/>
      <c r="L308" s="604"/>
    </row>
    <row r="309" spans="1:12" ht="14.25">
      <c r="A309" s="604"/>
      <c r="B309" s="604"/>
      <c r="C309" s="604"/>
      <c r="D309" s="604"/>
      <c r="E309" s="604"/>
      <c r="F309" s="604"/>
      <c r="G309" s="604"/>
      <c r="H309" s="604"/>
      <c r="I309" s="604"/>
      <c r="J309" s="604"/>
      <c r="K309" s="604"/>
      <c r="L309" s="604"/>
    </row>
    <row r="310" spans="1:12" ht="14.25">
      <c r="A310" s="604"/>
      <c r="B310" s="604"/>
      <c r="C310" s="604"/>
      <c r="D310" s="604"/>
      <c r="E310" s="604"/>
      <c r="F310" s="604"/>
      <c r="G310" s="604"/>
      <c r="H310" s="604"/>
      <c r="I310" s="604"/>
      <c r="J310" s="604"/>
      <c r="K310" s="604"/>
      <c r="L310" s="604"/>
    </row>
    <row r="311" spans="1:12" ht="14.25">
      <c r="A311" s="604"/>
      <c r="B311" s="604"/>
      <c r="C311" s="604"/>
      <c r="D311" s="604"/>
      <c r="E311" s="604"/>
      <c r="F311" s="604"/>
      <c r="G311" s="604"/>
      <c r="H311" s="604"/>
      <c r="I311" s="604"/>
      <c r="J311" s="604"/>
      <c r="K311" s="604"/>
      <c r="L311" s="604"/>
    </row>
    <row r="312" spans="1:12" ht="14.25">
      <c r="A312" s="604"/>
      <c r="B312" s="604"/>
      <c r="C312" s="604"/>
      <c r="D312" s="604"/>
      <c r="E312" s="604"/>
      <c r="F312" s="604"/>
      <c r="G312" s="604"/>
      <c r="H312" s="604"/>
      <c r="I312" s="604"/>
      <c r="J312" s="604"/>
      <c r="K312" s="604"/>
      <c r="L312" s="604"/>
    </row>
    <row r="313" spans="1:12" ht="14.25">
      <c r="A313" s="604"/>
      <c r="B313" s="604"/>
      <c r="C313" s="604"/>
      <c r="D313" s="604"/>
      <c r="E313" s="604"/>
      <c r="F313" s="604"/>
      <c r="G313" s="604"/>
      <c r="H313" s="604"/>
      <c r="I313" s="604"/>
      <c r="J313" s="604"/>
      <c r="K313" s="604"/>
      <c r="L313" s="604"/>
    </row>
    <row r="314" spans="1:12" ht="14.25">
      <c r="A314" s="604"/>
      <c r="B314" s="604"/>
      <c r="C314" s="604"/>
      <c r="D314" s="604"/>
      <c r="E314" s="604"/>
      <c r="F314" s="604"/>
      <c r="G314" s="604"/>
      <c r="H314" s="604"/>
      <c r="I314" s="604"/>
      <c r="J314" s="604"/>
      <c r="K314" s="604"/>
      <c r="L314" s="604"/>
    </row>
    <row r="315" spans="1:12" ht="14.25">
      <c r="A315" s="604"/>
      <c r="B315" s="604"/>
      <c r="C315" s="604"/>
      <c r="D315" s="604"/>
      <c r="E315" s="604"/>
      <c r="F315" s="604"/>
      <c r="G315" s="604"/>
      <c r="H315" s="604"/>
      <c r="I315" s="604"/>
      <c r="J315" s="604"/>
      <c r="K315" s="604"/>
      <c r="L315" s="604"/>
    </row>
    <row r="316" spans="1:12" ht="14.25">
      <c r="A316" s="604"/>
      <c r="B316" s="604"/>
      <c r="C316" s="604"/>
      <c r="D316" s="604"/>
      <c r="E316" s="604"/>
      <c r="F316" s="604"/>
      <c r="G316" s="604"/>
      <c r="H316" s="604"/>
      <c r="I316" s="604"/>
      <c r="J316" s="604"/>
      <c r="K316" s="604"/>
      <c r="L316" s="604"/>
    </row>
    <row r="317" spans="1:12" ht="14.25">
      <c r="A317" s="604"/>
      <c r="B317" s="604"/>
      <c r="C317" s="604"/>
      <c r="D317" s="604"/>
      <c r="E317" s="604"/>
      <c r="F317" s="604"/>
      <c r="G317" s="604"/>
      <c r="H317" s="604"/>
      <c r="I317" s="604"/>
      <c r="J317" s="604"/>
      <c r="K317" s="604"/>
      <c r="L317" s="604"/>
    </row>
    <row r="318" spans="1:12" ht="14.25">
      <c r="A318" s="604"/>
      <c r="B318" s="604"/>
      <c r="C318" s="604"/>
      <c r="D318" s="604"/>
      <c r="E318" s="604"/>
      <c r="F318" s="604"/>
      <c r="G318" s="604"/>
      <c r="H318" s="604"/>
      <c r="I318" s="604"/>
      <c r="J318" s="604"/>
      <c r="K318" s="604"/>
      <c r="L318" s="604"/>
    </row>
    <row r="319" spans="1:12" ht="14.25">
      <c r="A319" s="604"/>
      <c r="B319" s="604"/>
      <c r="C319" s="604"/>
      <c r="D319" s="604"/>
      <c r="E319" s="604"/>
      <c r="F319" s="604"/>
      <c r="G319" s="604"/>
      <c r="H319" s="604"/>
      <c r="I319" s="604"/>
      <c r="J319" s="604"/>
      <c r="K319" s="604"/>
      <c r="L319" s="604"/>
    </row>
    <row r="320" spans="1:12" ht="14.25">
      <c r="A320" s="604"/>
      <c r="B320" s="604"/>
      <c r="C320" s="604"/>
      <c r="D320" s="604"/>
      <c r="E320" s="604"/>
      <c r="F320" s="604"/>
      <c r="G320" s="604"/>
      <c r="H320" s="604"/>
      <c r="I320" s="604"/>
      <c r="J320" s="604"/>
      <c r="K320" s="604"/>
      <c r="L320" s="604"/>
    </row>
    <row r="321" spans="1:12" ht="14.25">
      <c r="A321" s="604"/>
      <c r="B321" s="604"/>
      <c r="C321" s="604"/>
      <c r="D321" s="604"/>
      <c r="E321" s="604"/>
      <c r="F321" s="604"/>
      <c r="G321" s="604"/>
      <c r="H321" s="604"/>
      <c r="I321" s="604"/>
      <c r="J321" s="604"/>
      <c r="K321" s="604"/>
      <c r="L321" s="604"/>
    </row>
    <row r="322" spans="1:12" ht="14.25">
      <c r="A322" s="604"/>
      <c r="B322" s="604"/>
      <c r="C322" s="604"/>
      <c r="D322" s="604"/>
      <c r="E322" s="604"/>
      <c r="F322" s="604"/>
      <c r="G322" s="604"/>
      <c r="H322" s="604"/>
      <c r="I322" s="604"/>
      <c r="J322" s="604"/>
      <c r="K322" s="604"/>
      <c r="L322" s="604"/>
    </row>
    <row r="323" spans="1:12" ht="14.25">
      <c r="A323" s="604"/>
      <c r="B323" s="604"/>
      <c r="C323" s="604"/>
      <c r="D323" s="604"/>
      <c r="E323" s="604"/>
      <c r="F323" s="604"/>
      <c r="G323" s="604"/>
      <c r="H323" s="604"/>
      <c r="I323" s="604"/>
      <c r="J323" s="604"/>
      <c r="K323" s="604"/>
      <c r="L323" s="604"/>
    </row>
    <row r="324" spans="1:12" ht="14.25">
      <c r="A324" s="604"/>
      <c r="B324" s="604"/>
      <c r="C324" s="604"/>
      <c r="D324" s="604"/>
      <c r="E324" s="604"/>
      <c r="F324" s="604"/>
      <c r="G324" s="604"/>
      <c r="H324" s="604"/>
      <c r="I324" s="604"/>
      <c r="J324" s="604"/>
      <c r="K324" s="604"/>
      <c r="L324" s="604"/>
    </row>
    <row r="325" spans="1:12" ht="14.25">
      <c r="A325" s="604"/>
      <c r="B325" s="604"/>
      <c r="C325" s="604"/>
      <c r="D325" s="604"/>
      <c r="E325" s="604"/>
      <c r="F325" s="604"/>
      <c r="G325" s="604"/>
      <c r="H325" s="604"/>
      <c r="I325" s="604"/>
      <c r="J325" s="604"/>
      <c r="K325" s="604"/>
      <c r="L325" s="604"/>
    </row>
    <row r="326" spans="1:12" ht="14.25">
      <c r="A326" s="604"/>
      <c r="B326" s="604"/>
      <c r="C326" s="604"/>
      <c r="D326" s="604"/>
      <c r="E326" s="604"/>
      <c r="F326" s="604"/>
      <c r="G326" s="604"/>
      <c r="H326" s="604"/>
      <c r="I326" s="604"/>
      <c r="J326" s="604"/>
      <c r="K326" s="604"/>
      <c r="L326" s="604"/>
    </row>
    <row r="327" spans="1:12" ht="14.25">
      <c r="A327" s="604"/>
      <c r="B327" s="604"/>
      <c r="C327" s="604"/>
      <c r="D327" s="604"/>
      <c r="E327" s="604"/>
      <c r="F327" s="604"/>
      <c r="G327" s="604"/>
      <c r="H327" s="604"/>
      <c r="I327" s="604"/>
      <c r="J327" s="604"/>
      <c r="K327" s="604"/>
      <c r="L327" s="604"/>
    </row>
    <row r="328" spans="1:12" ht="14.25">
      <c r="A328" s="604"/>
      <c r="B328" s="604"/>
      <c r="C328" s="604"/>
      <c r="D328" s="604"/>
      <c r="E328" s="604"/>
      <c r="F328" s="604"/>
      <c r="G328" s="604"/>
      <c r="H328" s="604"/>
      <c r="I328" s="604"/>
      <c r="J328" s="604"/>
      <c r="K328" s="604"/>
      <c r="L328" s="604"/>
    </row>
    <row r="329" spans="1:12" ht="14.25">
      <c r="A329" s="604"/>
      <c r="B329" s="604"/>
      <c r="C329" s="604"/>
      <c r="D329" s="604"/>
      <c r="E329" s="604"/>
      <c r="F329" s="604"/>
      <c r="G329" s="604"/>
      <c r="H329" s="604"/>
      <c r="I329" s="604"/>
      <c r="J329" s="604"/>
      <c r="K329" s="604"/>
      <c r="L329" s="604"/>
    </row>
    <row r="330" spans="1:12" ht="14.25">
      <c r="A330" s="604"/>
      <c r="B330" s="604"/>
      <c r="C330" s="604"/>
      <c r="D330" s="604"/>
      <c r="E330" s="604"/>
      <c r="F330" s="604"/>
      <c r="G330" s="604"/>
      <c r="H330" s="604"/>
      <c r="I330" s="604"/>
      <c r="J330" s="604"/>
      <c r="K330" s="604"/>
      <c r="L330" s="604"/>
    </row>
    <row r="331" spans="1:12" ht="14.25">
      <c r="A331" s="604"/>
      <c r="B331" s="604"/>
      <c r="C331" s="604"/>
      <c r="D331" s="604"/>
      <c r="E331" s="604"/>
      <c r="F331" s="604"/>
      <c r="G331" s="604"/>
      <c r="H331" s="604"/>
      <c r="I331" s="604"/>
      <c r="J331" s="604"/>
      <c r="K331" s="604"/>
      <c r="L331" s="604"/>
    </row>
    <row r="332" spans="1:12" ht="14.25">
      <c r="A332" s="604"/>
      <c r="B332" s="604"/>
      <c r="C332" s="604"/>
      <c r="D332" s="604"/>
      <c r="E332" s="604"/>
      <c r="F332" s="604"/>
      <c r="G332" s="604"/>
      <c r="H332" s="604"/>
      <c r="I332" s="604"/>
      <c r="J332" s="604"/>
      <c r="K332" s="604"/>
      <c r="L332" s="604"/>
    </row>
    <row r="333" spans="1:12" ht="14.25">
      <c r="A333" s="604"/>
      <c r="B333" s="604"/>
      <c r="C333" s="604"/>
      <c r="D333" s="604"/>
      <c r="E333" s="604"/>
      <c r="F333" s="604"/>
      <c r="G333" s="604"/>
      <c r="H333" s="604"/>
      <c r="I333" s="604"/>
      <c r="J333" s="604"/>
      <c r="K333" s="604"/>
      <c r="L333" s="604"/>
    </row>
    <row r="334" spans="1:12" ht="14.25">
      <c r="A334" s="604"/>
      <c r="B334" s="604"/>
      <c r="C334" s="604"/>
      <c r="D334" s="604"/>
      <c r="E334" s="604"/>
      <c r="F334" s="604"/>
      <c r="G334" s="604"/>
      <c r="H334" s="604"/>
      <c r="I334" s="604"/>
      <c r="J334" s="604"/>
      <c r="K334" s="604"/>
      <c r="L334" s="604"/>
    </row>
    <row r="335" spans="1:12" ht="14.25">
      <c r="A335" s="604"/>
      <c r="B335" s="604"/>
      <c r="C335" s="604"/>
      <c r="D335" s="604"/>
      <c r="E335" s="604"/>
      <c r="F335" s="604"/>
      <c r="G335" s="604"/>
      <c r="H335" s="604"/>
      <c r="I335" s="604"/>
      <c r="J335" s="604"/>
      <c r="K335" s="604"/>
      <c r="L335" s="604"/>
    </row>
    <row r="336" spans="1:12" ht="14.25">
      <c r="A336" s="604"/>
      <c r="B336" s="604"/>
      <c r="C336" s="604"/>
      <c r="D336" s="604"/>
      <c r="E336" s="604"/>
      <c r="F336" s="604"/>
      <c r="G336" s="604"/>
      <c r="H336" s="604"/>
      <c r="I336" s="604"/>
      <c r="J336" s="604"/>
      <c r="K336" s="604"/>
      <c r="L336" s="604"/>
    </row>
    <row r="337" spans="1:12" ht="14.25">
      <c r="A337" s="604"/>
      <c r="B337" s="604"/>
      <c r="C337" s="604"/>
      <c r="D337" s="604"/>
      <c r="E337" s="604"/>
      <c r="F337" s="604"/>
      <c r="G337" s="604"/>
      <c r="H337" s="604"/>
      <c r="I337" s="604"/>
      <c r="J337" s="604"/>
      <c r="K337" s="604"/>
      <c r="L337" s="604"/>
    </row>
    <row r="338" spans="1:12" ht="14.25">
      <c r="A338" s="604"/>
      <c r="B338" s="604"/>
      <c r="C338" s="604"/>
      <c r="D338" s="604"/>
      <c r="E338" s="604"/>
      <c r="F338" s="604"/>
      <c r="G338" s="604"/>
      <c r="H338" s="604"/>
      <c r="I338" s="604"/>
      <c r="J338" s="604"/>
      <c r="K338" s="604"/>
      <c r="L338" s="604"/>
    </row>
    <row r="339" spans="1:12" ht="14.25">
      <c r="A339" s="604"/>
      <c r="B339" s="604"/>
      <c r="C339" s="604"/>
      <c r="D339" s="604"/>
      <c r="E339" s="604"/>
      <c r="F339" s="604"/>
      <c r="G339" s="604"/>
      <c r="H339" s="604"/>
      <c r="I339" s="604"/>
      <c r="J339" s="604"/>
      <c r="K339" s="604"/>
      <c r="L339" s="604"/>
    </row>
    <row r="340" spans="1:12" ht="14.25">
      <c r="A340" s="604"/>
      <c r="B340" s="604"/>
      <c r="C340" s="604"/>
      <c r="D340" s="604"/>
      <c r="E340" s="604"/>
      <c r="F340" s="604"/>
      <c r="G340" s="604"/>
      <c r="H340" s="604"/>
      <c r="I340" s="604"/>
      <c r="J340" s="604"/>
      <c r="K340" s="604"/>
      <c r="L340" s="604"/>
    </row>
    <row r="341" spans="1:12" ht="14.25">
      <c r="A341" s="604"/>
      <c r="B341" s="604"/>
      <c r="C341" s="604"/>
      <c r="D341" s="604"/>
      <c r="E341" s="604"/>
      <c r="F341" s="604"/>
      <c r="G341" s="604"/>
      <c r="H341" s="604"/>
      <c r="I341" s="604"/>
      <c r="J341" s="604"/>
      <c r="K341" s="604"/>
      <c r="L341" s="604"/>
    </row>
    <row r="342" spans="1:12" ht="14.25">
      <c r="A342" s="604"/>
      <c r="B342" s="604"/>
      <c r="C342" s="604"/>
      <c r="D342" s="604"/>
      <c r="E342" s="604"/>
      <c r="F342" s="604"/>
      <c r="G342" s="604"/>
      <c r="H342" s="604"/>
      <c r="I342" s="604"/>
      <c r="J342" s="604"/>
      <c r="K342" s="604"/>
      <c r="L342" s="604"/>
    </row>
    <row r="343" spans="1:12" ht="14.25">
      <c r="A343" s="604"/>
      <c r="B343" s="604"/>
      <c r="C343" s="604"/>
      <c r="D343" s="604"/>
      <c r="E343" s="604"/>
      <c r="F343" s="604"/>
      <c r="G343" s="604"/>
      <c r="H343" s="604"/>
      <c r="I343" s="604"/>
      <c r="J343" s="604"/>
      <c r="K343" s="604"/>
      <c r="L343" s="604"/>
    </row>
    <row r="344" spans="1:12" ht="14.25">
      <c r="A344" s="604"/>
      <c r="B344" s="604"/>
      <c r="C344" s="604"/>
      <c r="D344" s="604"/>
      <c r="E344" s="604"/>
      <c r="F344" s="604"/>
      <c r="G344" s="604"/>
      <c r="H344" s="604"/>
      <c r="I344" s="604"/>
      <c r="J344" s="604"/>
      <c r="K344" s="604"/>
      <c r="L344" s="604"/>
    </row>
    <row r="345" spans="1:12" ht="14.25">
      <c r="A345" s="604"/>
      <c r="B345" s="604"/>
      <c r="C345" s="604"/>
      <c r="D345" s="604"/>
      <c r="E345" s="604"/>
      <c r="F345" s="604"/>
      <c r="G345" s="604"/>
      <c r="H345" s="604"/>
      <c r="I345" s="604"/>
      <c r="J345" s="604"/>
      <c r="K345" s="604"/>
      <c r="L345" s="604"/>
    </row>
    <row r="346" spans="1:12" ht="14.25">
      <c r="A346" s="604"/>
      <c r="B346" s="604"/>
      <c r="C346" s="604"/>
      <c r="D346" s="604"/>
      <c r="E346" s="604"/>
      <c r="F346" s="604"/>
      <c r="G346" s="604"/>
      <c r="H346" s="604"/>
      <c r="I346" s="604"/>
      <c r="J346" s="604"/>
      <c r="K346" s="604"/>
      <c r="L346" s="604"/>
    </row>
    <row r="347" spans="1:12" ht="14.25">
      <c r="A347" s="604"/>
      <c r="B347" s="604"/>
      <c r="C347" s="604"/>
      <c r="D347" s="604"/>
      <c r="E347" s="604"/>
      <c r="F347" s="604"/>
      <c r="G347" s="604"/>
      <c r="H347" s="604"/>
      <c r="I347" s="604"/>
      <c r="J347" s="604"/>
      <c r="K347" s="604"/>
      <c r="L347" s="604"/>
    </row>
    <row r="348" spans="1:12" ht="14.25">
      <c r="A348" s="604"/>
      <c r="B348" s="604"/>
      <c r="C348" s="604"/>
      <c r="D348" s="604"/>
      <c r="E348" s="604"/>
      <c r="F348" s="604"/>
      <c r="G348" s="604"/>
      <c r="H348" s="604"/>
      <c r="I348" s="604"/>
      <c r="J348" s="604"/>
      <c r="K348" s="604"/>
      <c r="L348" s="604"/>
    </row>
    <row r="349" spans="1:12" ht="14.25">
      <c r="A349" s="604"/>
      <c r="B349" s="604"/>
      <c r="C349" s="604"/>
      <c r="D349" s="604"/>
      <c r="E349" s="604"/>
      <c r="F349" s="604"/>
      <c r="G349" s="604"/>
      <c r="H349" s="604"/>
      <c r="I349" s="604"/>
      <c r="J349" s="604"/>
      <c r="K349" s="604"/>
      <c r="L349" s="604"/>
    </row>
    <row r="350" spans="1:12" ht="14.25">
      <c r="A350" s="604"/>
      <c r="B350" s="604"/>
      <c r="C350" s="604"/>
      <c r="D350" s="604"/>
      <c r="E350" s="604"/>
      <c r="F350" s="604"/>
      <c r="G350" s="604"/>
      <c r="H350" s="604"/>
      <c r="I350" s="604"/>
      <c r="J350" s="604"/>
      <c r="K350" s="604"/>
      <c r="L350" s="604"/>
    </row>
    <row r="351" spans="1:12" ht="14.25">
      <c r="A351" s="604"/>
      <c r="B351" s="604"/>
      <c r="C351" s="604"/>
      <c r="D351" s="604"/>
      <c r="E351" s="604"/>
      <c r="F351" s="604"/>
      <c r="G351" s="604"/>
      <c r="H351" s="604"/>
      <c r="I351" s="604"/>
      <c r="J351" s="604"/>
      <c r="K351" s="604"/>
      <c r="L351" s="604"/>
    </row>
    <row r="352" spans="1:12" ht="14.25">
      <c r="A352" s="604"/>
      <c r="B352" s="604"/>
      <c r="C352" s="604"/>
      <c r="D352" s="604"/>
      <c r="E352" s="604"/>
      <c r="F352" s="604"/>
      <c r="G352" s="604"/>
      <c r="H352" s="604"/>
      <c r="I352" s="604"/>
      <c r="J352" s="604"/>
      <c r="K352" s="604"/>
      <c r="L352" s="604"/>
    </row>
    <row r="353" spans="1:12" ht="14.25">
      <c r="A353" s="604"/>
      <c r="B353" s="604"/>
      <c r="C353" s="604"/>
      <c r="D353" s="604"/>
      <c r="E353" s="604"/>
      <c r="F353" s="604"/>
      <c r="G353" s="604"/>
      <c r="H353" s="604"/>
      <c r="I353" s="604"/>
      <c r="J353" s="604"/>
      <c r="K353" s="604"/>
      <c r="L353" s="604"/>
    </row>
    <row r="354" spans="1:12" ht="14.25">
      <c r="A354" s="604"/>
      <c r="B354" s="604"/>
      <c r="C354" s="604"/>
      <c r="D354" s="604"/>
      <c r="E354" s="604"/>
      <c r="F354" s="604"/>
      <c r="G354" s="604"/>
      <c r="H354" s="604"/>
      <c r="I354" s="604"/>
      <c r="J354" s="604"/>
      <c r="K354" s="604"/>
      <c r="L354" s="604"/>
    </row>
  </sheetData>
  <sheetProtection sheet="1" objects="1" scenarios="1"/>
  <mergeCells count="55">
    <mergeCell ref="H134:I134"/>
    <mergeCell ref="C136:D136"/>
    <mergeCell ref="C137:D137"/>
    <mergeCell ref="B108:K108"/>
    <mergeCell ref="B125:K125"/>
    <mergeCell ref="C148:D148"/>
    <mergeCell ref="J148:K148"/>
    <mergeCell ref="B144:K144"/>
    <mergeCell ref="C147:D147"/>
    <mergeCell ref="J147:K147"/>
    <mergeCell ref="B126:K126"/>
    <mergeCell ref="B128:K128"/>
    <mergeCell ref="B90:K90"/>
    <mergeCell ref="C94:D94"/>
    <mergeCell ref="C97:D97"/>
    <mergeCell ref="C100:D100"/>
    <mergeCell ref="B105:K105"/>
    <mergeCell ref="B106:K106"/>
    <mergeCell ref="C117:D117"/>
    <mergeCell ref="C103:D103"/>
    <mergeCell ref="B88:K88"/>
    <mergeCell ref="B30:K30"/>
    <mergeCell ref="B31:K31"/>
    <mergeCell ref="B33:K33"/>
    <mergeCell ref="B35:K35"/>
    <mergeCell ref="C41:D41"/>
    <mergeCell ref="B48:C48"/>
    <mergeCell ref="G50:H50"/>
    <mergeCell ref="I51:K51"/>
    <mergeCell ref="B52:K52"/>
    <mergeCell ref="B86:K86"/>
    <mergeCell ref="B53:K53"/>
    <mergeCell ref="B58:K58"/>
    <mergeCell ref="C74:D74"/>
    <mergeCell ref="C77:D77"/>
    <mergeCell ref="C80:D80"/>
    <mergeCell ref="B55:K55"/>
    <mergeCell ref="B57:K57"/>
    <mergeCell ref="B6:K6"/>
    <mergeCell ref="B7:K7"/>
    <mergeCell ref="B8:K8"/>
    <mergeCell ref="B10:K10"/>
    <mergeCell ref="B12:K12"/>
    <mergeCell ref="C25:D25"/>
    <mergeCell ref="F23:G23"/>
    <mergeCell ref="C83:D83"/>
    <mergeCell ref="B85:K85"/>
    <mergeCell ref="C134:D134"/>
    <mergeCell ref="B110:K110"/>
    <mergeCell ref="C120:D120"/>
    <mergeCell ref="C123:D123"/>
    <mergeCell ref="B130:K130"/>
    <mergeCell ref="C133:D133"/>
    <mergeCell ref="H133:I133"/>
    <mergeCell ref="C114:D114"/>
  </mergeCells>
  <printOptions/>
  <pageMargins left="0.24" right="0.23" top="0.75" bottom="0.75" header="0.33" footer="0.3"/>
  <pageSetup horizontalDpi="600" verticalDpi="600" orientation="portrait" scale="93" r:id="rId1"/>
  <colBreaks count="1" manualBreakCount="1">
    <brk id="11" max="65535" man="1"/>
  </colBreaks>
</worksheet>
</file>

<file path=xl/worksheets/sheet38.xml><?xml version="1.0" encoding="utf-8"?>
<worksheet xmlns="http://schemas.openxmlformats.org/spreadsheetml/2006/main" xmlns:r="http://schemas.openxmlformats.org/officeDocument/2006/relationships">
  <dimension ref="A1:A40"/>
  <sheetViews>
    <sheetView zoomScalePageLayoutView="0" workbookViewId="0" topLeftCell="A1">
      <selection activeCell="A5" sqref="A5"/>
    </sheetView>
  </sheetViews>
  <sheetFormatPr defaultColWidth="8.796875" defaultRowHeight="15"/>
  <cols>
    <col min="1" max="1" width="71.19921875" style="0" customWidth="1"/>
  </cols>
  <sheetData>
    <row r="1" ht="16.5">
      <c r="A1" s="533" t="s">
        <v>841</v>
      </c>
    </row>
    <row r="3" ht="31.5">
      <c r="A3" s="534" t="s">
        <v>842</v>
      </c>
    </row>
    <row r="4" ht="15.75">
      <c r="A4" s="535" t="s">
        <v>843</v>
      </c>
    </row>
    <row r="7" ht="31.5">
      <c r="A7" s="534" t="s">
        <v>844</v>
      </c>
    </row>
    <row r="8" ht="15.75">
      <c r="A8" s="535" t="s">
        <v>845</v>
      </c>
    </row>
    <row r="11" ht="15.75">
      <c r="A11" s="532" t="s">
        <v>846</v>
      </c>
    </row>
    <row r="12" ht="15.75">
      <c r="A12" s="535" t="s">
        <v>847</v>
      </c>
    </row>
    <row r="15" ht="15.75">
      <c r="A15" s="532" t="s">
        <v>848</v>
      </c>
    </row>
    <row r="16" ht="15.75">
      <c r="A16" s="535" t="s">
        <v>849</v>
      </c>
    </row>
    <row r="19" ht="15.75">
      <c r="A19" s="532" t="s">
        <v>850</v>
      </c>
    </row>
    <row r="20" ht="15.75">
      <c r="A20" s="535" t="s">
        <v>851</v>
      </c>
    </row>
    <row r="23" ht="15.75">
      <c r="A23" s="532" t="s">
        <v>852</v>
      </c>
    </row>
    <row r="24" ht="15.75">
      <c r="A24" s="535" t="s">
        <v>853</v>
      </c>
    </row>
    <row r="27" ht="15.75">
      <c r="A27" s="532" t="s">
        <v>854</v>
      </c>
    </row>
    <row r="28" ht="15.75">
      <c r="A28" s="535" t="s">
        <v>855</v>
      </c>
    </row>
    <row r="31" ht="15.75">
      <c r="A31" s="532" t="s">
        <v>856</v>
      </c>
    </row>
    <row r="32" ht="15.75">
      <c r="A32" s="535" t="s">
        <v>857</v>
      </c>
    </row>
    <row r="35" ht="15.75">
      <c r="A35" s="532" t="s">
        <v>858</v>
      </c>
    </row>
    <row r="36" ht="15.75">
      <c r="A36" s="535" t="s">
        <v>859</v>
      </c>
    </row>
    <row r="39" ht="15.75">
      <c r="A39" s="532" t="s">
        <v>860</v>
      </c>
    </row>
    <row r="40" ht="15.75">
      <c r="A40" s="535" t="s">
        <v>861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171"/>
  <sheetViews>
    <sheetView zoomScalePageLayoutView="0" workbookViewId="0" topLeftCell="A1">
      <selection activeCell="F16" sqref="F16"/>
    </sheetView>
  </sheetViews>
  <sheetFormatPr defaultColWidth="8.796875" defaultRowHeight="15"/>
  <cols>
    <col min="1" max="1" width="80.09765625" style="70" customWidth="1"/>
    <col min="2" max="16384" width="8.8984375" style="70" customWidth="1"/>
  </cols>
  <sheetData>
    <row r="1" ht="15.75">
      <c r="A1" s="423" t="s">
        <v>323</v>
      </c>
    </row>
    <row r="2" ht="15.75">
      <c r="A2" s="70" t="s">
        <v>322</v>
      </c>
    </row>
    <row r="4" ht="15.75">
      <c r="A4" s="423" t="s">
        <v>319</v>
      </c>
    </row>
    <row r="5" ht="15.75">
      <c r="A5" s="703" t="s">
        <v>320</v>
      </c>
    </row>
    <row r="7" ht="15.75">
      <c r="A7" s="423" t="s">
        <v>426</v>
      </c>
    </row>
    <row r="8" ht="15.75">
      <c r="A8" s="703" t="s">
        <v>422</v>
      </c>
    </row>
    <row r="9" ht="15.75">
      <c r="A9" s="70" t="s">
        <v>423</v>
      </c>
    </row>
    <row r="10" ht="15.75">
      <c r="A10" s="70" t="s">
        <v>424</v>
      </c>
    </row>
    <row r="11" ht="15.75">
      <c r="A11" s="70" t="s">
        <v>425</v>
      </c>
    </row>
    <row r="12" ht="15.75">
      <c r="A12" s="70" t="s">
        <v>427</v>
      </c>
    </row>
    <row r="13" ht="15.75">
      <c r="A13" s="70" t="s">
        <v>428</v>
      </c>
    </row>
    <row r="14" ht="15.75">
      <c r="A14" s="70" t="s">
        <v>429</v>
      </c>
    </row>
    <row r="15" ht="15.75">
      <c r="A15" s="70" t="s">
        <v>430</v>
      </c>
    </row>
    <row r="16" ht="15.75">
      <c r="A16" s="70" t="s">
        <v>431</v>
      </c>
    </row>
    <row r="17" ht="15.75">
      <c r="A17" s="70" t="s">
        <v>432</v>
      </c>
    </row>
    <row r="18" ht="15.75">
      <c r="A18" s="70" t="s">
        <v>433</v>
      </c>
    </row>
    <row r="19" ht="15.75">
      <c r="A19" s="70" t="s">
        <v>434</v>
      </c>
    </row>
    <row r="20" ht="47.25">
      <c r="A20" s="72" t="s">
        <v>435</v>
      </c>
    </row>
    <row r="21" ht="31.5">
      <c r="A21" s="72" t="s">
        <v>436</v>
      </c>
    </row>
    <row r="22" ht="15.75">
      <c r="A22" s="70" t="s">
        <v>437</v>
      </c>
    </row>
    <row r="23" ht="15.75">
      <c r="A23" s="70" t="s">
        <v>438</v>
      </c>
    </row>
    <row r="24" ht="15.75">
      <c r="A24" s="70" t="s">
        <v>439</v>
      </c>
    </row>
    <row r="25" ht="15.75">
      <c r="A25" s="70" t="s">
        <v>440</v>
      </c>
    </row>
    <row r="26" ht="15.75">
      <c r="A26" s="70" t="s">
        <v>441</v>
      </c>
    </row>
    <row r="27" ht="15.75">
      <c r="A27" s="70" t="s">
        <v>442</v>
      </c>
    </row>
    <row r="28" ht="15.75">
      <c r="A28" s="70" t="s">
        <v>443</v>
      </c>
    </row>
    <row r="29" ht="15.75">
      <c r="A29" s="70" t="s">
        <v>444</v>
      </c>
    </row>
    <row r="30" ht="15.75">
      <c r="A30" s="70" t="s">
        <v>445</v>
      </c>
    </row>
    <row r="31" ht="15.75">
      <c r="A31" s="70" t="s">
        <v>446</v>
      </c>
    </row>
    <row r="32" ht="15.75">
      <c r="A32" s="70" t="s">
        <v>447</v>
      </c>
    </row>
    <row r="33" ht="15.75">
      <c r="A33" s="70" t="s">
        <v>448</v>
      </c>
    </row>
    <row r="38" ht="15.75">
      <c r="A38" s="423" t="s">
        <v>909</v>
      </c>
    </row>
    <row r="39" ht="15.75">
      <c r="A39" s="531" t="s">
        <v>910</v>
      </c>
    </row>
    <row r="41" ht="15.75">
      <c r="A41" s="423" t="s">
        <v>818</v>
      </c>
    </row>
    <row r="42" ht="15.75">
      <c r="A42" s="531" t="s">
        <v>819</v>
      </c>
    </row>
    <row r="43" ht="15.75">
      <c r="A43" s="531" t="s">
        <v>820</v>
      </c>
    </row>
    <row r="44" ht="15.75">
      <c r="A44" s="530" t="s">
        <v>821</v>
      </c>
    </row>
    <row r="45" ht="15.75">
      <c r="A45" s="531" t="s">
        <v>822</v>
      </c>
    </row>
    <row r="46" ht="15.75">
      <c r="A46" s="531" t="s">
        <v>823</v>
      </c>
    </row>
    <row r="47" ht="15.75">
      <c r="A47" s="531" t="s">
        <v>824</v>
      </c>
    </row>
    <row r="48" ht="15.75">
      <c r="A48" s="531" t="s">
        <v>825</v>
      </c>
    </row>
    <row r="49" ht="15.75">
      <c r="A49" s="531" t="s">
        <v>826</v>
      </c>
    </row>
    <row r="50" ht="15.75">
      <c r="A50" s="531" t="s">
        <v>827</v>
      </c>
    </row>
    <row r="51" ht="15.75">
      <c r="A51" s="531" t="s">
        <v>828</v>
      </c>
    </row>
    <row r="52" ht="15.75">
      <c r="A52" s="531" t="s">
        <v>829</v>
      </c>
    </row>
    <row r="53" ht="15.75">
      <c r="A53" s="531" t="s">
        <v>830</v>
      </c>
    </row>
    <row r="54" ht="15.75">
      <c r="A54" s="531" t="s">
        <v>831</v>
      </c>
    </row>
    <row r="55" ht="15.75">
      <c r="A55" s="531" t="s">
        <v>832</v>
      </c>
    </row>
    <row r="56" ht="15.75">
      <c r="A56" s="531" t="s">
        <v>833</v>
      </c>
    </row>
    <row r="57" ht="15.75">
      <c r="A57" s="531" t="s">
        <v>834</v>
      </c>
    </row>
    <row r="58" ht="15.75">
      <c r="A58" s="531" t="s">
        <v>835</v>
      </c>
    </row>
    <row r="59" ht="15.75">
      <c r="A59" s="531" t="s">
        <v>836</v>
      </c>
    </row>
    <row r="60" ht="15.75">
      <c r="A60" s="531" t="s">
        <v>837</v>
      </c>
    </row>
    <row r="61" ht="15.75">
      <c r="A61" s="531" t="s">
        <v>838</v>
      </c>
    </row>
    <row r="62" ht="15.75">
      <c r="A62" s="530" t="s">
        <v>839</v>
      </c>
    </row>
    <row r="63" ht="15.75">
      <c r="A63" s="70" t="s">
        <v>840</v>
      </c>
    </row>
    <row r="69" ht="15.75">
      <c r="A69" s="423" t="s">
        <v>799</v>
      </c>
    </row>
    <row r="70" ht="15.75">
      <c r="A70" s="70" t="s">
        <v>800</v>
      </c>
    </row>
    <row r="72" ht="15.75">
      <c r="A72" s="423" t="s">
        <v>793</v>
      </c>
    </row>
    <row r="73" ht="15.75">
      <c r="A73" s="70" t="s">
        <v>794</v>
      </c>
    </row>
    <row r="74" ht="15.75">
      <c r="A74" s="70" t="s">
        <v>795</v>
      </c>
    </row>
    <row r="75" ht="15.75">
      <c r="A75" s="70" t="s">
        <v>796</v>
      </c>
    </row>
    <row r="77" ht="15.75">
      <c r="A77" s="436" t="s">
        <v>782</v>
      </c>
    </row>
    <row r="78" ht="15.75">
      <c r="A78" s="70" t="s">
        <v>792</v>
      </c>
    </row>
    <row r="80" ht="15.75">
      <c r="A80" s="423" t="s">
        <v>477</v>
      </c>
    </row>
    <row r="81" ht="15.75">
      <c r="A81" s="424" t="s">
        <v>478</v>
      </c>
    </row>
    <row r="82" ht="15.75">
      <c r="A82" s="424" t="s">
        <v>479</v>
      </c>
    </row>
    <row r="83" ht="15.75">
      <c r="A83" s="424" t="s">
        <v>480</v>
      </c>
    </row>
    <row r="84" ht="15.75">
      <c r="A84" s="70" t="s">
        <v>481</v>
      </c>
    </row>
    <row r="86" ht="15.75">
      <c r="A86" s="402" t="s">
        <v>397</v>
      </c>
    </row>
    <row r="87" ht="15.75">
      <c r="A87" s="70" t="s">
        <v>398</v>
      </c>
    </row>
    <row r="88" ht="15.75">
      <c r="A88" s="70" t="s">
        <v>399</v>
      </c>
    </row>
    <row r="89" ht="15.75">
      <c r="A89" s="70" t="s">
        <v>400</v>
      </c>
    </row>
    <row r="90" ht="15.75">
      <c r="A90" s="70" t="s">
        <v>689</v>
      </c>
    </row>
    <row r="91" ht="15.75">
      <c r="A91" s="70" t="s">
        <v>688</v>
      </c>
    </row>
    <row r="92" ht="15.75">
      <c r="A92" s="70" t="s">
        <v>690</v>
      </c>
    </row>
    <row r="93" ht="15.75">
      <c r="A93" s="70" t="s">
        <v>692</v>
      </c>
    </row>
    <row r="94" ht="22.5" customHeight="1">
      <c r="A94" s="72" t="s">
        <v>691</v>
      </c>
    </row>
    <row r="95" ht="22.5" customHeight="1">
      <c r="A95" s="72" t="s">
        <v>463</v>
      </c>
    </row>
    <row r="96" ht="22.5" customHeight="1">
      <c r="A96" s="412" t="s">
        <v>467</v>
      </c>
    </row>
    <row r="98" ht="15.75">
      <c r="A98" s="402" t="s">
        <v>390</v>
      </c>
    </row>
    <row r="99" ht="15.75">
      <c r="A99" s="70" t="s">
        <v>391</v>
      </c>
    </row>
    <row r="100" ht="15.75">
      <c r="A100" s="70" t="s">
        <v>392</v>
      </c>
    </row>
    <row r="102" ht="15.75">
      <c r="A102" s="402" t="s">
        <v>272</v>
      </c>
    </row>
    <row r="103" ht="15.75">
      <c r="A103" s="70" t="s">
        <v>893</v>
      </c>
    </row>
    <row r="104" ht="15.75">
      <c r="A104" s="70" t="s">
        <v>894</v>
      </c>
    </row>
    <row r="105" ht="15.75">
      <c r="A105" s="70" t="s">
        <v>254</v>
      </c>
    </row>
    <row r="106" ht="15.75">
      <c r="A106" s="70" t="s">
        <v>255</v>
      </c>
    </row>
    <row r="107" ht="15.75">
      <c r="A107" s="70" t="s">
        <v>256</v>
      </c>
    </row>
    <row r="108" ht="15.75">
      <c r="A108" s="70" t="s">
        <v>257</v>
      </c>
    </row>
    <row r="109" ht="31.5">
      <c r="A109" s="72" t="s">
        <v>258</v>
      </c>
    </row>
    <row r="110" ht="31.5">
      <c r="A110" s="72" t="s">
        <v>259</v>
      </c>
    </row>
    <row r="111" ht="15.75">
      <c r="A111" s="72" t="s">
        <v>260</v>
      </c>
    </row>
    <row r="112" ht="15.75">
      <c r="A112" s="72" t="s">
        <v>261</v>
      </c>
    </row>
    <row r="113" ht="31.5">
      <c r="A113" s="72" t="s">
        <v>262</v>
      </c>
    </row>
    <row r="114" ht="15.75">
      <c r="A114" s="70" t="s">
        <v>263</v>
      </c>
    </row>
    <row r="115" ht="31.5">
      <c r="A115" s="72" t="s">
        <v>264</v>
      </c>
    </row>
    <row r="116" ht="15.75">
      <c r="A116" s="70" t="s">
        <v>265</v>
      </c>
    </row>
    <row r="117" ht="15.75">
      <c r="A117" s="70" t="s">
        <v>266</v>
      </c>
    </row>
    <row r="118" ht="15.75">
      <c r="A118" s="70" t="s">
        <v>267</v>
      </c>
    </row>
    <row r="119" ht="15.75">
      <c r="A119" s="70" t="s">
        <v>268</v>
      </c>
    </row>
    <row r="120" ht="31.5">
      <c r="A120" s="72" t="s">
        <v>269</v>
      </c>
    </row>
    <row r="121" ht="15.75">
      <c r="A121" s="70" t="s">
        <v>270</v>
      </c>
    </row>
    <row r="124" ht="15.75">
      <c r="A124" s="402" t="s">
        <v>887</v>
      </c>
    </row>
    <row r="125" ht="15.75">
      <c r="A125" s="70" t="s">
        <v>890</v>
      </c>
    </row>
    <row r="126" ht="15.75">
      <c r="A126" s="70" t="s">
        <v>888</v>
      </c>
    </row>
    <row r="127" ht="15.75">
      <c r="A127" s="70" t="s">
        <v>889</v>
      </c>
    </row>
    <row r="128" ht="15.75">
      <c r="A128" s="70" t="s">
        <v>401</v>
      </c>
    </row>
    <row r="130" ht="15.75">
      <c r="A130" s="402" t="s">
        <v>883</v>
      </c>
    </row>
    <row r="131" ht="31.5">
      <c r="A131" s="72" t="s">
        <v>884</v>
      </c>
    </row>
    <row r="132" ht="15.75">
      <c r="A132" s="70" t="s">
        <v>885</v>
      </c>
    </row>
    <row r="133" ht="15.75">
      <c r="A133" s="70" t="s">
        <v>886</v>
      </c>
    </row>
    <row r="136" ht="15.75">
      <c r="A136" s="402" t="s">
        <v>208</v>
      </c>
    </row>
    <row r="137" ht="47.25">
      <c r="A137" s="72" t="s">
        <v>402</v>
      </c>
    </row>
    <row r="138" ht="15.75">
      <c r="A138" s="70" t="s">
        <v>209</v>
      </c>
    </row>
    <row r="139" ht="15.75">
      <c r="A139" s="70" t="s">
        <v>214</v>
      </c>
    </row>
    <row r="140" ht="15.75">
      <c r="A140" s="70" t="s">
        <v>403</v>
      </c>
    </row>
    <row r="141" ht="15.75">
      <c r="A141" s="70" t="s">
        <v>210</v>
      </c>
    </row>
    <row r="142" ht="15.75">
      <c r="A142" s="70" t="s">
        <v>211</v>
      </c>
    </row>
    <row r="143" ht="15.75">
      <c r="A143" s="70" t="s">
        <v>215</v>
      </c>
    </row>
    <row r="144" ht="15.75">
      <c r="A144" s="72" t="s">
        <v>231</v>
      </c>
    </row>
    <row r="145" ht="31.5">
      <c r="A145" s="72" t="s">
        <v>277</v>
      </c>
    </row>
    <row r="146" ht="15.75">
      <c r="A146" s="70" t="s">
        <v>216</v>
      </c>
    </row>
    <row r="147" ht="15.75">
      <c r="A147" s="70" t="s">
        <v>217</v>
      </c>
    </row>
    <row r="148" ht="15.75">
      <c r="A148" s="70" t="s">
        <v>404</v>
      </c>
    </row>
    <row r="149" ht="15.75">
      <c r="A149" s="70" t="s">
        <v>230</v>
      </c>
    </row>
    <row r="150" ht="15.75">
      <c r="A150" s="70" t="s">
        <v>405</v>
      </c>
    </row>
    <row r="151" ht="31.5">
      <c r="A151" s="72" t="s">
        <v>406</v>
      </c>
    </row>
    <row r="152" ht="15.75">
      <c r="A152" s="70" t="s">
        <v>218</v>
      </c>
    </row>
    <row r="153" ht="15.75">
      <c r="A153" s="70" t="s">
        <v>219</v>
      </c>
    </row>
    <row r="154" ht="31.5">
      <c r="A154" s="72" t="s">
        <v>220</v>
      </c>
    </row>
    <row r="155" ht="15.75">
      <c r="A155" s="70" t="s">
        <v>407</v>
      </c>
    </row>
    <row r="156" ht="15.75">
      <c r="A156" s="70" t="s">
        <v>222</v>
      </c>
    </row>
    <row r="157" ht="15.75">
      <c r="A157" s="70" t="s">
        <v>221</v>
      </c>
    </row>
    <row r="158" ht="15.75">
      <c r="A158" s="70" t="s">
        <v>227</v>
      </c>
    </row>
    <row r="159" ht="15.75">
      <c r="A159" s="70" t="s">
        <v>233</v>
      </c>
    </row>
    <row r="160" ht="15.75">
      <c r="A160" s="70" t="s">
        <v>234</v>
      </c>
    </row>
    <row r="161" ht="15.75">
      <c r="A161" s="70" t="s">
        <v>237</v>
      </c>
    </row>
    <row r="162" ht="15.75">
      <c r="A162" s="70" t="s">
        <v>408</v>
      </c>
    </row>
    <row r="163" ht="15.75">
      <c r="A163" s="70" t="s">
        <v>274</v>
      </c>
    </row>
    <row r="164" ht="15.75">
      <c r="A164" s="70" t="s">
        <v>409</v>
      </c>
    </row>
    <row r="165" ht="15.75">
      <c r="A165" s="70" t="s">
        <v>239</v>
      </c>
    </row>
    <row r="166" ht="15.75">
      <c r="A166" s="70" t="s">
        <v>241</v>
      </c>
    </row>
    <row r="167" ht="15.75">
      <c r="A167" s="70" t="s">
        <v>242</v>
      </c>
    </row>
    <row r="168" ht="15.75">
      <c r="A168" s="70" t="s">
        <v>275</v>
      </c>
    </row>
    <row r="169" ht="15.75">
      <c r="A169" s="70" t="s">
        <v>276</v>
      </c>
    </row>
    <row r="170" ht="15.75">
      <c r="A170" s="70" t="s">
        <v>882</v>
      </c>
    </row>
    <row r="171" ht="15.75">
      <c r="A171" s="70" t="s">
        <v>880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1" ht="15">
      <c r="J1" s="623" t="s">
        <v>153</v>
      </c>
    </row>
    <row r="2" spans="1:10" ht="54" customHeight="1">
      <c r="A2" s="760" t="s">
        <v>468</v>
      </c>
      <c r="B2" s="761"/>
      <c r="C2" s="761"/>
      <c r="D2" s="761"/>
      <c r="E2" s="761"/>
      <c r="F2" s="761"/>
      <c r="J2" s="623" t="s">
        <v>154</v>
      </c>
    </row>
    <row r="3" spans="1:10" ht="15.75">
      <c r="A3" s="2" t="s">
        <v>151</v>
      </c>
      <c r="B3" s="701"/>
      <c r="J3" s="623" t="s">
        <v>155</v>
      </c>
    </row>
    <row r="4" spans="1:10" ht="15.75">
      <c r="A4" s="414"/>
      <c r="B4" s="414"/>
      <c r="C4" s="414"/>
      <c r="D4" s="622" t="s">
        <v>152</v>
      </c>
      <c r="E4" s="414"/>
      <c r="F4" s="414"/>
      <c r="J4" s="623" t="s">
        <v>156</v>
      </c>
    </row>
    <row r="5" spans="1:10" ht="15.75">
      <c r="A5" s="415" t="s">
        <v>469</v>
      </c>
      <c r="B5" s="416" t="s">
        <v>619</v>
      </c>
      <c r="C5" s="417"/>
      <c r="D5" s="622" t="str">
        <f>IF(B5="","",CONCATENATE("Latest date for notice to be published in your newspaper: ",G18," ",G22,", ",G23))</f>
        <v>Latest date for notice to be published in your newspaper: August 2, 2013</v>
      </c>
      <c r="E5" s="414"/>
      <c r="F5" s="414"/>
      <c r="J5" s="623" t="s">
        <v>157</v>
      </c>
    </row>
    <row r="6" spans="1:10" ht="15.75">
      <c r="A6" s="415"/>
      <c r="B6" s="418"/>
      <c r="C6" s="419"/>
      <c r="D6" s="415"/>
      <c r="E6" s="414"/>
      <c r="F6" s="414"/>
      <c r="J6" s="623" t="s">
        <v>158</v>
      </c>
    </row>
    <row r="7" spans="1:10" ht="15.75">
      <c r="A7" s="415" t="s">
        <v>470</v>
      </c>
      <c r="B7" s="416" t="s">
        <v>620</v>
      </c>
      <c r="C7" s="420"/>
      <c r="D7" s="415"/>
      <c r="E7" s="414"/>
      <c r="F7" s="414"/>
      <c r="J7" s="623" t="s">
        <v>159</v>
      </c>
    </row>
    <row r="8" spans="1:10" ht="15.75">
      <c r="A8" s="415"/>
      <c r="B8" s="415"/>
      <c r="C8" s="415"/>
      <c r="D8" s="415"/>
      <c r="E8" s="414"/>
      <c r="F8" s="414"/>
      <c r="J8" s="623" t="s">
        <v>160</v>
      </c>
    </row>
    <row r="9" spans="1:10" ht="15.75">
      <c r="A9" s="415" t="s">
        <v>471</v>
      </c>
      <c r="B9" s="421" t="s">
        <v>486</v>
      </c>
      <c r="C9" s="421"/>
      <c r="D9" s="421"/>
      <c r="E9" s="422"/>
      <c r="F9" s="414"/>
      <c r="J9" s="623" t="s">
        <v>161</v>
      </c>
    </row>
    <row r="10" spans="1:10" ht="15.75">
      <c r="A10" s="415"/>
      <c r="B10" s="415"/>
      <c r="C10" s="415"/>
      <c r="D10" s="415"/>
      <c r="E10" s="414"/>
      <c r="F10" s="414"/>
      <c r="J10" s="623" t="s">
        <v>162</v>
      </c>
    </row>
    <row r="11" spans="1:10" ht="15.75">
      <c r="A11" s="415"/>
      <c r="B11" s="415"/>
      <c r="C11" s="415"/>
      <c r="D11" s="415"/>
      <c r="E11" s="414"/>
      <c r="F11" s="414"/>
      <c r="J11" s="623" t="s">
        <v>163</v>
      </c>
    </row>
    <row r="12" spans="1:10" ht="15.75">
      <c r="A12" s="415" t="s">
        <v>473</v>
      </c>
      <c r="B12" s="421" t="s">
        <v>487</v>
      </c>
      <c r="C12" s="421"/>
      <c r="D12" s="421"/>
      <c r="E12" s="422"/>
      <c r="F12" s="414"/>
      <c r="J12" s="623" t="s">
        <v>164</v>
      </c>
    </row>
    <row r="15" spans="1:6" ht="15.75">
      <c r="A15" s="762" t="s">
        <v>474</v>
      </c>
      <c r="B15" s="762"/>
      <c r="C15" s="415"/>
      <c r="D15" s="415"/>
      <c r="E15" s="415"/>
      <c r="F15" s="414"/>
    </row>
    <row r="16" spans="1:6" ht="15.75">
      <c r="A16" s="415"/>
      <c r="B16" s="415"/>
      <c r="C16" s="415"/>
      <c r="D16" s="415"/>
      <c r="E16" s="415"/>
      <c r="F16" s="414"/>
    </row>
    <row r="17" spans="1:5" ht="15.75">
      <c r="A17" s="415" t="s">
        <v>469</v>
      </c>
      <c r="B17" s="418" t="s">
        <v>475</v>
      </c>
      <c r="C17" s="415"/>
      <c r="D17" s="415"/>
      <c r="E17" s="415"/>
    </row>
    <row r="18" spans="1:7" ht="15.75">
      <c r="A18" s="415"/>
      <c r="B18" s="415"/>
      <c r="C18" s="415"/>
      <c r="D18" s="415"/>
      <c r="E18" s="415"/>
      <c r="G18" s="623" t="str">
        <f ca="1">IF(B5="","",INDIRECT(G19))</f>
        <v>August</v>
      </c>
    </row>
    <row r="19" spans="1:7" ht="15.75">
      <c r="A19" s="415" t="s">
        <v>470</v>
      </c>
      <c r="B19" s="415" t="s">
        <v>476</v>
      </c>
      <c r="C19" s="415"/>
      <c r="D19" s="415"/>
      <c r="E19" s="415"/>
      <c r="G19" s="624" t="str">
        <f>IF(B5="","",CONCATENATE("J",G21))</f>
        <v>J8</v>
      </c>
    </row>
    <row r="20" spans="1:7" ht="15.75">
      <c r="A20" s="415"/>
      <c r="B20" s="415"/>
      <c r="C20" s="415"/>
      <c r="D20" s="415"/>
      <c r="E20" s="415"/>
      <c r="G20" s="625">
        <f>B5-10</f>
        <v>41488</v>
      </c>
    </row>
    <row r="21" spans="1:7" ht="15.75">
      <c r="A21" s="415" t="s">
        <v>471</v>
      </c>
      <c r="B21" s="415" t="s">
        <v>472</v>
      </c>
      <c r="C21" s="415"/>
      <c r="D21" s="415"/>
      <c r="E21" s="415"/>
      <c r="G21" s="626">
        <f>IF(B5="","",MONTH(G20))</f>
        <v>8</v>
      </c>
    </row>
    <row r="22" spans="1:7" ht="15.75">
      <c r="A22" s="415"/>
      <c r="B22" s="415"/>
      <c r="C22" s="415"/>
      <c r="D22" s="415"/>
      <c r="E22" s="415"/>
      <c r="G22" s="627">
        <f>IF(B5="","",DAY(G20))</f>
        <v>2</v>
      </c>
    </row>
    <row r="23" spans="1:7" ht="15.75">
      <c r="A23" s="415" t="s">
        <v>473</v>
      </c>
      <c r="B23" s="415" t="s">
        <v>472</v>
      </c>
      <c r="C23" s="415"/>
      <c r="D23" s="415"/>
      <c r="E23" s="415"/>
      <c r="G23" s="628">
        <f>IF(B5="","",YEAR(G20))</f>
        <v>2013</v>
      </c>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66"/>
  <sheetViews>
    <sheetView tabSelected="1" zoomScale="90" zoomScaleNormal="90" zoomScalePageLayoutView="0" workbookViewId="0" topLeftCell="A1">
      <selection activeCell="A63" sqref="A63"/>
    </sheetView>
  </sheetViews>
  <sheetFormatPr defaultColWidth="8.796875" defaultRowHeight="15"/>
  <cols>
    <col min="1" max="1" width="20.796875" style="159" customWidth="1"/>
    <col min="2" max="2" width="9.796875" style="159" customWidth="1"/>
    <col min="3" max="3" width="5.796875" style="159" customWidth="1"/>
    <col min="4" max="6" width="15.796875" style="159" customWidth="1"/>
    <col min="7" max="16384" width="8.8984375" style="159" customWidth="1"/>
  </cols>
  <sheetData>
    <row r="1" spans="1:6" ht="12.75">
      <c r="A1" s="158"/>
      <c r="B1" s="158"/>
      <c r="C1" s="158"/>
      <c r="D1" s="158"/>
      <c r="E1" s="158"/>
      <c r="F1" s="158"/>
    </row>
    <row r="2" spans="1:6" ht="12.75">
      <c r="A2" s="764" t="s">
        <v>980</v>
      </c>
      <c r="B2" s="764"/>
      <c r="C2" s="764"/>
      <c r="D2" s="764"/>
      <c r="E2" s="764"/>
      <c r="F2" s="764"/>
    </row>
    <row r="3" spans="1:6" ht="15" customHeight="1">
      <c r="A3" s="160"/>
      <c r="B3" s="160"/>
      <c r="C3" s="160"/>
      <c r="D3" s="160"/>
      <c r="E3" s="160"/>
      <c r="F3" s="158">
        <f>inputPrYr!C4</f>
        <v>2014</v>
      </c>
    </row>
    <row r="4" spans="1:6" ht="15">
      <c r="A4" s="769" t="str">
        <f>CONCATENATE("To the Clerk of ",inputPrYr!C2,", State of Kansas")</f>
        <v>To the Clerk of Gove County, State of Kansas</v>
      </c>
      <c r="B4" s="770"/>
      <c r="C4" s="770"/>
      <c r="D4" s="770"/>
      <c r="E4" s="770"/>
      <c r="F4" s="770"/>
    </row>
    <row r="5" spans="1:6" ht="15">
      <c r="A5" s="769" t="s">
        <v>182</v>
      </c>
      <c r="B5" s="771"/>
      <c r="C5" s="771"/>
      <c r="D5" s="771"/>
      <c r="E5" s="771"/>
      <c r="F5" s="771"/>
    </row>
    <row r="6" spans="1:6" ht="15">
      <c r="A6" s="767" t="str">
        <f>(inputPrYr!C2)</f>
        <v>Gove County</v>
      </c>
      <c r="B6" s="768"/>
      <c r="C6" s="768"/>
      <c r="D6" s="768"/>
      <c r="E6" s="768"/>
      <c r="F6" s="768"/>
    </row>
    <row r="7" spans="1:6" ht="12.75">
      <c r="A7" s="162" t="s">
        <v>286</v>
      </c>
      <c r="B7" s="163"/>
      <c r="C7" s="163"/>
      <c r="D7" s="163"/>
      <c r="E7" s="163"/>
      <c r="F7" s="163"/>
    </row>
    <row r="8" spans="1:6" ht="12.75">
      <c r="A8" s="162" t="s">
        <v>287</v>
      </c>
      <c r="B8" s="163"/>
      <c r="C8" s="163"/>
      <c r="D8" s="163"/>
      <c r="E8" s="163"/>
      <c r="F8" s="163"/>
    </row>
    <row r="9" spans="1:6" ht="12.75">
      <c r="A9" s="162" t="str">
        <f>CONCATENATE("maximum expenditure for the various funds for the year ",F3,"; and")</f>
        <v>maximum expenditure for the various funds for the year 2014; and</v>
      </c>
      <c r="B9" s="163"/>
      <c r="C9" s="163"/>
      <c r="D9" s="163"/>
      <c r="E9" s="163"/>
      <c r="F9" s="163"/>
    </row>
    <row r="10" spans="1:6" ht="12.75">
      <c r="A10" s="162" t="str">
        <f>CONCATENATE("(3) the Amount(s) of ",F3-1," Ad Valorem Tax are within statutory limitations.")</f>
        <v>(3) the Amount(s) of 2013 Ad Valorem Tax are within statutory limitations.</v>
      </c>
      <c r="B10" s="163"/>
      <c r="C10" s="163"/>
      <c r="D10" s="163"/>
      <c r="E10" s="163"/>
      <c r="F10" s="163"/>
    </row>
    <row r="11" spans="1:6" ht="8.25" customHeight="1">
      <c r="A11" s="164"/>
      <c r="B11" s="160"/>
      <c r="C11" s="160"/>
      <c r="D11" s="165"/>
      <c r="E11" s="165"/>
      <c r="F11" s="165"/>
    </row>
    <row r="12" spans="1:6" ht="12.75">
      <c r="A12" s="160"/>
      <c r="B12" s="160"/>
      <c r="C12" s="160"/>
      <c r="D12" s="166" t="str">
        <f>CONCATENATE("",F3," Adopted Budget")</f>
        <v>2014 Adopted Budget</v>
      </c>
      <c r="E12" s="167"/>
      <c r="F12" s="168"/>
    </row>
    <row r="13" spans="1:6" ht="13.5" customHeight="1">
      <c r="A13" s="160"/>
      <c r="B13" s="160"/>
      <c r="C13" s="169" t="s">
        <v>288</v>
      </c>
      <c r="D13" s="467" t="s">
        <v>801</v>
      </c>
      <c r="E13" s="765" t="str">
        <f>CONCATENATE("Amount of ",F3-1,"               Ad Valorem Tax")</f>
        <v>Amount of 2013               Ad Valorem Tax</v>
      </c>
      <c r="F13" s="169" t="s">
        <v>289</v>
      </c>
    </row>
    <row r="14" spans="1:6" ht="12.75" customHeight="1">
      <c r="A14" s="170" t="s">
        <v>290</v>
      </c>
      <c r="B14" s="171"/>
      <c r="C14" s="172" t="s">
        <v>291</v>
      </c>
      <c r="D14" s="466" t="s">
        <v>802</v>
      </c>
      <c r="E14" s="766"/>
      <c r="F14" s="172" t="s">
        <v>293</v>
      </c>
    </row>
    <row r="15" spans="1:6" ht="12.75">
      <c r="A15" s="173" t="str">
        <f>CONCATENATE("Computation to Determine Limit for ",F3,"")</f>
        <v>Computation to Determine Limit for 2014</v>
      </c>
      <c r="B15" s="177"/>
      <c r="C15" s="172">
        <v>2</v>
      </c>
      <c r="D15" s="174"/>
      <c r="E15" s="174"/>
      <c r="F15" s="174"/>
    </row>
    <row r="16" spans="1:6" ht="12.75">
      <c r="A16" s="176" t="s">
        <v>175</v>
      </c>
      <c r="B16" s="177"/>
      <c r="C16" s="178">
        <v>3</v>
      </c>
      <c r="D16" s="174"/>
      <c r="E16" s="174"/>
      <c r="F16" s="174"/>
    </row>
    <row r="17" spans="1:6" ht="12.75">
      <c r="A17" s="647" t="s">
        <v>1033</v>
      </c>
      <c r="B17" s="690"/>
      <c r="C17" s="178">
        <v>4</v>
      </c>
      <c r="D17" s="174"/>
      <c r="E17" s="174"/>
      <c r="F17" s="174"/>
    </row>
    <row r="18" spans="1:6" ht="12.75">
      <c r="A18" s="176" t="s">
        <v>294</v>
      </c>
      <c r="B18" s="177"/>
      <c r="C18" s="179">
        <v>5</v>
      </c>
      <c r="D18" s="180"/>
      <c r="E18" s="180"/>
      <c r="F18" s="180"/>
    </row>
    <row r="19" spans="1:6" ht="12.75">
      <c r="A19" s="176" t="s">
        <v>295</v>
      </c>
      <c r="B19" s="177"/>
      <c r="C19" s="181">
        <v>6</v>
      </c>
      <c r="D19" s="180"/>
      <c r="E19" s="180"/>
      <c r="F19" s="180"/>
    </row>
    <row r="20" spans="1:6" ht="12.75">
      <c r="A20" s="182" t="s">
        <v>296</v>
      </c>
      <c r="B20" s="183" t="s">
        <v>297</v>
      </c>
      <c r="C20" s="184"/>
      <c r="D20" s="185"/>
      <c r="E20" s="185"/>
      <c r="F20" s="185"/>
    </row>
    <row r="21" spans="1:6" ht="15.75">
      <c r="A21" s="173" t="str">
        <f>inputPrYr!B16</f>
        <v>General</v>
      </c>
      <c r="B21" s="186" t="str">
        <f>inputPrYr!C16</f>
        <v>79-1946</v>
      </c>
      <c r="C21" s="179">
        <v>7</v>
      </c>
      <c r="D21" s="694">
        <f>IF(general!$E$115&lt;&gt;0,general!$E$115,"  ")</f>
        <v>2583717</v>
      </c>
      <c r="E21" s="695">
        <f>IF(general!$E$122&lt;&gt;0,general!$E$122,0)</f>
        <v>1068479</v>
      </c>
      <c r="F21" s="696" t="str">
        <f>IF(AND(general!E122=0,$F$51&gt;=0)," ",IF(AND(E21&gt;0,$F$51=0)," ",IF(AND(E21&gt;0,$F$51&gt;0),ROUND(E21/$F$51*1000,3))))</f>
        <v> </v>
      </c>
    </row>
    <row r="22" spans="1:6" ht="15.75">
      <c r="A22" s="173" t="str">
        <f>inputPrYr!B17</f>
        <v>Bond &amp; Interest</v>
      </c>
      <c r="B22" s="186" t="str">
        <f>inputPrYr!C17</f>
        <v>10-113</v>
      </c>
      <c r="C22" s="189">
        <v>8</v>
      </c>
      <c r="D22" s="694" t="str">
        <f>IF(DebtService!$E$41&lt;&gt;0,DebtService!$E$41,"  ")</f>
        <v>  </v>
      </c>
      <c r="E22" s="695">
        <f>IF(DebtService!$E$48&lt;&gt;0,DebtService!$E$48,0)</f>
        <v>0</v>
      </c>
      <c r="F22" s="696" t="str">
        <f>IF(AND(DebtService!E48=0,$F$51&gt;=0)," ",IF(AND(E22&gt;0,$F$51=0)," ",IF(AND(E22&gt;0,$F$51&gt;0),ROUND(E22/$F$51*1000,3))))</f>
        <v> </v>
      </c>
    </row>
    <row r="23" spans="1:6" ht="15.75">
      <c r="A23" s="173" t="str">
        <f>inputPrYr!B18</f>
        <v>Road &amp; Bridge</v>
      </c>
      <c r="B23" s="186" t="str">
        <f>inputPrYr!C18</f>
        <v>79-1946</v>
      </c>
      <c r="C23" s="179">
        <v>9</v>
      </c>
      <c r="D23" s="694">
        <f>IF(road!$E$47&lt;&gt;0,road!$E$47,"  ")</f>
        <v>2099931</v>
      </c>
      <c r="E23" s="695">
        <f>IF(road!$E$54&lt;&gt;0,road!$E$54,0)</f>
        <v>1700245.11</v>
      </c>
      <c r="F23" s="696" t="str">
        <f>IF(AND(road!E54=0,$F$51&gt;=0)," ",IF(AND(E23&gt;0,$F$51=0)," ",IF(AND(E23&gt;0,$F$51&gt;0),ROUND(E23/$F$51*1000,3))))</f>
        <v> </v>
      </c>
    </row>
    <row r="24" spans="1:6" ht="15.75">
      <c r="A24" s="187" t="str">
        <f>IF((inputPrYr!$B19&gt;"  "),(inputPrYr!$B19),"  ")</f>
        <v>Noxious Weed</v>
      </c>
      <c r="B24" s="186" t="str">
        <f>IF((inputPrYr!C19&gt;0),(inputPrYr!C19),"  ")</f>
        <v>2-1318</v>
      </c>
      <c r="C24" s="179">
        <v>10</v>
      </c>
      <c r="D24" s="694">
        <f>IF('levy page10'!$E$29&lt;&gt;0,'levy page10'!$E$29,"  ")</f>
        <v>229544</v>
      </c>
      <c r="E24" s="695">
        <f>IF('levy page10'!$E$36&lt;&gt;0,'levy page10'!$E$36,0)</f>
        <v>100010</v>
      </c>
      <c r="F24" s="696" t="str">
        <f>IF(AND('levy page10'!E36=0,$F$51&gt;=0)," ",IF(AND(E24&gt;0,$F$51=0)," ",IF(AND(E24&gt;0,$F$51&gt;0),ROUND(E24/$F$51*1000,3))))</f>
        <v> </v>
      </c>
    </row>
    <row r="25" spans="1:6" ht="15.75">
      <c r="A25" s="187" t="str">
        <f>IF((inputPrYr!$B20&gt;"  "),(inputPrYr!$B20),"  ")</f>
        <v>Hospital Maintenance</v>
      </c>
      <c r="B25" s="186" t="str">
        <f>IF((inputPrYr!C20&gt;0),(inputPrYr!C20),"  ")</f>
        <v>19-4606</v>
      </c>
      <c r="C25" s="179">
        <v>10</v>
      </c>
      <c r="D25" s="694">
        <f>IF('levy page10'!$E$58&lt;&gt;0,'levy page10'!$E$58,"  ")</f>
        <v>663422</v>
      </c>
      <c r="E25" s="695">
        <f>IF('levy page10'!$E$65&lt;&gt;0,'levy page10'!$E$65,0)</f>
        <v>217131</v>
      </c>
      <c r="F25" s="696" t="str">
        <f>IF(AND('levy page10'!E65=0,$F$51&gt;=0)," ",IF(AND(E25&gt;0,$F$51=0)," ",IF(AND(E25&gt;0,$F$51&gt;0),ROUND(E25/$F$51*1000,3))))</f>
        <v> </v>
      </c>
    </row>
    <row r="26" spans="1:6" ht="15.75">
      <c r="A26" s="187" t="str">
        <f>IF((inputPrYr!$B21&gt;"  "),(inputPrYr!$B21),"  ")</f>
        <v>Employee Benefits</v>
      </c>
      <c r="B26" s="186" t="str">
        <f>IF((inputPrYr!C21&gt;0),(inputPrYr!C21),"  ")</f>
        <v>12-16, 102</v>
      </c>
      <c r="C26" s="179">
        <v>11</v>
      </c>
      <c r="D26" s="694">
        <f>IF('levy page11'!$E$29&lt;&gt;0,'levy page11'!$E$29,"  ")</f>
        <v>892000</v>
      </c>
      <c r="E26" s="695">
        <f>IF('levy page11'!$E$36&lt;&gt;0,'levy page11'!$E$36,0)</f>
        <v>861689</v>
      </c>
      <c r="F26" s="696" t="str">
        <f>IF(AND('levy page11'!E36=0,$F$51&gt;=0)," ",IF(AND(E26&gt;0,$F$51=0)," ",IF(AND(E26&gt;0,$F$51&gt;0),ROUND(E26/$F$51*1000,3))))</f>
        <v> </v>
      </c>
    </row>
    <row r="27" spans="1:6" ht="15.75">
      <c r="A27" s="187" t="str">
        <f>IF((inputPrYr!$B22&gt;"  "),(inputPrYr!$B22),"  ")</f>
        <v>Ag Extension</v>
      </c>
      <c r="B27" s="186" t="str">
        <f>IF((inputPrYr!C22&gt;0),(inputPrYr!C22),"  ")</f>
        <v>2-610</v>
      </c>
      <c r="C27" s="179">
        <v>11</v>
      </c>
      <c r="D27" s="694" t="str">
        <f>IF('levy page11'!$E$56&lt;&gt;0,'levy page11'!$E$56,"  ")</f>
        <v>  </v>
      </c>
      <c r="E27" s="695">
        <f>IF('levy page11'!$E$63&lt;&gt;0,'levy page11'!$E$63,0)</f>
        <v>0</v>
      </c>
      <c r="F27" s="696" t="str">
        <f>IF(AND('levy page11'!E63=0,$F$51&gt;=0)," ",IF(AND(E27&gt;0,$F$51=0)," ",IF(AND(E27&gt;0,$F$51&gt;0),ROUND(E27/$F$51*1000,3))))</f>
        <v> </v>
      </c>
    </row>
    <row r="28" spans="1:6" ht="15.75">
      <c r="A28" s="187" t="str">
        <f>IF((inputPrYr!$B23&gt;"  "),(inputPrYr!$B23),"  ")</f>
        <v>Mental Health</v>
      </c>
      <c r="B28" s="186" t="str">
        <f>IF((inputPrYr!C23&gt;0),(inputPrYr!C23),"  ")</f>
        <v>19-4011</v>
      </c>
      <c r="C28" s="179">
        <v>12</v>
      </c>
      <c r="D28" s="694">
        <f>IF('levy page12'!$E$25&lt;&gt;0,'levy page12'!$E$25,"  ")</f>
        <v>27000</v>
      </c>
      <c r="E28" s="695">
        <f>IF('levy page12'!$E$32&lt;&gt;0,'levy page12'!$E$32,0)</f>
        <v>25727</v>
      </c>
      <c r="F28" s="696" t="str">
        <f>IF(AND('levy page12'!E32=0,$F$51&gt;=0)," ",IF(AND(E28&gt;0,$F$51=0)," ",IF(AND(E28&gt;0,$F$51&gt;0),ROUND(E28/$F$51*1000,3))))</f>
        <v> </v>
      </c>
    </row>
    <row r="29" spans="1:6" ht="15.75">
      <c r="A29" s="187" t="str">
        <f>IF((inputPrYr!$B24&gt;"  "),(inputPrYr!$B24),"  ")</f>
        <v>Developmental Service</v>
      </c>
      <c r="B29" s="186" t="str">
        <f>IF((inputPrYr!C24&gt;0),(inputPrYr!C24),"  ")</f>
        <v>19-4011</v>
      </c>
      <c r="C29" s="179">
        <v>12</v>
      </c>
      <c r="D29" s="694">
        <f>IF('levy page12'!$E$55&lt;&gt;0,'levy page12'!$E$55,"  ")</f>
        <v>54000</v>
      </c>
      <c r="E29" s="695">
        <f>IF('levy page12'!$E$62&lt;&gt;0,'levy page12'!$E$62,0)</f>
        <v>51632</v>
      </c>
      <c r="F29" s="696" t="str">
        <f>IF(AND('levy page12'!E62=0,$F$51&gt;=0)," ",IF(AND(E29&gt;0,$F$51=0)," ",IF(AND(E29&gt;0,$F$51&gt;0),ROUND(E29/$F$51*1000,3))))</f>
        <v> </v>
      </c>
    </row>
    <row r="30" spans="1:6" ht="15.75">
      <c r="A30" s="187" t="str">
        <f>IF((inputPrYr!$B25&gt;"  "),(inputPrYr!$B25),"  ")</f>
        <v>  </v>
      </c>
      <c r="B30" s="186" t="str">
        <f>IF((inputPrYr!C25&gt;0),(inputPrYr!C25),"  ")</f>
        <v>  </v>
      </c>
      <c r="C30" s="179"/>
      <c r="D30" s="694"/>
      <c r="E30" s="695"/>
      <c r="F30" s="696"/>
    </row>
    <row r="31" spans="1:6" ht="15.75">
      <c r="A31" s="187" t="str">
        <f>IF((inputPrYr!$B26&gt;"  "),(inputPrYr!$B26),"  ")</f>
        <v>  </v>
      </c>
      <c r="B31" s="186" t="str">
        <f>IF((inputPrYr!C26&gt;0),(inputPrYr!C26),"  ")</f>
        <v>  </v>
      </c>
      <c r="C31" s="179"/>
      <c r="D31" s="694"/>
      <c r="E31" s="695"/>
      <c r="F31" s="696"/>
    </row>
    <row r="32" spans="1:6" ht="15.75">
      <c r="A32" s="187" t="str">
        <f>IF((inputPrYr!$B28&gt;"  "),(inputPrYr!$B28),"  ")</f>
        <v>  </v>
      </c>
      <c r="B32" s="186" t="str">
        <f>IF((inputPrYr!C28&gt;0),(inputPrYr!C28),"  ")</f>
        <v>  </v>
      </c>
      <c r="C32" s="179"/>
      <c r="D32" s="694"/>
      <c r="E32" s="695"/>
      <c r="F32" s="696"/>
    </row>
    <row r="33" spans="1:6" ht="15.75">
      <c r="A33" s="187" t="str">
        <f>IF((inputPrYr!$B40&gt;"  "),(inputPrYr!$B40),"  ")</f>
        <v>  </v>
      </c>
      <c r="B33" s="186" t="str">
        <f>IF((inputPrYr!C40&gt;0),(inputPrYr!C40),"  ")</f>
        <v>  </v>
      </c>
      <c r="C33" s="179"/>
      <c r="D33" s="694"/>
      <c r="E33" s="695"/>
      <c r="F33" s="696"/>
    </row>
    <row r="34" spans="1:6" ht="12.75">
      <c r="A34" s="187" t="str">
        <f>IF((inputPrYr!$B43&gt;"  "),(inputPrYr!$B43),"  ")</f>
        <v>Noxious Weed Capital Outlay</v>
      </c>
      <c r="B34" s="190"/>
      <c r="C34" s="179">
        <v>13</v>
      </c>
      <c r="D34" s="694">
        <f>IF('no levy page13'!$E$20&lt;&gt;0,'no levy page13'!$E$20,"  ")</f>
        <v>75703</v>
      </c>
      <c r="E34" s="697"/>
      <c r="F34" s="697"/>
    </row>
    <row r="35" spans="1:6" ht="12.75">
      <c r="A35" s="187" t="str">
        <f>IF((inputPrYr!$B44&gt;"  "),(inputPrYr!$B44),"  ")</f>
        <v>Solid Waste</v>
      </c>
      <c r="B35" s="190"/>
      <c r="C35" s="179">
        <v>13</v>
      </c>
      <c r="D35" s="694">
        <f>IF('no levy page13'!$E$48&lt;&gt;0,'no levy page13'!$E$48,"  ")</f>
        <v>385809</v>
      </c>
      <c r="E35" s="697"/>
      <c r="F35" s="697"/>
    </row>
    <row r="36" spans="1:6" ht="12.75">
      <c r="A36" s="187" t="str">
        <f>IF((inputPrYr!$B45&gt;"  "),(inputPrYr!$B45),"  ")</f>
        <v>Special Alcohol &amp; Drug</v>
      </c>
      <c r="B36" s="190"/>
      <c r="C36" s="179">
        <v>14</v>
      </c>
      <c r="D36" s="694">
        <f>IF('no levy page14'!$E$21&lt;&gt;0,'no levy page14'!$E$21,"  ")</f>
        <v>15296</v>
      </c>
      <c r="E36" s="697"/>
      <c r="F36" s="697"/>
    </row>
    <row r="37" spans="1:6" ht="12.75">
      <c r="A37" s="187" t="str">
        <f>IF((inputPrYr!$B46&gt;"  "),(inputPrYr!$B46),"  ")</f>
        <v>911 Emergency Service</v>
      </c>
      <c r="B37" s="190"/>
      <c r="C37" s="179">
        <v>14</v>
      </c>
      <c r="D37" s="694">
        <f>IF('no levy page14'!$E$45&lt;&gt;0,'no levy page14'!$E$45,"  ")</f>
        <v>55796</v>
      </c>
      <c r="E37" s="697"/>
      <c r="F37" s="697"/>
    </row>
    <row r="38" spans="1:6" ht="12.75">
      <c r="A38" s="187" t="str">
        <f>IF((inputPrYr!$B47&gt;"  "),(inputPrYr!$B47),"  ")</f>
        <v>911 Wireless</v>
      </c>
      <c r="B38" s="190"/>
      <c r="C38" s="179">
        <v>15</v>
      </c>
      <c r="D38" s="694">
        <f>IF('no levy page15'!$E$21&lt;&gt;0,'no levy page15'!$E$21,"  ")</f>
        <v>7699</v>
      </c>
      <c r="E38" s="697"/>
      <c r="F38" s="697"/>
    </row>
    <row r="39" spans="1:6" ht="12.75">
      <c r="A39" s="187" t="str">
        <f>IF((inputPrYr!$B48&gt;"  "),(inputPrYr!$B48),"  ")</f>
        <v>  </v>
      </c>
      <c r="B39" s="190"/>
      <c r="C39" s="179"/>
      <c r="D39" s="694" t="str">
        <f>IF('no levy page15'!$E$52&lt;&gt;0,'no levy page15'!$E$52,"  ")</f>
        <v>  </v>
      </c>
      <c r="E39" s="697"/>
      <c r="F39" s="697"/>
    </row>
    <row r="40" spans="1:6" ht="12.75">
      <c r="A40" s="187" t="str">
        <f>IF((inputPrYr!$B49&gt;"  "),(inputPrYr!$B49),"  ")</f>
        <v>  </v>
      </c>
      <c r="B40" s="190"/>
      <c r="C40" s="179"/>
      <c r="D40" s="694"/>
      <c r="E40" s="697"/>
      <c r="F40" s="697"/>
    </row>
    <row r="41" spans="1:6" ht="12.75">
      <c r="A41" s="187" t="str">
        <f>IF((inputPrYr!$B57&gt;"  "),(inputPrYr!$B57),"  ")</f>
        <v>  </v>
      </c>
      <c r="B41" s="190"/>
      <c r="C41" s="179"/>
      <c r="D41" s="694"/>
      <c r="E41" s="698"/>
      <c r="F41" s="698"/>
    </row>
    <row r="42" spans="1:6" ht="12.75">
      <c r="A42" s="187" t="str">
        <f>IF((inputPrYr!$B58&gt;"  "),(inputPrYr!$B58),"  ")</f>
        <v>  </v>
      </c>
      <c r="B42" s="184"/>
      <c r="C42" s="179"/>
      <c r="D42" s="694"/>
      <c r="E42" s="698"/>
      <c r="F42" s="698"/>
    </row>
    <row r="43" spans="1:6" ht="12.75">
      <c r="A43" s="187" t="str">
        <f>IF((inputPrYr!$B62&gt;"  "),(nonbudA!$A3),"  ")</f>
        <v>Non-Budgeted Funds-A</v>
      </c>
      <c r="B43" s="184"/>
      <c r="C43" s="179">
        <v>16</v>
      </c>
      <c r="D43" s="694"/>
      <c r="E43" s="698"/>
      <c r="F43" s="698"/>
    </row>
    <row r="44" spans="1:6" ht="12.75">
      <c r="A44" s="187" t="str">
        <f>IF((inputPrYr!$B68&gt;"  "),(nonbudB!$A3),"  ")</f>
        <v>Non-Budgeted Funds-B</v>
      </c>
      <c r="B44" s="184"/>
      <c r="C44" s="179">
        <v>17</v>
      </c>
      <c r="D44" s="694"/>
      <c r="E44" s="698"/>
      <c r="F44" s="698"/>
    </row>
    <row r="45" spans="1:6" ht="12.75">
      <c r="A45" s="187" t="str">
        <f>IF((inputPrYr!$B74&gt;"  "),(nonbudC!$A3),"  ")</f>
        <v>Non-Budgeted Funds-C</v>
      </c>
      <c r="B45" s="184"/>
      <c r="C45" s="179">
        <v>18</v>
      </c>
      <c r="D45" s="694"/>
      <c r="E45" s="698"/>
      <c r="F45" s="698"/>
    </row>
    <row r="46" spans="1:6" ht="12.75">
      <c r="A46" s="187" t="str">
        <f>IF((inputPrYr!$B80&gt;"  "),(nonbudD!$A3),"  ")</f>
        <v>Non-Budgeted Funds-D</v>
      </c>
      <c r="B46" s="184"/>
      <c r="C46" s="179">
        <v>19</v>
      </c>
      <c r="D46" s="694"/>
      <c r="E46" s="698"/>
      <c r="F46" s="698"/>
    </row>
    <row r="47" spans="1:6" ht="12.75">
      <c r="A47" s="743"/>
      <c r="B47" s="191"/>
      <c r="C47" s="179"/>
      <c r="D47" s="744"/>
      <c r="E47" s="698"/>
      <c r="F47" s="698"/>
    </row>
    <row r="48" spans="1:6" ht="14.25" customHeight="1" thickBot="1">
      <c r="A48" s="192" t="s">
        <v>310</v>
      </c>
      <c r="B48" s="191"/>
      <c r="C48" s="179" t="s">
        <v>224</v>
      </c>
      <c r="D48" s="699">
        <f>SUM(D21:D46)</f>
        <v>7089917</v>
      </c>
      <c r="E48" s="699">
        <f>SUM(E21:E33)</f>
        <v>4024913.1100000003</v>
      </c>
      <c r="F48" s="700">
        <f>IF(SUM(F21:F33)=0,"",SUM(F21:F33))</f>
      </c>
    </row>
    <row r="49" spans="1:6" ht="14.25" customHeight="1" thickTop="1">
      <c r="A49" s="193" t="s">
        <v>223</v>
      </c>
      <c r="B49" s="194"/>
      <c r="C49" s="179">
        <v>20</v>
      </c>
      <c r="D49" s="195"/>
      <c r="E49" s="195"/>
      <c r="F49" s="175"/>
    </row>
    <row r="50" spans="1:6" ht="12.75">
      <c r="A50" s="176" t="s">
        <v>879</v>
      </c>
      <c r="B50" s="177"/>
      <c r="C50" s="179">
        <v>21</v>
      </c>
      <c r="D50" s="196"/>
      <c r="E50" s="160"/>
      <c r="F50" s="459" t="s">
        <v>360</v>
      </c>
    </row>
    <row r="51" spans="1:6" ht="15.75">
      <c r="A51" s="772" t="s">
        <v>869</v>
      </c>
      <c r="B51" s="773"/>
      <c r="C51" s="179" t="s">
        <v>503</v>
      </c>
      <c r="D51" s="197" t="s">
        <v>226</v>
      </c>
      <c r="E51" s="198" t="str">
        <f>IF(E48&gt;computation!J35,"Yes","No")</f>
        <v>Yes</v>
      </c>
      <c r="F51" s="199"/>
    </row>
    <row r="52" spans="1:6" ht="14.25" customHeight="1">
      <c r="A52" s="176" t="s">
        <v>225</v>
      </c>
      <c r="B52" s="200"/>
      <c r="C52" s="179">
        <f>IF(Resolution!E55&gt;0,Resolution!E55,"")</f>
        <v>21</v>
      </c>
      <c r="D52" s="196"/>
      <c r="E52" s="175"/>
      <c r="F52" s="775" t="str">
        <f>CONCATENATE("Nov 1, ",F3-1," Total Assessed Valuation")</f>
        <v>Nov 1, 2013 Total Assessed Valuation</v>
      </c>
    </row>
    <row r="53" spans="1:6" ht="12.75">
      <c r="A53" s="158" t="s">
        <v>300</v>
      </c>
      <c r="B53" s="160"/>
      <c r="C53" s="164"/>
      <c r="D53" s="160"/>
      <c r="E53" s="160"/>
      <c r="F53" s="776"/>
    </row>
    <row r="54" spans="1:6" ht="12.75">
      <c r="A54" s="202" t="s">
        <v>488</v>
      </c>
      <c r="B54" s="160"/>
      <c r="C54" s="160"/>
      <c r="D54" s="160"/>
      <c r="E54" s="413"/>
      <c r="F54" s="413"/>
    </row>
    <row r="55" spans="1:6" ht="12.75">
      <c r="A55" s="203"/>
      <c r="B55" s="201"/>
      <c r="C55" s="175"/>
      <c r="D55" s="175"/>
      <c r="E55" s="705"/>
      <c r="F55" s="705"/>
    </row>
    <row r="56" spans="1:6" ht="12.75">
      <c r="A56" s="411" t="s">
        <v>362</v>
      </c>
      <c r="B56" s="201"/>
      <c r="C56" s="175"/>
      <c r="D56" s="175"/>
      <c r="E56" s="705"/>
      <c r="F56" s="705"/>
    </row>
    <row r="57" spans="1:6" ht="12.75">
      <c r="A57" s="202" t="s">
        <v>489</v>
      </c>
      <c r="B57" s="160"/>
      <c r="C57" s="175" t="s">
        <v>450</v>
      </c>
      <c r="D57" s="175"/>
      <c r="E57" s="704"/>
      <c r="F57" s="704"/>
    </row>
    <row r="58" spans="1:6" ht="12.75">
      <c r="A58" s="203" t="s">
        <v>490</v>
      </c>
      <c r="B58" s="204"/>
      <c r="C58" s="175"/>
      <c r="D58" s="175"/>
      <c r="E58" s="705"/>
      <c r="F58" s="706"/>
    </row>
    <row r="59" spans="1:6" ht="12.75">
      <c r="A59" s="411" t="s">
        <v>449</v>
      </c>
      <c r="B59" s="160"/>
      <c r="C59" s="175" t="s">
        <v>450</v>
      </c>
      <c r="D59" s="175"/>
      <c r="E59" s="704"/>
      <c r="F59" s="705"/>
    </row>
    <row r="60" spans="1:6" ht="15.75">
      <c r="A60" s="719" t="s">
        <v>491</v>
      </c>
      <c r="B60" s="160"/>
      <c r="C60" s="175"/>
      <c r="D60" s="175"/>
      <c r="E60" s="704"/>
      <c r="F60" s="705"/>
    </row>
    <row r="61" spans="1:6" ht="12.75">
      <c r="A61" s="411"/>
      <c r="B61" s="160"/>
      <c r="C61" s="175" t="s">
        <v>450</v>
      </c>
      <c r="D61" s="175"/>
      <c r="E61" s="704"/>
      <c r="F61" s="705"/>
    </row>
    <row r="62" spans="1:6" ht="12.75">
      <c r="A62" s="458" t="s">
        <v>183</v>
      </c>
      <c r="B62" s="205">
        <f>F3-1</f>
        <v>2013</v>
      </c>
      <c r="C62" s="175"/>
      <c r="D62" s="175"/>
      <c r="E62" s="707"/>
      <c r="F62" s="175"/>
    </row>
    <row r="63" spans="1:6" ht="12.75">
      <c r="A63" s="457" t="s">
        <v>621</v>
      </c>
      <c r="B63" s="160"/>
      <c r="C63" s="175" t="s">
        <v>450</v>
      </c>
      <c r="D63" s="175"/>
      <c r="E63" s="175"/>
      <c r="F63" s="175"/>
    </row>
    <row r="64" spans="1:6" ht="15">
      <c r="A64" s="460" t="s">
        <v>302</v>
      </c>
      <c r="B64" s="160"/>
      <c r="C64" s="774" t="s">
        <v>301</v>
      </c>
      <c r="D64" s="771"/>
      <c r="E64" s="771"/>
      <c r="F64" s="771"/>
    </row>
    <row r="65" spans="1:6" ht="12.75">
      <c r="A65" s="763"/>
      <c r="B65" s="763"/>
      <c r="C65" s="763"/>
      <c r="D65" s="763"/>
      <c r="E65" s="763"/>
      <c r="F65" s="763"/>
    </row>
    <row r="66" spans="3:6" ht="12.75">
      <c r="C66" s="206"/>
      <c r="E66" s="206"/>
      <c r="F66" s="206"/>
    </row>
  </sheetData>
  <sheetProtection/>
  <mergeCells count="9">
    <mergeCell ref="A65:F65"/>
    <mergeCell ref="A2:F2"/>
    <mergeCell ref="E13:E14"/>
    <mergeCell ref="A6:F6"/>
    <mergeCell ref="A4:F4"/>
    <mergeCell ref="A5:F5"/>
    <mergeCell ref="A51:B51"/>
    <mergeCell ref="C64:F64"/>
    <mergeCell ref="F52:F53"/>
  </mergeCells>
  <hyperlinks>
    <hyperlink ref="A60" r:id="rId1" display="delcpa@ruraltel.net"/>
  </hyperlinks>
  <printOptions/>
  <pageMargins left="0.5" right="0.5" top="0" bottom="0.23" header="0" footer="0"/>
  <pageSetup blackAndWhite="1" fitToHeight="1" fitToWidth="1" horizontalDpi="120" verticalDpi="120" orientation="portrait" scale="89" r:id="rId2"/>
  <headerFooter alignWithMargins="0">
    <oddHeader>&amp;RState of Kansas
County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selection activeCell="E52" sqref="E52"/>
    </sheetView>
  </sheetViews>
  <sheetFormatPr defaultColWidth="8.796875" defaultRowHeight="15"/>
  <cols>
    <col min="1" max="1" width="20.796875" style="70" customWidth="1"/>
    <col min="2" max="2" width="9.796875" style="70" customWidth="1"/>
    <col min="3" max="3" width="5.796875" style="70" customWidth="1"/>
    <col min="4" max="7" width="12.796875" style="70" customWidth="1"/>
    <col min="8" max="16384" width="8.8984375" style="70" customWidth="1"/>
  </cols>
  <sheetData>
    <row r="1" spans="1:7" ht="15.75">
      <c r="A1" s="122"/>
      <c r="B1" s="122"/>
      <c r="C1" s="122"/>
      <c r="D1" s="122"/>
      <c r="E1" s="122"/>
      <c r="F1" s="122"/>
      <c r="G1" s="122"/>
    </row>
    <row r="2" spans="1:7" ht="15.75">
      <c r="A2" s="122"/>
      <c r="B2" s="122"/>
      <c r="C2" s="122"/>
      <c r="D2" s="122"/>
      <c r="E2" s="122"/>
      <c r="F2" s="122"/>
      <c r="G2" s="122"/>
    </row>
    <row r="3" spans="1:7" ht="15.75">
      <c r="A3" s="141" t="str">
        <f>inputPrYr!C2</f>
        <v>Gove County</v>
      </c>
      <c r="B3" s="122"/>
      <c r="C3" s="122"/>
      <c r="D3" s="122"/>
      <c r="E3" s="122"/>
      <c r="F3" s="122"/>
      <c r="G3" s="122">
        <f>inputPrYr!C4</f>
        <v>2014</v>
      </c>
    </row>
    <row r="4" spans="1:7" ht="15.75">
      <c r="A4" s="750" t="s">
        <v>189</v>
      </c>
      <c r="B4" s="770"/>
      <c r="C4" s="770"/>
      <c r="D4" s="770"/>
      <c r="E4" s="770"/>
      <c r="F4" s="770"/>
      <c r="G4" s="770"/>
    </row>
    <row r="5" spans="1:7" ht="15.75">
      <c r="A5" s="207"/>
      <c r="B5" s="90"/>
      <c r="C5" s="90"/>
      <c r="D5" s="207"/>
      <c r="E5" s="207"/>
      <c r="F5" s="207"/>
      <c r="G5" s="207"/>
    </row>
    <row r="6" spans="1:7" ht="15.75">
      <c r="A6" s="82"/>
      <c r="B6" s="82"/>
      <c r="C6" s="82"/>
      <c r="D6" s="208" t="str">
        <f>CONCATENATE("",G3," Proposed Budget")</f>
        <v>2014 Proposed Budget</v>
      </c>
      <c r="E6" s="209"/>
      <c r="F6" s="209"/>
      <c r="G6" s="210"/>
    </row>
    <row r="7" spans="1:7" ht="21" customHeight="1">
      <c r="A7" s="82"/>
      <c r="B7" s="82"/>
      <c r="C7" s="211" t="s">
        <v>288</v>
      </c>
      <c r="D7" s="481" t="s">
        <v>801</v>
      </c>
      <c r="E7" s="777" t="str">
        <f>CONCATENATE("Amount of ",G3-1,"      Ad Valorem Tax")</f>
        <v>Amount of 2013      Ad Valorem Tax</v>
      </c>
      <c r="F7" s="777" t="s">
        <v>361</v>
      </c>
      <c r="G7" s="211" t="s">
        <v>289</v>
      </c>
    </row>
    <row r="8" spans="1:7" ht="15.75">
      <c r="A8" s="212" t="s">
        <v>188</v>
      </c>
      <c r="B8" s="111"/>
      <c r="C8" s="213" t="s">
        <v>291</v>
      </c>
      <c r="D8" s="482" t="s">
        <v>802</v>
      </c>
      <c r="E8" s="757"/>
      <c r="F8" s="757"/>
      <c r="G8" s="213" t="s">
        <v>293</v>
      </c>
    </row>
    <row r="9" spans="1:7" ht="15.75">
      <c r="A9" s="214" t="s">
        <v>187</v>
      </c>
      <c r="B9" s="215" t="s">
        <v>297</v>
      </c>
      <c r="C9" s="105"/>
      <c r="D9" s="105"/>
      <c r="E9" s="105"/>
      <c r="F9" s="105"/>
      <c r="G9" s="105"/>
    </row>
    <row r="10" spans="1:7" ht="15.75">
      <c r="A10" s="216" t="s">
        <v>492</v>
      </c>
      <c r="B10" s="144" t="s">
        <v>493</v>
      </c>
      <c r="C10" s="144"/>
      <c r="D10" s="144">
        <v>130000</v>
      </c>
      <c r="E10" s="144">
        <v>124293</v>
      </c>
      <c r="F10" s="144"/>
      <c r="G10" s="188" t="str">
        <f>IF(AND(D10=0,F10&gt;=0)," ",IF(AND(E10&gt;0,F10=0)," ",IF(AND(E10&gt;0,F10&gt;0),ROUND(E10/F10*1000,3))))</f>
        <v> </v>
      </c>
    </row>
    <row r="11" spans="1:7" ht="15.75">
      <c r="A11" s="144"/>
      <c r="B11" s="144"/>
      <c r="C11" s="144"/>
      <c r="D11" s="144"/>
      <c r="E11" s="144"/>
      <c r="F11" s="144"/>
      <c r="G11" s="188" t="str">
        <f aca="true" t="shared" si="0" ref="G11:G38">IF(AND(D11=0,F11&gt;=0)," ",IF(AND(E11&gt;0,F11=0)," ",IF(AND(E11&gt;0,F11&gt;0),ROUND(E11/F11*1000,3))))</f>
        <v> </v>
      </c>
    </row>
    <row r="12" spans="1:7" ht="15.75">
      <c r="A12" s="144"/>
      <c r="B12" s="144"/>
      <c r="C12" s="144"/>
      <c r="D12" s="144"/>
      <c r="E12" s="144"/>
      <c r="F12" s="144"/>
      <c r="G12" s="188" t="str">
        <f t="shared" si="0"/>
        <v> </v>
      </c>
    </row>
    <row r="13" spans="1:7" ht="15.75">
      <c r="A13" s="144"/>
      <c r="B13" s="144"/>
      <c r="C13" s="144"/>
      <c r="D13" s="144"/>
      <c r="E13" s="144"/>
      <c r="F13" s="144"/>
      <c r="G13" s="188" t="str">
        <f t="shared" si="0"/>
        <v> </v>
      </c>
    </row>
    <row r="14" spans="1:7" ht="15.75">
      <c r="A14" s="144"/>
      <c r="B14" s="144"/>
      <c r="C14" s="144"/>
      <c r="D14" s="144"/>
      <c r="E14" s="144"/>
      <c r="F14" s="144"/>
      <c r="G14" s="188" t="str">
        <f t="shared" si="0"/>
        <v> </v>
      </c>
    </row>
    <row r="15" spans="1:7" ht="15.75">
      <c r="A15" s="144"/>
      <c r="B15" s="144"/>
      <c r="C15" s="144"/>
      <c r="D15" s="144"/>
      <c r="E15" s="144"/>
      <c r="F15" s="144"/>
      <c r="G15" s="188" t="str">
        <f t="shared" si="0"/>
        <v> </v>
      </c>
    </row>
    <row r="16" spans="1:7" ht="15.75">
      <c r="A16" s="144"/>
      <c r="B16" s="144"/>
      <c r="C16" s="144"/>
      <c r="D16" s="144"/>
      <c r="E16" s="144"/>
      <c r="F16" s="144"/>
      <c r="G16" s="188" t="str">
        <f t="shared" si="0"/>
        <v> </v>
      </c>
    </row>
    <row r="17" spans="1:7" ht="15.75">
      <c r="A17" s="144"/>
      <c r="B17" s="144"/>
      <c r="C17" s="144"/>
      <c r="D17" s="144"/>
      <c r="E17" s="144"/>
      <c r="F17" s="144"/>
      <c r="G17" s="188" t="str">
        <f t="shared" si="0"/>
        <v> </v>
      </c>
    </row>
    <row r="18" spans="1:7" ht="15.75">
      <c r="A18" s="144"/>
      <c r="B18" s="144"/>
      <c r="C18" s="144"/>
      <c r="D18" s="144"/>
      <c r="E18" s="144"/>
      <c r="F18" s="144"/>
      <c r="G18" s="188" t="str">
        <f t="shared" si="0"/>
        <v> </v>
      </c>
    </row>
    <row r="19" spans="1:7" ht="15.75">
      <c r="A19" s="144"/>
      <c r="B19" s="144"/>
      <c r="C19" s="144"/>
      <c r="D19" s="144"/>
      <c r="E19" s="144"/>
      <c r="F19" s="144"/>
      <c r="G19" s="188" t="str">
        <f t="shared" si="0"/>
        <v> </v>
      </c>
    </row>
    <row r="20" spans="1:7" ht="15.75">
      <c r="A20" s="144"/>
      <c r="B20" s="144"/>
      <c r="C20" s="144"/>
      <c r="D20" s="144"/>
      <c r="E20" s="144"/>
      <c r="F20" s="144"/>
      <c r="G20" s="188" t="str">
        <f t="shared" si="0"/>
        <v> </v>
      </c>
    </row>
    <row r="21" spans="1:7" ht="15.75">
      <c r="A21" s="144"/>
      <c r="B21" s="144"/>
      <c r="C21" s="144"/>
      <c r="D21" s="144"/>
      <c r="E21" s="144"/>
      <c r="F21" s="144"/>
      <c r="G21" s="188" t="str">
        <f t="shared" si="0"/>
        <v> </v>
      </c>
    </row>
    <row r="22" spans="1:7" ht="15.75">
      <c r="A22" s="144"/>
      <c r="B22" s="144"/>
      <c r="C22" s="144"/>
      <c r="D22" s="144"/>
      <c r="E22" s="144"/>
      <c r="F22" s="144"/>
      <c r="G22" s="188" t="str">
        <f t="shared" si="0"/>
        <v> </v>
      </c>
    </row>
    <row r="23" spans="1:7" ht="15.75">
      <c r="A23" s="144"/>
      <c r="B23" s="144"/>
      <c r="C23" s="144"/>
      <c r="D23" s="144"/>
      <c r="E23" s="144"/>
      <c r="F23" s="144"/>
      <c r="G23" s="188" t="str">
        <f t="shared" si="0"/>
        <v> </v>
      </c>
    </row>
    <row r="24" spans="1:7" ht="15.75">
      <c r="A24" s="144"/>
      <c r="B24" s="144"/>
      <c r="C24" s="144"/>
      <c r="D24" s="144"/>
      <c r="E24" s="144"/>
      <c r="F24" s="144"/>
      <c r="G24" s="188" t="str">
        <f t="shared" si="0"/>
        <v> </v>
      </c>
    </row>
    <row r="25" spans="1:7" ht="15.75">
      <c r="A25" s="144"/>
      <c r="B25" s="144"/>
      <c r="C25" s="144"/>
      <c r="D25" s="144"/>
      <c r="E25" s="144"/>
      <c r="F25" s="144"/>
      <c r="G25" s="188" t="str">
        <f t="shared" si="0"/>
        <v> </v>
      </c>
    </row>
    <row r="26" spans="1:7" ht="15.75">
      <c r="A26" s="144"/>
      <c r="B26" s="144"/>
      <c r="C26" s="144"/>
      <c r="D26" s="144"/>
      <c r="E26" s="144"/>
      <c r="F26" s="144"/>
      <c r="G26" s="188" t="str">
        <f t="shared" si="0"/>
        <v> </v>
      </c>
    </row>
    <row r="27" spans="1:7" ht="15.75">
      <c r="A27" s="144"/>
      <c r="B27" s="144"/>
      <c r="C27" s="144"/>
      <c r="D27" s="144"/>
      <c r="E27" s="144"/>
      <c r="F27" s="144"/>
      <c r="G27" s="188" t="str">
        <f t="shared" si="0"/>
        <v> </v>
      </c>
    </row>
    <row r="28" spans="1:7" ht="15.75">
      <c r="A28" s="144"/>
      <c r="B28" s="144"/>
      <c r="C28" s="144"/>
      <c r="D28" s="144"/>
      <c r="E28" s="144"/>
      <c r="F28" s="144"/>
      <c r="G28" s="188" t="str">
        <f t="shared" si="0"/>
        <v> </v>
      </c>
    </row>
    <row r="29" spans="1:7" ht="15.75">
      <c r="A29" s="144"/>
      <c r="B29" s="108"/>
      <c r="C29" s="144"/>
      <c r="D29" s="144"/>
      <c r="E29" s="108"/>
      <c r="F29" s="108"/>
      <c r="G29" s="188" t="str">
        <f t="shared" si="0"/>
        <v> </v>
      </c>
    </row>
    <row r="30" spans="1:7" ht="15.75">
      <c r="A30" s="144"/>
      <c r="B30" s="108"/>
      <c r="C30" s="144"/>
      <c r="D30" s="144"/>
      <c r="E30" s="108"/>
      <c r="F30" s="108"/>
      <c r="G30" s="188" t="str">
        <f t="shared" si="0"/>
        <v> </v>
      </c>
    </row>
    <row r="31" spans="1:7" ht="15.75">
      <c r="A31" s="144"/>
      <c r="B31" s="108"/>
      <c r="C31" s="144"/>
      <c r="D31" s="144"/>
      <c r="E31" s="108"/>
      <c r="F31" s="108"/>
      <c r="G31" s="188" t="str">
        <f t="shared" si="0"/>
        <v> </v>
      </c>
    </row>
    <row r="32" spans="1:7" ht="15.75">
      <c r="A32" s="144"/>
      <c r="B32" s="108"/>
      <c r="C32" s="144"/>
      <c r="D32" s="144"/>
      <c r="E32" s="108"/>
      <c r="F32" s="108"/>
      <c r="G32" s="188" t="str">
        <f t="shared" si="0"/>
        <v> </v>
      </c>
    </row>
    <row r="33" spans="1:7" ht="15.75">
      <c r="A33" s="144"/>
      <c r="B33" s="108"/>
      <c r="C33" s="144"/>
      <c r="D33" s="144"/>
      <c r="E33" s="108"/>
      <c r="F33" s="108"/>
      <c r="G33" s="188" t="str">
        <f t="shared" si="0"/>
        <v> </v>
      </c>
    </row>
    <row r="34" spans="1:7" ht="15.75">
      <c r="A34" s="144"/>
      <c r="B34" s="108"/>
      <c r="C34" s="144"/>
      <c r="D34" s="144"/>
      <c r="E34" s="108"/>
      <c r="F34" s="108"/>
      <c r="G34" s="188" t="str">
        <f t="shared" si="0"/>
        <v> </v>
      </c>
    </row>
    <row r="35" spans="1:7" ht="15.75">
      <c r="A35" s="144"/>
      <c r="B35" s="108"/>
      <c r="C35" s="144"/>
      <c r="D35" s="144"/>
      <c r="E35" s="108"/>
      <c r="F35" s="108"/>
      <c r="G35" s="188" t="str">
        <f t="shared" si="0"/>
        <v> </v>
      </c>
    </row>
    <row r="36" spans="1:7" ht="15.75">
      <c r="A36" s="144"/>
      <c r="B36" s="108"/>
      <c r="C36" s="144"/>
      <c r="D36" s="144"/>
      <c r="E36" s="108"/>
      <c r="F36" s="108"/>
      <c r="G36" s="188" t="str">
        <f t="shared" si="0"/>
        <v> </v>
      </c>
    </row>
    <row r="37" spans="1:7" ht="15.75">
      <c r="A37" s="144"/>
      <c r="B37" s="108"/>
      <c r="C37" s="144"/>
      <c r="D37" s="144"/>
      <c r="E37" s="108"/>
      <c r="F37" s="108"/>
      <c r="G37" s="188" t="str">
        <f t="shared" si="0"/>
        <v> </v>
      </c>
    </row>
    <row r="38" spans="1:7" ht="15.75">
      <c r="A38" s="144"/>
      <c r="B38" s="108"/>
      <c r="C38" s="144"/>
      <c r="D38" s="144"/>
      <c r="E38" s="108"/>
      <c r="F38" s="108"/>
      <c r="G38" s="188" t="str">
        <f t="shared" si="0"/>
        <v> </v>
      </c>
    </row>
    <row r="39" spans="1:7" ht="16.5" thickBot="1">
      <c r="A39" s="145" t="s">
        <v>298</v>
      </c>
      <c r="B39" s="112"/>
      <c r="C39" s="217" t="s">
        <v>299</v>
      </c>
      <c r="D39" s="218">
        <f>SUM(D10:D38)</f>
        <v>130000</v>
      </c>
      <c r="E39" s="218">
        <f>SUM(E10:E38)</f>
        <v>124293</v>
      </c>
      <c r="F39" s="218"/>
      <c r="G39" s="219">
        <f>SUM(G10:G38)</f>
        <v>0</v>
      </c>
    </row>
    <row r="40" spans="1:7" ht="16.5" thickTop="1">
      <c r="A40" s="118"/>
      <c r="B40" s="85"/>
      <c r="C40" s="220"/>
      <c r="D40" s="82"/>
      <c r="E40" s="82"/>
      <c r="F40" s="82"/>
      <c r="G40" s="82"/>
    </row>
    <row r="41" spans="1:7" ht="15.75">
      <c r="A41" s="118"/>
      <c r="B41" s="82"/>
      <c r="C41" s="82"/>
      <c r="D41" s="82"/>
      <c r="E41" s="82"/>
      <c r="F41" s="82"/>
      <c r="G41" s="82"/>
    </row>
    <row r="42" spans="1:7" ht="15.75">
      <c r="A42" s="221"/>
      <c r="B42" s="140"/>
      <c r="C42" s="140"/>
      <c r="D42" s="140"/>
      <c r="E42" s="140"/>
      <c r="F42" s="140"/>
      <c r="G42" s="140"/>
    </row>
    <row r="43" spans="1:7" ht="15.75">
      <c r="A43" s="222"/>
      <c r="B43" s="222"/>
      <c r="C43" s="222"/>
      <c r="D43" s="222"/>
      <c r="E43" s="222"/>
      <c r="F43" s="222"/>
      <c r="G43" s="222"/>
    </row>
    <row r="44" spans="1:7" ht="15.75">
      <c r="A44" s="140"/>
      <c r="B44" s="140"/>
      <c r="C44" s="140"/>
      <c r="D44" s="140"/>
      <c r="E44" s="140"/>
      <c r="F44" s="140"/>
      <c r="G44" s="223"/>
    </row>
    <row r="54" spans="1:7" ht="15.75">
      <c r="A54" s="140"/>
      <c r="B54" s="140"/>
      <c r="C54" s="140"/>
      <c r="D54" s="140"/>
      <c r="E54" s="140"/>
      <c r="F54" s="140"/>
      <c r="G54" s="140"/>
    </row>
    <row r="58" spans="1:7" ht="15.75">
      <c r="A58" s="140"/>
      <c r="B58" s="140"/>
      <c r="C58" s="140"/>
      <c r="D58" s="221"/>
      <c r="E58" s="140"/>
      <c r="F58" s="140"/>
      <c r="G58" s="140"/>
    </row>
  </sheetData>
  <sheetProtection/>
  <mergeCells count="3">
    <mergeCell ref="E7:E8"/>
    <mergeCell ref="F7:F8"/>
    <mergeCell ref="A4:G4"/>
  </mergeCells>
  <printOptions/>
  <pageMargins left="0.5" right="0.5" top="0" bottom="0.59" header="0" footer="0.5"/>
  <pageSetup blackAndWhite="1" fitToHeight="1" fitToWidth="1" horizontalDpi="120" verticalDpi="120" orientation="portrait" scale="85" r:id="rId1"/>
  <headerFooter alignWithMargins="0">
    <oddHeader>&amp;RState of Kansas
County
</oddHeader>
    <oddFooter>&amp;CPage No. 1a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zoomScale="85" zoomScaleNormal="85" zoomScalePageLayoutView="0" workbookViewId="0" topLeftCell="A10">
      <selection activeCell="E52" sqref="E52"/>
    </sheetView>
  </sheetViews>
  <sheetFormatPr defaultColWidth="8.796875" defaultRowHeight="15.75" customHeight="1"/>
  <cols>
    <col min="1" max="2" width="3.296875" style="70" customWidth="1"/>
    <col min="3" max="3" width="31.296875" style="70" customWidth="1"/>
    <col min="4" max="4" width="2.296875" style="70" customWidth="1"/>
    <col min="5" max="5" width="15.796875" style="70" customWidth="1"/>
    <col min="6" max="6" width="2" style="70" customWidth="1"/>
    <col min="7" max="7" width="15.796875" style="70" customWidth="1"/>
    <col min="8" max="8" width="1.8984375" style="70" customWidth="1"/>
    <col min="9" max="9" width="1.796875" style="70" customWidth="1"/>
    <col min="10" max="10" width="15.796875" style="70" customWidth="1"/>
    <col min="11" max="16384" width="8.8984375" style="70" customWidth="1"/>
  </cols>
  <sheetData>
    <row r="1" spans="1:10" ht="15.75" customHeight="1">
      <c r="A1" s="82"/>
      <c r="B1" s="82"/>
      <c r="C1" s="224" t="str">
        <f>inputPrYr!C2</f>
        <v>Gove County</v>
      </c>
      <c r="D1" s="82"/>
      <c r="E1" s="82"/>
      <c r="F1" s="82"/>
      <c r="G1" s="82"/>
      <c r="H1" s="82"/>
      <c r="I1" s="82"/>
      <c r="J1" s="82">
        <f>inputPrYr!C4</f>
        <v>2014</v>
      </c>
    </row>
    <row r="2" spans="1:10" ht="15.75" customHeight="1">
      <c r="A2" s="82"/>
      <c r="B2" s="82"/>
      <c r="C2" s="82"/>
      <c r="D2" s="82"/>
      <c r="E2" s="82"/>
      <c r="F2" s="82"/>
      <c r="G2" s="82"/>
      <c r="H2" s="82"/>
      <c r="I2" s="82"/>
      <c r="J2" s="82"/>
    </row>
    <row r="3" spans="1:10" ht="15.75">
      <c r="A3" s="750" t="str">
        <f>CONCATENATE("Computation to Determine Limit for ",J1,"")</f>
        <v>Computation to Determine Limit for 2014</v>
      </c>
      <c r="B3" s="779"/>
      <c r="C3" s="779"/>
      <c r="D3" s="779"/>
      <c r="E3" s="779"/>
      <c r="F3" s="779"/>
      <c r="G3" s="779"/>
      <c r="H3" s="779"/>
      <c r="I3" s="779"/>
      <c r="J3" s="779"/>
    </row>
    <row r="4" spans="1:10" ht="15.75">
      <c r="A4" s="82"/>
      <c r="B4" s="82"/>
      <c r="C4" s="82"/>
      <c r="D4" s="82"/>
      <c r="E4" s="779"/>
      <c r="F4" s="779"/>
      <c r="G4" s="779"/>
      <c r="H4" s="225"/>
      <c r="I4" s="82"/>
      <c r="J4" s="226" t="s">
        <v>992</v>
      </c>
    </row>
    <row r="5" spans="1:10" ht="15.75">
      <c r="A5" s="227" t="s">
        <v>993</v>
      </c>
      <c r="B5" s="82" t="str">
        <f>CONCATENATE("Total Tax Levy Amount in ",J1-1," Budget")</f>
        <v>Total Tax Levy Amount in 2013 Budget</v>
      </c>
      <c r="C5" s="82"/>
      <c r="D5" s="82"/>
      <c r="E5" s="142"/>
      <c r="F5" s="142"/>
      <c r="G5" s="142"/>
      <c r="H5" s="228" t="s">
        <v>994</v>
      </c>
      <c r="I5" s="142" t="s">
        <v>995</v>
      </c>
      <c r="J5" s="229">
        <f>inputPrYr!E41</f>
        <v>3958739</v>
      </c>
    </row>
    <row r="6" spans="1:10" ht="15.75">
      <c r="A6" s="227" t="s">
        <v>996</v>
      </c>
      <c r="B6" s="82" t="str">
        <f>CONCATENATE("Debt Service Levy in ",J1-1," Budget")</f>
        <v>Debt Service Levy in 2013 Budget</v>
      </c>
      <c r="C6" s="82"/>
      <c r="D6" s="82"/>
      <c r="E6" s="142"/>
      <c r="F6" s="142"/>
      <c r="G6" s="142"/>
      <c r="H6" s="228" t="s">
        <v>997</v>
      </c>
      <c r="I6" s="142" t="s">
        <v>995</v>
      </c>
      <c r="J6" s="148">
        <f>inputPrYr!E17</f>
        <v>0</v>
      </c>
    </row>
    <row r="7" spans="1:10" ht="15.75">
      <c r="A7" s="227" t="s">
        <v>998</v>
      </c>
      <c r="B7" s="149" t="s">
        <v>1017</v>
      </c>
      <c r="C7" s="82"/>
      <c r="D7" s="82"/>
      <c r="E7" s="142"/>
      <c r="F7" s="142"/>
      <c r="G7" s="142"/>
      <c r="H7" s="142"/>
      <c r="I7" s="142" t="s">
        <v>995</v>
      </c>
      <c r="J7" s="148">
        <f>J5-J6</f>
        <v>3958739</v>
      </c>
    </row>
    <row r="8" spans="1:10" ht="15.75">
      <c r="A8" s="82"/>
      <c r="B8" s="82"/>
      <c r="C8" s="82"/>
      <c r="D8" s="82"/>
      <c r="E8" s="142"/>
      <c r="F8" s="142"/>
      <c r="G8" s="142"/>
      <c r="H8" s="142"/>
      <c r="I8" s="142"/>
      <c r="J8" s="142"/>
    </row>
    <row r="9" spans="1:10" ht="15.75">
      <c r="A9" s="82"/>
      <c r="B9" s="149" t="str">
        <f>CONCATENATE("",J1-1," Valuation Information for Valuation Adjustments:")</f>
        <v>2013 Valuation Information for Valuation Adjustments:</v>
      </c>
      <c r="C9" s="82"/>
      <c r="D9" s="82"/>
      <c r="E9" s="142"/>
      <c r="F9" s="142"/>
      <c r="G9" s="142"/>
      <c r="H9" s="142"/>
      <c r="I9" s="142"/>
      <c r="J9" s="142"/>
    </row>
    <row r="10" spans="1:10" ht="15.75">
      <c r="A10" s="82"/>
      <c r="B10" s="82"/>
      <c r="C10" s="149"/>
      <c r="D10" s="82"/>
      <c r="E10" s="142"/>
      <c r="F10" s="142"/>
      <c r="G10" s="142"/>
      <c r="H10" s="142"/>
      <c r="I10" s="142"/>
      <c r="J10" s="142"/>
    </row>
    <row r="11" spans="1:10" ht="15.75">
      <c r="A11" s="227" t="s">
        <v>999</v>
      </c>
      <c r="B11" s="149" t="str">
        <f>CONCATENATE("New Improvements for ",J1-1,":")</f>
        <v>New Improvements for 2013:</v>
      </c>
      <c r="C11" s="82"/>
      <c r="D11" s="82"/>
      <c r="E11" s="228"/>
      <c r="F11" s="228" t="s">
        <v>994</v>
      </c>
      <c r="G11" s="229">
        <f>inputOth!E7</f>
        <v>208309</v>
      </c>
      <c r="H11" s="120"/>
      <c r="I11" s="142"/>
      <c r="J11" s="142"/>
    </row>
    <row r="12" spans="1:10" ht="15.75">
      <c r="A12" s="227"/>
      <c r="B12" s="227"/>
      <c r="C12" s="82"/>
      <c r="D12" s="82"/>
      <c r="E12" s="228"/>
      <c r="F12" s="228"/>
      <c r="G12" s="120"/>
      <c r="H12" s="120"/>
      <c r="I12" s="142"/>
      <c r="J12" s="142"/>
    </row>
    <row r="13" spans="1:10" ht="15.75">
      <c r="A13" s="227" t="s">
        <v>1000</v>
      </c>
      <c r="B13" s="149" t="str">
        <f>CONCATENATE("Increase in Personal Property for ",J1-1,":")</f>
        <v>Increase in Personal Property for 2013:</v>
      </c>
      <c r="C13" s="82"/>
      <c r="D13" s="82"/>
      <c r="E13" s="228"/>
      <c r="F13" s="228"/>
      <c r="G13" s="120"/>
      <c r="H13" s="120"/>
      <c r="I13" s="142"/>
      <c r="J13" s="142"/>
    </row>
    <row r="14" spans="1:10" ht="15.75">
      <c r="A14" s="82"/>
      <c r="B14" s="82" t="s">
        <v>1001</v>
      </c>
      <c r="C14" s="82" t="str">
        <f>CONCATENATE("Personal Property ",J1-1,"")</f>
        <v>Personal Property 2013</v>
      </c>
      <c r="D14" s="227" t="s">
        <v>994</v>
      </c>
      <c r="E14" s="229">
        <f>inputOth!E8</f>
        <v>1427892</v>
      </c>
      <c r="F14" s="228"/>
      <c r="G14" s="142"/>
      <c r="H14" s="142"/>
      <c r="I14" s="120"/>
      <c r="J14" s="142"/>
    </row>
    <row r="15" spans="1:10" ht="15.75">
      <c r="A15" s="227"/>
      <c r="B15" s="82" t="s">
        <v>1002</v>
      </c>
      <c r="C15" s="82" t="str">
        <f>CONCATENATE("Personal Property ",J1-2,"")</f>
        <v>Personal Property 2012</v>
      </c>
      <c r="D15" s="227" t="s">
        <v>997</v>
      </c>
      <c r="E15" s="148">
        <f>inputOth!E10</f>
        <v>1347447</v>
      </c>
      <c r="F15" s="228"/>
      <c r="G15" s="120"/>
      <c r="H15" s="120"/>
      <c r="I15" s="142"/>
      <c r="J15" s="142"/>
    </row>
    <row r="16" spans="1:10" ht="15.75">
      <c r="A16" s="227"/>
      <c r="B16" s="82" t="s">
        <v>1003</v>
      </c>
      <c r="C16" s="82" t="s">
        <v>1019</v>
      </c>
      <c r="D16" s="82"/>
      <c r="E16" s="142"/>
      <c r="F16" s="142" t="s">
        <v>994</v>
      </c>
      <c r="G16" s="229">
        <f>IF(E14&gt;E15,E14-E15,0)</f>
        <v>80445</v>
      </c>
      <c r="H16" s="120"/>
      <c r="I16" s="142"/>
      <c r="J16" s="142"/>
    </row>
    <row r="17" spans="1:10" ht="15.75">
      <c r="A17" s="227"/>
      <c r="B17" s="227"/>
      <c r="C17" s="82"/>
      <c r="D17" s="82"/>
      <c r="E17" s="142"/>
      <c r="F17" s="142"/>
      <c r="G17" s="120" t="s">
        <v>1009</v>
      </c>
      <c r="H17" s="120"/>
      <c r="I17" s="142"/>
      <c r="J17" s="142"/>
    </row>
    <row r="18" spans="1:10" ht="15.75">
      <c r="A18" s="227"/>
      <c r="B18" s="227"/>
      <c r="C18" s="82"/>
      <c r="D18" s="227"/>
      <c r="E18" s="120"/>
      <c r="F18" s="142"/>
      <c r="G18" s="120"/>
      <c r="H18" s="120"/>
      <c r="I18" s="142"/>
      <c r="J18" s="142"/>
    </row>
    <row r="19" spans="1:10" ht="15.75">
      <c r="A19" s="227" t="s">
        <v>1004</v>
      </c>
      <c r="B19" s="149" t="str">
        <f>CONCATENATE("Valuation of Property that has Changed in Use during ",J1-1,":")</f>
        <v>Valuation of Property that has Changed in Use during 2013:</v>
      </c>
      <c r="C19" s="82"/>
      <c r="D19" s="82"/>
      <c r="E19" s="142"/>
      <c r="F19" s="142"/>
      <c r="G19" s="142">
        <f>inputOth!E9</f>
        <v>0</v>
      </c>
      <c r="H19" s="142"/>
      <c r="I19" s="142"/>
      <c r="J19" s="142"/>
    </row>
    <row r="20" spans="1:10" ht="15.75">
      <c r="A20" s="227"/>
      <c r="B20" s="82"/>
      <c r="C20" s="82"/>
      <c r="D20" s="227"/>
      <c r="E20" s="120"/>
      <c r="F20" s="142"/>
      <c r="G20" s="230"/>
      <c r="H20" s="120"/>
      <c r="I20" s="142"/>
      <c r="J20" s="142"/>
    </row>
    <row r="21" spans="1:10" ht="15.75">
      <c r="A21" s="227" t="s">
        <v>1013</v>
      </c>
      <c r="B21" s="149" t="s">
        <v>1018</v>
      </c>
      <c r="C21" s="82"/>
      <c r="D21" s="82"/>
      <c r="E21" s="142"/>
      <c r="F21" s="142"/>
      <c r="G21" s="229">
        <f>G11+G16+G19</f>
        <v>288754</v>
      </c>
      <c r="H21" s="120"/>
      <c r="I21" s="142"/>
      <c r="J21" s="142"/>
    </row>
    <row r="22" spans="1:10" ht="15.75">
      <c r="A22" s="227"/>
      <c r="B22" s="227"/>
      <c r="C22" s="149"/>
      <c r="D22" s="82"/>
      <c r="E22" s="142"/>
      <c r="F22" s="142"/>
      <c r="G22" s="120"/>
      <c r="H22" s="120"/>
      <c r="I22" s="142"/>
      <c r="J22" s="142"/>
    </row>
    <row r="23" spans="1:10" ht="15.75">
      <c r="A23" s="227" t="s">
        <v>1014</v>
      </c>
      <c r="B23" s="82" t="str">
        <f>CONCATENATE("Total Estimated Valuation July 1,",J1-1,"")</f>
        <v>Total Estimated Valuation July 1,2013</v>
      </c>
      <c r="C23" s="82"/>
      <c r="D23" s="82"/>
      <c r="E23" s="229">
        <f>inputOth!E6</f>
        <v>58556892</v>
      </c>
      <c r="F23" s="142"/>
      <c r="G23" s="142"/>
      <c r="H23" s="142"/>
      <c r="I23" s="228"/>
      <c r="J23" s="142"/>
    </row>
    <row r="24" spans="1:10" ht="15.75">
      <c r="A24" s="227"/>
      <c r="B24" s="227"/>
      <c r="C24" s="82"/>
      <c r="D24" s="82"/>
      <c r="E24" s="120"/>
      <c r="F24" s="142"/>
      <c r="G24" s="142"/>
      <c r="H24" s="142"/>
      <c r="I24" s="228"/>
      <c r="J24" s="142"/>
    </row>
    <row r="25" spans="1:10" ht="15.75">
      <c r="A25" s="227" t="s">
        <v>1005</v>
      </c>
      <c r="B25" s="149" t="s">
        <v>1022</v>
      </c>
      <c r="C25" s="82"/>
      <c r="D25" s="82"/>
      <c r="E25" s="142"/>
      <c r="F25" s="142"/>
      <c r="G25" s="229">
        <f>E23-G21</f>
        <v>58268138</v>
      </c>
      <c r="H25" s="120"/>
      <c r="I25" s="228"/>
      <c r="J25" s="142"/>
    </row>
    <row r="26" spans="1:10" ht="15.75">
      <c r="A26" s="227"/>
      <c r="B26" s="227"/>
      <c r="C26" s="149"/>
      <c r="D26" s="82"/>
      <c r="E26" s="82"/>
      <c r="F26" s="82"/>
      <c r="G26" s="231"/>
      <c r="H26" s="85"/>
      <c r="I26" s="227"/>
      <c r="J26" s="82"/>
    </row>
    <row r="27" spans="1:10" ht="15.75">
      <c r="A27" s="227" t="s">
        <v>1006</v>
      </c>
      <c r="B27" s="82" t="s">
        <v>1021</v>
      </c>
      <c r="C27" s="82"/>
      <c r="D27" s="82"/>
      <c r="E27" s="82"/>
      <c r="F27" s="82"/>
      <c r="G27" s="232">
        <f>IF(G21&gt;0,G21/G25,0)</f>
        <v>0.004955607127861199</v>
      </c>
      <c r="H27" s="85"/>
      <c r="I27" s="82"/>
      <c r="J27" s="82"/>
    </row>
    <row r="28" spans="1:10" ht="15.75">
      <c r="A28" s="227"/>
      <c r="B28" s="227"/>
      <c r="C28" s="82"/>
      <c r="D28" s="82"/>
      <c r="E28" s="82"/>
      <c r="F28" s="82"/>
      <c r="G28" s="85"/>
      <c r="H28" s="85"/>
      <c r="I28" s="82"/>
      <c r="J28" s="82"/>
    </row>
    <row r="29" spans="1:10" ht="15.75">
      <c r="A29" s="227" t="s">
        <v>1007</v>
      </c>
      <c r="B29" s="82" t="s">
        <v>1020</v>
      </c>
      <c r="C29" s="82"/>
      <c r="D29" s="82"/>
      <c r="E29" s="82"/>
      <c r="F29" s="82"/>
      <c r="G29" s="85"/>
      <c r="H29" s="233" t="s">
        <v>994</v>
      </c>
      <c r="I29" s="82" t="s">
        <v>995</v>
      </c>
      <c r="J29" s="229">
        <f>ROUND(G27*J7,0)</f>
        <v>19618</v>
      </c>
    </row>
    <row r="30" spans="1:10" ht="15.75">
      <c r="A30" s="227"/>
      <c r="B30" s="227"/>
      <c r="C30" s="82"/>
      <c r="D30" s="82"/>
      <c r="E30" s="82"/>
      <c r="F30" s="82"/>
      <c r="G30" s="85"/>
      <c r="H30" s="233"/>
      <c r="I30" s="82"/>
      <c r="J30" s="120"/>
    </row>
    <row r="31" spans="1:10" ht="16.5" thickBot="1">
      <c r="A31" s="227" t="s">
        <v>1008</v>
      </c>
      <c r="B31" s="149" t="s">
        <v>1026</v>
      </c>
      <c r="C31" s="82"/>
      <c r="D31" s="82"/>
      <c r="E31" s="82"/>
      <c r="F31" s="82"/>
      <c r="G31" s="82"/>
      <c r="H31" s="82"/>
      <c r="I31" s="82" t="s">
        <v>995</v>
      </c>
      <c r="J31" s="234">
        <f>J7+J29</f>
        <v>3978357</v>
      </c>
    </row>
    <row r="32" spans="1:10" ht="16.5" thickTop="1">
      <c r="A32" s="82"/>
      <c r="B32" s="82"/>
      <c r="C32" s="82"/>
      <c r="D32" s="82"/>
      <c r="E32" s="82"/>
      <c r="F32" s="82"/>
      <c r="G32" s="82"/>
      <c r="H32" s="82"/>
      <c r="I32" s="82"/>
      <c r="J32" s="82"/>
    </row>
    <row r="33" spans="1:10" ht="15.75">
      <c r="A33" s="227" t="s">
        <v>1024</v>
      </c>
      <c r="B33" s="149" t="str">
        <f>CONCATENATE("Debt Service Levy in this ",J1," Budget")</f>
        <v>Debt Service Levy in this 2014 Budget</v>
      </c>
      <c r="C33" s="82"/>
      <c r="D33" s="82"/>
      <c r="E33" s="82"/>
      <c r="F33" s="82"/>
      <c r="G33" s="82"/>
      <c r="H33" s="82"/>
      <c r="I33" s="82"/>
      <c r="J33" s="229">
        <f>DebtService!E48</f>
        <v>0</v>
      </c>
    </row>
    <row r="34" spans="1:10" ht="15.75">
      <c r="A34" s="227"/>
      <c r="B34" s="149"/>
      <c r="C34" s="82"/>
      <c r="D34" s="82"/>
      <c r="E34" s="82"/>
      <c r="F34" s="82"/>
      <c r="G34" s="82"/>
      <c r="H34" s="82"/>
      <c r="I34" s="82"/>
      <c r="J34" s="85"/>
    </row>
    <row r="35" spans="1:10" ht="16.5" thickBot="1">
      <c r="A35" s="227" t="s">
        <v>1025</v>
      </c>
      <c r="B35" s="149" t="s">
        <v>1027</v>
      </c>
      <c r="C35" s="82"/>
      <c r="D35" s="82"/>
      <c r="E35" s="82"/>
      <c r="F35" s="82"/>
      <c r="G35" s="82"/>
      <c r="H35" s="82"/>
      <c r="I35" s="82"/>
      <c r="J35" s="234">
        <f>J31+J33</f>
        <v>3978357</v>
      </c>
    </row>
    <row r="36" spans="1:10" ht="16.5" thickTop="1">
      <c r="A36" s="82"/>
      <c r="B36" s="82"/>
      <c r="C36" s="82"/>
      <c r="D36" s="82"/>
      <c r="E36" s="82"/>
      <c r="F36" s="82"/>
      <c r="G36" s="82"/>
      <c r="H36" s="82"/>
      <c r="I36" s="82"/>
      <c r="J36" s="82"/>
    </row>
    <row r="37" spans="1:10" s="235" customFormat="1" ht="18.75">
      <c r="A37" s="778" t="str">
        <f>CONCATENATE("If the ",J1," budget includes tax levies exceeding the total on line 14, you must")</f>
        <v>If the 2014 budget includes tax levies exceeding the total on line 14, you must</v>
      </c>
      <c r="B37" s="778"/>
      <c r="C37" s="778"/>
      <c r="D37" s="778"/>
      <c r="E37" s="778"/>
      <c r="F37" s="778"/>
      <c r="G37" s="778"/>
      <c r="H37" s="778"/>
      <c r="I37" s="778"/>
      <c r="J37" s="778"/>
    </row>
    <row r="38" spans="1:10" s="235" customFormat="1" ht="18.75">
      <c r="A38" s="778" t="s">
        <v>1023</v>
      </c>
      <c r="B38" s="778"/>
      <c r="C38" s="778"/>
      <c r="D38" s="778"/>
      <c r="E38" s="778"/>
      <c r="F38" s="778"/>
      <c r="G38" s="778"/>
      <c r="H38" s="778"/>
      <c r="I38" s="778"/>
      <c r="J38" s="778"/>
    </row>
  </sheetData>
  <sheetProtection/>
  <mergeCells count="4">
    <mergeCell ref="A37:J37"/>
    <mergeCell ref="A38:J38"/>
    <mergeCell ref="A3:J3"/>
    <mergeCell ref="E4:G4"/>
  </mergeCells>
  <printOptions/>
  <pageMargins left="0.5" right="0.5" top="0.72" bottom="0.23" header="0.5" footer="0.56"/>
  <pageSetup blackAndWhite="1" fitToHeight="1" fitToWidth="1" horizontalDpi="600" verticalDpi="600" orientation="portrait" scale="80" r:id="rId1"/>
  <headerFooter alignWithMargins="0">
    <oddHeader>&amp;RState of Kansas
County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39"/>
  <sheetViews>
    <sheetView view="pageBreakPreview" zoomScale="60" zoomScalePageLayoutView="0" workbookViewId="0" topLeftCell="A1">
      <selection activeCell="E52" sqref="E52"/>
    </sheetView>
  </sheetViews>
  <sheetFormatPr defaultColWidth="8.796875" defaultRowHeight="15"/>
  <cols>
    <col min="1" max="1" width="6.8984375" style="2" customWidth="1"/>
    <col min="2" max="2" width="18.796875" style="2" customWidth="1"/>
    <col min="3" max="3" width="12.796875" style="2" customWidth="1"/>
    <col min="4" max="4" width="0.203125" style="2" customWidth="1"/>
    <col min="5" max="9" width="11.796875" style="2" customWidth="1"/>
    <col min="10" max="16384" width="8.8984375" style="2" customWidth="1"/>
  </cols>
  <sheetData>
    <row r="1" spans="1:9" ht="15.75">
      <c r="A1" s="67"/>
      <c r="B1" s="25" t="str">
        <f>inputPrYr!C2</f>
        <v>Gove County</v>
      </c>
      <c r="C1" s="12"/>
      <c r="D1" s="12"/>
      <c r="E1" s="12"/>
      <c r="F1" s="12"/>
      <c r="G1" s="11"/>
      <c r="H1" s="11"/>
      <c r="I1" s="64">
        <f>inputPrYr!C4</f>
        <v>2014</v>
      </c>
    </row>
    <row r="2" spans="1:9" ht="15.75">
      <c r="A2" s="67"/>
      <c r="B2" s="12"/>
      <c r="C2" s="12"/>
      <c r="D2" s="12"/>
      <c r="E2" s="12"/>
      <c r="F2" s="12"/>
      <c r="G2" s="11"/>
      <c r="H2" s="11"/>
      <c r="I2" s="26"/>
    </row>
    <row r="3" spans="1:9" ht="15.75">
      <c r="A3" s="67"/>
      <c r="B3" s="785" t="s">
        <v>168</v>
      </c>
      <c r="C3" s="785"/>
      <c r="D3" s="785"/>
      <c r="E3" s="785"/>
      <c r="F3" s="785"/>
      <c r="G3" s="785"/>
      <c r="H3" s="65"/>
      <c r="I3" s="66"/>
    </row>
    <row r="4" spans="1:9" ht="15.75">
      <c r="A4" s="67"/>
      <c r="B4" s="14"/>
      <c r="C4" s="15"/>
      <c r="D4" s="15"/>
      <c r="E4" s="15"/>
      <c r="F4" s="15"/>
      <c r="G4" s="12"/>
      <c r="H4" s="12"/>
      <c r="I4" s="26"/>
    </row>
    <row r="5" spans="1:9" ht="21.75" customHeight="1">
      <c r="A5" s="67"/>
      <c r="B5" s="631" t="s">
        <v>169</v>
      </c>
      <c r="C5" s="777" t="str">
        <f>CONCATENATE("Budget Tax Levy Amount for ",I1-2,"")</f>
        <v>Budget Tax Levy Amount for 2012</v>
      </c>
      <c r="D5" s="780" t="str">
        <f>CONCATENATE("Budget Tax Levy Rate for ",I1-1,"")</f>
        <v>Budget Tax Levy Rate for 2013</v>
      </c>
      <c r="E5" s="782" t="str">
        <f>CONCATENATE("Allocation for Year ",I1,"")</f>
        <v>Allocation for Year 2014</v>
      </c>
      <c r="F5" s="783"/>
      <c r="G5" s="784"/>
      <c r="H5" s="66"/>
      <c r="I5" s="66"/>
    </row>
    <row r="6" spans="1:9" ht="15.75">
      <c r="A6" s="67"/>
      <c r="B6" s="10" t="str">
        <f>CONCATENATE("for ",I1-1,"")</f>
        <v>for 2013</v>
      </c>
      <c r="C6" s="757"/>
      <c r="D6" s="781"/>
      <c r="E6" s="213" t="s">
        <v>309</v>
      </c>
      <c r="F6" s="213" t="s">
        <v>989</v>
      </c>
      <c r="G6" s="189" t="s">
        <v>1016</v>
      </c>
      <c r="H6" s="61"/>
      <c r="I6" s="66"/>
    </row>
    <row r="7" spans="1:9" ht="15.75">
      <c r="A7" s="67"/>
      <c r="B7" s="23" t="str">
        <f>(inputPrYr!B16)</f>
        <v>General</v>
      </c>
      <c r="C7" s="189">
        <f>(inputPrYr!E16)</f>
        <v>1161864</v>
      </c>
      <c r="D7" s="634">
        <f>IF(inputPrYr!F16&gt;0,(inputPrYr!F16),"  ")</f>
        <v>16.768</v>
      </c>
      <c r="E7" s="189">
        <f>IF(inputPrYr!E16&gt;0,E26-SUM(E8:E23),0)</f>
        <v>50055</v>
      </c>
      <c r="F7" s="189">
        <f>IF(inputPrYr!E16=0,0,F28-SUM(F8:F23))</f>
        <v>1746</v>
      </c>
      <c r="G7" s="189">
        <f>IF(inputPrYr!E16=0,0,G30-SUM(G8:G23))</f>
        <v>4192</v>
      </c>
      <c r="H7" s="61"/>
      <c r="I7" s="66"/>
    </row>
    <row r="8" spans="1:9" ht="15.75">
      <c r="A8" s="67"/>
      <c r="B8" s="23" t="str">
        <f>(inputPrYr!B17)</f>
        <v>Bond &amp; Interest</v>
      </c>
      <c r="C8" s="189" t="str">
        <f>IF(inputPrYr!E17&gt;0,inputPrYr!E17," ")</f>
        <v> </v>
      </c>
      <c r="D8" s="634" t="str">
        <f>IF(inputPrYr!F17&gt;0,(inputPrYr!F17),"  ")</f>
        <v>  </v>
      </c>
      <c r="E8" s="189" t="str">
        <f>IF(inputPrYr!$E$17&gt;0,ROUND(+C8*E$33,0)," ")</f>
        <v> </v>
      </c>
      <c r="F8" s="189" t="str">
        <f>IF(inputPrYr!$E$17&gt;0,ROUND(+C8*F$35,0)," ")</f>
        <v> </v>
      </c>
      <c r="G8" s="189" t="str">
        <f>IF(inputPrYr!$E$17&gt;0,ROUND(+C8*G$37,0)," ")</f>
        <v> </v>
      </c>
      <c r="H8" s="61"/>
      <c r="I8" s="66"/>
    </row>
    <row r="9" spans="1:9" ht="15.75">
      <c r="A9" s="67"/>
      <c r="B9" s="23" t="str">
        <f>(inputPrYr!B18)</f>
        <v>Road &amp; Bridge</v>
      </c>
      <c r="C9" s="189">
        <f>IF(inputPrYr!E18&gt;0,inputPrYr!E18," ")</f>
        <v>1691765</v>
      </c>
      <c r="D9" s="634">
        <f>IF(inputPrYr!F18&gt;0,(inputPrYr!F18),"  ")</f>
        <v>24.416</v>
      </c>
      <c r="E9" s="189">
        <f>IF(inputPrYr!$E$18&gt;0,ROUND(+C9*E$33,0)," ")</f>
        <v>72884</v>
      </c>
      <c r="F9" s="189">
        <f>IF(inputPrYr!$E$18&gt;0,ROUND(+C9*F$35,0)," ")</f>
        <v>2541</v>
      </c>
      <c r="G9" s="189">
        <f>IF(inputPrYr!$E$18&gt;0,ROUND(+C9*G$37,0)," ")</f>
        <v>6104</v>
      </c>
      <c r="H9" s="61"/>
      <c r="I9" s="66"/>
    </row>
    <row r="10" spans="1:9" ht="15.75">
      <c r="A10" s="67"/>
      <c r="B10" s="23" t="str">
        <f>IF((inputPrYr!$B19&gt;" "),(inputPrYr!$B19),"  ")</f>
        <v>Noxious Weed</v>
      </c>
      <c r="C10" s="189">
        <f>IF(inputPrYr!E19&gt;0,inputPrYr!E19,"  ")</f>
        <v>99725</v>
      </c>
      <c r="D10" s="634">
        <f>IF(inputPrYr!F19&gt;0,(inputPrYr!F19),"  ")</f>
        <v>1.439</v>
      </c>
      <c r="E10" s="189">
        <f>IF(inputPrYr!$E$19&gt;0,ROUND(+C10*E$33,0)," ")</f>
        <v>4296</v>
      </c>
      <c r="F10" s="189">
        <f>IF(inputPrYr!$E$19&gt;0,ROUND(+C10*F$35,0)," ")</f>
        <v>150</v>
      </c>
      <c r="G10" s="189">
        <f>IF(inputPrYr!$E$19&gt;0,ROUND(+C10*G$37,0)," ")</f>
        <v>360</v>
      </c>
      <c r="H10" s="61"/>
      <c r="I10" s="66"/>
    </row>
    <row r="11" spans="1:9" ht="15.75">
      <c r="A11" s="67"/>
      <c r="B11" s="23" t="str">
        <f>IF((inputPrYr!$B20&gt;" "),(inputPrYr!$B20),"  ")</f>
        <v>Hospital Maintenance</v>
      </c>
      <c r="C11" s="189">
        <f>IF(inputPrYr!E20&gt;0,inputPrYr!E20,"  ")</f>
        <v>201126</v>
      </c>
      <c r="D11" s="634">
        <f>IF(inputPrYr!F20&gt;0,(inputPrYr!F20),"  ")</f>
        <v>2.903</v>
      </c>
      <c r="E11" s="189">
        <f>IF(inputPrYr!E20&gt;0,ROUND(+C11*E$33,0),"  ")</f>
        <v>8665</v>
      </c>
      <c r="F11" s="189">
        <f>IF(inputPrYr!E20&gt;0,ROUND(+C11*F$35,0),"  ")</f>
        <v>302</v>
      </c>
      <c r="G11" s="189">
        <f>IF(inputPrYr!E20&gt;0,ROUND(+C11*G$37,0),"  ")</f>
        <v>726</v>
      </c>
      <c r="H11" s="61"/>
      <c r="I11" s="66"/>
    </row>
    <row r="12" spans="1:9" ht="15.75">
      <c r="A12" s="67"/>
      <c r="B12" s="23" t="str">
        <f>IF((inputPrYr!$B21&gt;" "),(inputPrYr!$B21),"  ")</f>
        <v>Employee Benefits</v>
      </c>
      <c r="C12" s="189">
        <f>IF(inputPrYr!E21&gt;0,inputPrYr!E21,"  ")</f>
        <v>727649</v>
      </c>
      <c r="D12" s="634">
        <f>IF(inputPrYr!F21&gt;0,(inputPrYr!F21),"  ")</f>
        <v>10.502</v>
      </c>
      <c r="E12" s="189">
        <f>IF(inputPrYr!E21&gt;0,ROUND(+C12*E$33,0),"  ")</f>
        <v>31349</v>
      </c>
      <c r="F12" s="189">
        <f>IF(inputPrYr!E21&gt;0,ROUND(+C12*F$35,0),"  ")</f>
        <v>1093</v>
      </c>
      <c r="G12" s="189">
        <f>IF(inputPrYr!E21&gt;0,ROUND(+C12*G$37,0),"  ")</f>
        <v>2626</v>
      </c>
      <c r="H12" s="61"/>
      <c r="I12" s="66"/>
    </row>
    <row r="13" spans="1:9" ht="15.75">
      <c r="A13" s="67"/>
      <c r="B13" s="23" t="str">
        <f>IF((inputPrYr!$B22&gt;" "),(inputPrYr!$B22),"  ")</f>
        <v>Ag Extension</v>
      </c>
      <c r="C13" s="189" t="str">
        <f>IF(inputPrYr!E22&gt;0,inputPrYr!E22,"  ")</f>
        <v>  </v>
      </c>
      <c r="D13" s="634" t="str">
        <f>IF(inputPrYr!F22&gt;0,(inputPrYr!F22),"  ")</f>
        <v>  </v>
      </c>
      <c r="E13" s="189" t="str">
        <f>IF(inputPrYr!E22&gt;0,ROUND(+C13*E$33,0),"  ")</f>
        <v>  </v>
      </c>
      <c r="F13" s="189" t="str">
        <f>IF(inputPrYr!E22&gt;0,ROUND(+C13*F$35,0),"  ")</f>
        <v>  </v>
      </c>
      <c r="G13" s="189" t="str">
        <f>IF(inputPrYr!E22&gt;0,ROUND(+C13*G$37,0),"  ")</f>
        <v>  </v>
      </c>
      <c r="H13" s="61"/>
      <c r="I13" s="66"/>
    </row>
    <row r="14" spans="1:9" ht="15.75">
      <c r="A14" s="67"/>
      <c r="B14" s="23" t="str">
        <f>IF((inputPrYr!$B23&gt;" "),(inputPrYr!$B23),"  ")</f>
        <v>Mental Health</v>
      </c>
      <c r="C14" s="189">
        <f>IF(inputPrYr!E23&gt;0,inputPrYr!E23,"  ")</f>
        <v>25477</v>
      </c>
      <c r="D14" s="634">
        <f>IF(inputPrYr!F23&gt;0,(inputPrYr!F23),"  ")</f>
        <v>0.368</v>
      </c>
      <c r="E14" s="189">
        <f>IF(inputPrYr!E23&gt;0,ROUND(+C14*E$33,0),"  ")</f>
        <v>1098</v>
      </c>
      <c r="F14" s="189">
        <f>IF(inputPrYr!E23&gt;0,ROUND(+C14*F$35,0),"  ")</f>
        <v>38</v>
      </c>
      <c r="G14" s="189">
        <f>IF(inputPrYr!E23&gt;0,ROUND(+C14*G$37,0),"  ")</f>
        <v>92</v>
      </c>
      <c r="H14" s="61"/>
      <c r="I14" s="66"/>
    </row>
    <row r="15" spans="1:9" ht="15.75">
      <c r="A15" s="67"/>
      <c r="B15" s="23" t="str">
        <f>IF((inputPrYr!$B24&gt;" "),(inputPrYr!$B24),"  ")</f>
        <v>Developmental Service</v>
      </c>
      <c r="C15" s="189">
        <f>IF(inputPrYr!E24&gt;0,inputPrYr!E24,"  ")</f>
        <v>51133</v>
      </c>
      <c r="D15" s="634">
        <f>IF(inputPrYr!F24&gt;0,(inputPrYr!F24),"  ")</f>
        <v>0.738</v>
      </c>
      <c r="E15" s="189">
        <f>IF(inputPrYr!E24&gt;0,ROUND(+C15*E$33,0),"  ")</f>
        <v>2203</v>
      </c>
      <c r="F15" s="189">
        <f>IF(inputPrYr!E24&gt;0,ROUND(+C15*F$35,0),"  ")</f>
        <v>77</v>
      </c>
      <c r="G15" s="189">
        <f>IF(inputPrYr!E24&gt;0,ROUND(+C15*G$37,0),"  ")</f>
        <v>184</v>
      </c>
      <c r="H15" s="61"/>
      <c r="I15" s="66"/>
    </row>
    <row r="16" spans="1:9" ht="15.75">
      <c r="A16" s="67"/>
      <c r="B16" s="23" t="str">
        <f>IF((inputPrYr!$B25&gt;" "),(inputPrYr!$B25),"  ")</f>
        <v>  </v>
      </c>
      <c r="C16" s="189" t="str">
        <f>IF(inputPrYr!E25&gt;0,inputPrYr!E25,"  ")</f>
        <v>  </v>
      </c>
      <c r="D16" s="634" t="str">
        <f>IF(inputPrYr!F25&gt;0,(inputPrYr!F25),"  ")</f>
        <v>  </v>
      </c>
      <c r="E16" s="189" t="str">
        <f>IF(inputPrYr!E25&gt;0,ROUND(+C16*E$33,0),"  ")</f>
        <v>  </v>
      </c>
      <c r="F16" s="189" t="str">
        <f>IF(inputPrYr!E25&gt;0,ROUND(+C16*F$35,0),"  ")</f>
        <v>  </v>
      </c>
      <c r="G16" s="189" t="str">
        <f>IF(inputPrYr!E25&gt;0,ROUND(+C16*G$37,0),"  ")</f>
        <v>  </v>
      </c>
      <c r="H16" s="61"/>
      <c r="I16" s="66"/>
    </row>
    <row r="17" spans="1:9" ht="15.75">
      <c r="A17" s="67"/>
      <c r="B17" s="23" t="str">
        <f>IF((inputPrYr!$B26&gt;" "),(inputPrYr!$B26),"  ")</f>
        <v>  </v>
      </c>
      <c r="C17" s="189" t="str">
        <f>IF(inputPrYr!E26&gt;0,inputPrYr!E26,"  ")</f>
        <v>  </v>
      </c>
      <c r="D17" s="634" t="str">
        <f>IF(inputPrYr!F26&gt;0,(inputPrYr!F26),"  ")</f>
        <v>  </v>
      </c>
      <c r="E17" s="189" t="str">
        <f>IF(inputPrYr!E26&gt;0,ROUND(+C17*E$33,0),"  ")</f>
        <v>  </v>
      </c>
      <c r="F17" s="189" t="str">
        <f>IF(inputPrYr!E26&gt;0,ROUND(+C17*F$35,0),"  ")</f>
        <v>  </v>
      </c>
      <c r="G17" s="189" t="str">
        <f>IF(inputPrYr!E26&gt;0,ROUND(+C17*G$37,0),"  ")</f>
        <v>  </v>
      </c>
      <c r="H17" s="61"/>
      <c r="I17" s="66"/>
    </row>
    <row r="18" spans="1:9" ht="15.75">
      <c r="A18" s="67"/>
      <c r="B18" s="23" t="str">
        <f>IF((inputPrYr!$B27&gt;" "),(inputPrYr!$B27),"  ")</f>
        <v>  </v>
      </c>
      <c r="C18" s="189" t="str">
        <f>IF(inputPrYr!E27&gt;0,inputPrYr!E27,"  ")</f>
        <v>  </v>
      </c>
      <c r="D18" s="634" t="str">
        <f>IF(inputPrYr!F27&gt;0,(inputPrYr!F27),"  ")</f>
        <v>  </v>
      </c>
      <c r="E18" s="189" t="str">
        <f>IF(inputPrYr!E27&gt;0,ROUND(+C18*E$33,0),"  ")</f>
        <v>  </v>
      </c>
      <c r="F18" s="189" t="str">
        <f>IF(inputPrYr!E27&gt;0,ROUND(+C18*F$35,0),"  ")</f>
        <v>  </v>
      </c>
      <c r="G18" s="189" t="str">
        <f>IF(inputPrYr!E27&gt;0,ROUND(+C18*G$37,0),"  ")</f>
        <v>  </v>
      </c>
      <c r="H18" s="61"/>
      <c r="I18" s="66"/>
    </row>
    <row r="19" spans="1:9" ht="15.75">
      <c r="A19" s="67"/>
      <c r="B19" s="23" t="str">
        <f>IF((inputPrYr!$B28&gt;" "),(inputPrYr!$B28),"  ")</f>
        <v>  </v>
      </c>
      <c r="C19" s="189" t="str">
        <f>IF(inputPrYr!E28&gt;0,inputPrYr!E28,"  ")</f>
        <v>  </v>
      </c>
      <c r="D19" s="634" t="str">
        <f>IF(inputPrYr!F28&gt;0,(inputPrYr!F28),"  ")</f>
        <v>  </v>
      </c>
      <c r="E19" s="189" t="str">
        <f>IF(inputPrYr!E28&gt;0,ROUND(+C19*E$33,0),"  ")</f>
        <v>  </v>
      </c>
      <c r="F19" s="189" t="str">
        <f>IF(inputPrYr!E28&gt;0,ROUND(+C19*F$35,0),"  ")</f>
        <v>  </v>
      </c>
      <c r="G19" s="189" t="str">
        <f>IF(inputPrYr!E28&gt;0,ROUND(+C19*G$37,0),"  ")</f>
        <v>  </v>
      </c>
      <c r="H19" s="61"/>
      <c r="I19" s="66"/>
    </row>
    <row r="20" spans="1:9" ht="15.75">
      <c r="A20" s="67"/>
      <c r="B20" s="23" t="str">
        <f>IF((inputPrYr!$B37&gt;" "),(inputPrYr!$B37),"  ")</f>
        <v>  </v>
      </c>
      <c r="C20" s="189" t="str">
        <f>IF(inputPrYr!E37&gt;0,inputPrYr!E37,"  ")</f>
        <v>  </v>
      </c>
      <c r="D20" s="634" t="str">
        <f>IF(inputPrYr!F37&gt;0,(inputPrYr!F37),"  ")</f>
        <v>  </v>
      </c>
      <c r="E20" s="189" t="str">
        <f>IF(inputPrYr!E37&gt;0,ROUND(+C20*E$33,0),"  ")</f>
        <v>  </v>
      </c>
      <c r="F20" s="189" t="str">
        <f>IF(inputPrYr!E37&gt;0,ROUND(+C20*F$35,0),"  ")</f>
        <v>  </v>
      </c>
      <c r="G20" s="189" t="str">
        <f>IF(inputPrYr!E37&gt;0,ROUND(+C20*G$37,0),"  ")</f>
        <v>  </v>
      </c>
      <c r="H20" s="61"/>
      <c r="I20" s="66"/>
    </row>
    <row r="21" spans="1:9" ht="15.75">
      <c r="A21" s="67"/>
      <c r="B21" s="23" t="str">
        <f>IF((inputPrYr!$B38&gt;" "),(inputPrYr!$B38),"  ")</f>
        <v>  </v>
      </c>
      <c r="C21" s="189" t="str">
        <f>IF(inputPrYr!E38&gt;0,inputPrYr!E38,"  ")</f>
        <v>  </v>
      </c>
      <c r="D21" s="634" t="str">
        <f>IF(inputPrYr!F38&gt;0,(inputPrYr!F38),"  ")</f>
        <v>  </v>
      </c>
      <c r="E21" s="189" t="str">
        <f>IF(inputPrYr!E38&gt;0,ROUND(+C21*E$33,0),"  ")</f>
        <v>  </v>
      </c>
      <c r="F21" s="189" t="str">
        <f>IF(inputPrYr!E38&gt;0,ROUND(+C21*F$35,0),"  ")</f>
        <v>  </v>
      </c>
      <c r="G21" s="189" t="str">
        <f>IF(inputPrYr!E38&gt;0,ROUND(+C21*G$37,0),"  ")</f>
        <v>  </v>
      </c>
      <c r="H21" s="61"/>
      <c r="I21" s="66"/>
    </row>
    <row r="22" spans="1:9" ht="15.75">
      <c r="A22" s="67"/>
      <c r="B22" s="23" t="str">
        <f>IF((inputPrYr!$B39&gt;" "),(inputPrYr!$B39),"  ")</f>
        <v>  </v>
      </c>
      <c r="C22" s="189" t="str">
        <f>IF(inputPrYr!E39&gt;0,inputPrYr!E39,"  ")</f>
        <v>  </v>
      </c>
      <c r="D22" s="634" t="str">
        <f>IF(inputPrYr!F39&gt;0,(inputPrYr!F39),"  ")</f>
        <v>  </v>
      </c>
      <c r="E22" s="189" t="str">
        <f>IF(inputPrYr!E39&gt;0,ROUND(+C22*E$33,0),"  ")</f>
        <v>  </v>
      </c>
      <c r="F22" s="189" t="str">
        <f>IF(inputPrYr!E39&gt;0,ROUND(+C22*F$35,0),"  ")</f>
        <v>  </v>
      </c>
      <c r="G22" s="189" t="str">
        <f>IF(inputPrYr!E39&gt;0,ROUND(+C22*G$37,0),"  ")</f>
        <v>  </v>
      </c>
      <c r="H22" s="61"/>
      <c r="I22" s="66"/>
    </row>
    <row r="23" spans="1:9" ht="15.75">
      <c r="A23" s="67"/>
      <c r="B23" s="23" t="str">
        <f>IF((inputPrYr!$B40&gt;" "),(inputPrYr!$B40),"  ")</f>
        <v>  </v>
      </c>
      <c r="C23" s="189" t="str">
        <f>IF(inputPrYr!E40&gt;0,inputPrYr!E40,"  ")</f>
        <v>  </v>
      </c>
      <c r="D23" s="634" t="str">
        <f>IF(inputPrYr!F40&gt;0,(inputPrYr!F40),"  ")</f>
        <v>  </v>
      </c>
      <c r="E23" s="189" t="str">
        <f>IF(inputPrYr!E40&gt;0,ROUND(+C23*E$33,0),"  ")</f>
        <v>  </v>
      </c>
      <c r="F23" s="189" t="str">
        <f>IF(inputPrYr!E40&gt;0,ROUND(+C23*F$35,0),"  ")</f>
        <v>  </v>
      </c>
      <c r="G23" s="189" t="str">
        <f>IF(inputPrYr!E40&gt;0,ROUND(+C23*G$37,0),"  ")</f>
        <v>  </v>
      </c>
      <c r="H23" s="61"/>
      <c r="I23" s="66"/>
    </row>
    <row r="24" spans="1:9" ht="16.5" thickBot="1">
      <c r="A24" s="67"/>
      <c r="B24" s="100" t="s">
        <v>305</v>
      </c>
      <c r="C24" s="632">
        <f>SUM(C7:C23)</f>
        <v>3958739</v>
      </c>
      <c r="D24" s="633">
        <f>SUM(D7:D23)</f>
        <v>57.134</v>
      </c>
      <c r="E24" s="632">
        <f>SUM(E7:E23)</f>
        <v>170550</v>
      </c>
      <c r="F24" s="632">
        <f>SUM(F7:F23)</f>
        <v>5947</v>
      </c>
      <c r="G24" s="632">
        <f>SUM(G7:G23)</f>
        <v>14284</v>
      </c>
      <c r="H24" s="66"/>
      <c r="I24" s="66"/>
    </row>
    <row r="25" spans="1:9" ht="16.5" thickTop="1">
      <c r="A25" s="67"/>
      <c r="B25" s="50"/>
      <c r="C25" s="61"/>
      <c r="D25" s="68"/>
      <c r="E25" s="61"/>
      <c r="F25" s="61"/>
      <c r="G25" s="61"/>
      <c r="H25" s="61"/>
      <c r="I25" s="66"/>
    </row>
    <row r="26" spans="1:9" ht="15.75">
      <c r="A26" s="67"/>
      <c r="B26" s="13" t="s">
        <v>306</v>
      </c>
      <c r="C26" s="59"/>
      <c r="D26" s="59"/>
      <c r="E26" s="60">
        <f>(inputOth!E15)</f>
        <v>170550</v>
      </c>
      <c r="F26" s="59"/>
      <c r="G26" s="28"/>
      <c r="H26" s="28"/>
      <c r="I26" s="51"/>
    </row>
    <row r="27" spans="1:9" ht="15.75">
      <c r="A27" s="67"/>
      <c r="B27" s="13"/>
      <c r="C27" s="59"/>
      <c r="D27" s="59"/>
      <c r="E27" s="61"/>
      <c r="F27" s="59"/>
      <c r="G27" s="28"/>
      <c r="H27" s="28"/>
      <c r="I27" s="51"/>
    </row>
    <row r="28" spans="1:9" ht="15.75">
      <c r="A28" s="67"/>
      <c r="B28" s="13" t="s">
        <v>307</v>
      </c>
      <c r="C28" s="28"/>
      <c r="D28" s="28"/>
      <c r="E28" s="28"/>
      <c r="F28" s="60">
        <f>(inputOth!E16)</f>
        <v>5947</v>
      </c>
      <c r="G28" s="28"/>
      <c r="H28" s="28"/>
      <c r="I28" s="51"/>
    </row>
    <row r="29" spans="1:9" ht="15.75">
      <c r="A29" s="67"/>
      <c r="B29" s="13"/>
      <c r="C29" s="28"/>
      <c r="D29" s="28"/>
      <c r="E29" s="28"/>
      <c r="F29" s="61"/>
      <c r="G29" s="28"/>
      <c r="H29" s="28"/>
      <c r="I29" s="51"/>
    </row>
    <row r="30" spans="1:9" ht="15.75">
      <c r="A30" s="67"/>
      <c r="B30" s="13" t="s">
        <v>990</v>
      </c>
      <c r="C30" s="28"/>
      <c r="D30" s="28"/>
      <c r="E30" s="28"/>
      <c r="F30" s="28"/>
      <c r="G30" s="60">
        <f>inputOth!E17</f>
        <v>14284</v>
      </c>
      <c r="H30" s="61"/>
      <c r="I30" s="51"/>
    </row>
    <row r="31" spans="1:9" ht="15.75">
      <c r="A31" s="67"/>
      <c r="B31" s="12"/>
      <c r="C31" s="28"/>
      <c r="D31" s="28"/>
      <c r="E31" s="28"/>
      <c r="F31" s="28"/>
      <c r="G31" s="28"/>
      <c r="H31" s="28"/>
      <c r="I31" s="51"/>
    </row>
    <row r="32" spans="1:9" ht="15.75">
      <c r="A32" s="67"/>
      <c r="B32" s="12"/>
      <c r="C32" s="28"/>
      <c r="D32" s="28"/>
      <c r="E32" s="28"/>
      <c r="F32" s="28"/>
      <c r="G32" s="28"/>
      <c r="H32" s="28"/>
      <c r="I32" s="51"/>
    </row>
    <row r="33" spans="1:9" ht="15.75">
      <c r="A33" s="67"/>
      <c r="B33" s="13" t="s">
        <v>308</v>
      </c>
      <c r="C33" s="28"/>
      <c r="D33" s="28"/>
      <c r="E33" s="62">
        <f>IF(C24=0,0,E26/C24)</f>
        <v>0.04308190057490529</v>
      </c>
      <c r="F33" s="28"/>
      <c r="G33" s="28"/>
      <c r="H33" s="28"/>
      <c r="I33" s="51"/>
    </row>
    <row r="34" spans="1:9" ht="15.75">
      <c r="A34" s="67"/>
      <c r="B34" s="13"/>
      <c r="C34" s="28"/>
      <c r="D34" s="28"/>
      <c r="E34" s="63"/>
      <c r="F34" s="28"/>
      <c r="G34" s="28"/>
      <c r="H34" s="28"/>
      <c r="I34" s="51"/>
    </row>
    <row r="35" spans="1:9" ht="15.75">
      <c r="A35" s="67"/>
      <c r="B35" s="13" t="s">
        <v>351</v>
      </c>
      <c r="C35" s="28"/>
      <c r="D35" s="28"/>
      <c r="E35" s="28"/>
      <c r="F35" s="62">
        <f>IF(C24=0,0,F28/C24)</f>
        <v>0.0015022460435002156</v>
      </c>
      <c r="G35" s="28"/>
      <c r="H35" s="28"/>
      <c r="I35" s="51"/>
    </row>
    <row r="36" spans="1:9" ht="15.75">
      <c r="A36" s="67"/>
      <c r="B36" s="13"/>
      <c r="C36" s="28"/>
      <c r="D36" s="28"/>
      <c r="E36" s="28"/>
      <c r="F36" s="63"/>
      <c r="G36" s="28"/>
      <c r="H36" s="28"/>
      <c r="I36" s="51"/>
    </row>
    <row r="37" spans="1:9" ht="15.75">
      <c r="A37" s="67"/>
      <c r="B37" s="13" t="s">
        <v>350</v>
      </c>
      <c r="C37" s="28"/>
      <c r="D37" s="28"/>
      <c r="E37" s="28"/>
      <c r="F37" s="28"/>
      <c r="G37" s="62">
        <f>IF(C24=0,0,G30/C24)</f>
        <v>0.0036082196881380662</v>
      </c>
      <c r="H37" s="63"/>
      <c r="I37" s="51"/>
    </row>
    <row r="38" spans="1:9" ht="15.75">
      <c r="A38" s="67"/>
      <c r="B38" s="26"/>
      <c r="C38" s="51"/>
      <c r="D38" s="51"/>
      <c r="E38" s="51"/>
      <c r="F38" s="51"/>
      <c r="G38" s="51"/>
      <c r="H38" s="51"/>
      <c r="I38" s="51"/>
    </row>
    <row r="39" spans="1:9" ht="15.75">
      <c r="A39" s="67"/>
      <c r="B39" s="26"/>
      <c r="C39" s="51"/>
      <c r="D39" s="51"/>
      <c r="E39" s="51"/>
      <c r="F39" s="51"/>
      <c r="G39" s="51"/>
      <c r="H39" s="51"/>
      <c r="I39" s="51"/>
    </row>
  </sheetData>
  <sheetProtection/>
  <mergeCells count="4">
    <mergeCell ref="C5:C6"/>
    <mergeCell ref="D5:D6"/>
    <mergeCell ref="E5:G5"/>
    <mergeCell ref="B3:G3"/>
  </mergeCells>
  <printOptions/>
  <pageMargins left="1.24" right="0.75" top="0.4" bottom="0.18" header="0" footer="0"/>
  <pageSetup blackAndWhite="1" firstPageNumber="3" useFirstPageNumber="1" fitToHeight="1" fitToWidth="1" horizontalDpi="600" verticalDpi="600" orientation="landscape" scale="87" r:id="rId1"/>
  <headerFooter alignWithMargins="0">
    <oddHeader>&amp;RState of Kansas
County</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E52" sqref="E52"/>
    </sheetView>
  </sheetViews>
  <sheetFormatPr defaultColWidth="8.796875" defaultRowHeight="15"/>
  <cols>
    <col min="1" max="2" width="17.796875" style="140" customWidth="1"/>
    <col min="3" max="6" width="12.796875" style="140" customWidth="1"/>
    <col min="7" max="16384" width="8.8984375" style="140" customWidth="1"/>
  </cols>
  <sheetData>
    <row r="1" spans="1:6" ht="15.75">
      <c r="A1" s="224"/>
      <c r="B1" s="82"/>
      <c r="C1" s="82"/>
      <c r="D1" s="82"/>
      <c r="E1" s="236"/>
      <c r="F1" s="82"/>
    </row>
    <row r="2" spans="1:6" ht="15.75">
      <c r="A2" s="141" t="str">
        <f>inputPrYr!C2</f>
        <v>Gove County</v>
      </c>
      <c r="B2" s="141"/>
      <c r="C2" s="82"/>
      <c r="D2" s="82"/>
      <c r="E2" s="236"/>
      <c r="F2" s="82">
        <f>inputPrYr!C4</f>
        <v>2014</v>
      </c>
    </row>
    <row r="3" spans="1:6" ht="15.75">
      <c r="A3" s="224"/>
      <c r="B3" s="141"/>
      <c r="C3" s="82"/>
      <c r="D3" s="82"/>
      <c r="E3" s="236"/>
      <c r="F3" s="82"/>
    </row>
    <row r="4" spans="1:6" ht="15.75">
      <c r="A4" s="224"/>
      <c r="B4" s="82"/>
      <c r="C4" s="82"/>
      <c r="D4" s="82"/>
      <c r="E4" s="236"/>
      <c r="F4" s="82"/>
    </row>
    <row r="5" spans="1:6" ht="15" customHeight="1">
      <c r="A5" s="779" t="s">
        <v>1033</v>
      </c>
      <c r="B5" s="779"/>
      <c r="C5" s="779"/>
      <c r="D5" s="779"/>
      <c r="E5" s="779"/>
      <c r="F5" s="779"/>
    </row>
    <row r="6" spans="1:6" ht="14.25" customHeight="1">
      <c r="A6" s="225"/>
      <c r="B6" s="237"/>
      <c r="C6" s="237"/>
      <c r="D6" s="237"/>
      <c r="E6" s="237"/>
      <c r="F6" s="237"/>
    </row>
    <row r="7" spans="1:6" ht="15" customHeight="1">
      <c r="A7" s="238" t="s">
        <v>788</v>
      </c>
      <c r="B7" s="238" t="s">
        <v>789</v>
      </c>
      <c r="C7" s="239" t="s">
        <v>942</v>
      </c>
      <c r="D7" s="239" t="s">
        <v>352</v>
      </c>
      <c r="E7" s="239" t="s">
        <v>353</v>
      </c>
      <c r="F7" s="239" t="s">
        <v>383</v>
      </c>
    </row>
    <row r="8" spans="1:6" ht="15" customHeight="1">
      <c r="A8" s="240" t="s">
        <v>790</v>
      </c>
      <c r="B8" s="240" t="s">
        <v>791</v>
      </c>
      <c r="C8" s="241" t="s">
        <v>382</v>
      </c>
      <c r="D8" s="241" t="s">
        <v>382</v>
      </c>
      <c r="E8" s="241" t="s">
        <v>382</v>
      </c>
      <c r="F8" s="241" t="s">
        <v>384</v>
      </c>
    </row>
    <row r="9" spans="1:6" s="222" customFormat="1" ht="15" customHeight="1" thickBot="1">
      <c r="A9" s="242" t="s">
        <v>380</v>
      </c>
      <c r="B9" s="243" t="s">
        <v>381</v>
      </c>
      <c r="C9" s="244">
        <f>F2-2</f>
        <v>2012</v>
      </c>
      <c r="D9" s="244">
        <f>F2-1</f>
        <v>2013</v>
      </c>
      <c r="E9" s="244">
        <f>F2</f>
        <v>2014</v>
      </c>
      <c r="F9" s="243" t="s">
        <v>281</v>
      </c>
    </row>
    <row r="10" spans="1:6" ht="15" customHeight="1" thickTop="1">
      <c r="A10" s="245" t="s">
        <v>347</v>
      </c>
      <c r="B10" s="245" t="s">
        <v>282</v>
      </c>
      <c r="C10" s="246">
        <v>11770</v>
      </c>
      <c r="D10" s="246">
        <v>12000</v>
      </c>
      <c r="E10" s="246">
        <v>15000</v>
      </c>
      <c r="F10" s="245" t="s">
        <v>498</v>
      </c>
    </row>
    <row r="11" spans="1:6" ht="15" customHeight="1">
      <c r="A11" s="108" t="s">
        <v>936</v>
      </c>
      <c r="B11" s="108" t="s">
        <v>340</v>
      </c>
      <c r="C11" s="247">
        <v>141000</v>
      </c>
      <c r="D11" s="247">
        <v>250000</v>
      </c>
      <c r="E11" s="247"/>
      <c r="F11" s="108" t="s">
        <v>499</v>
      </c>
    </row>
    <row r="12" spans="1:6" ht="15" customHeight="1">
      <c r="A12" s="108" t="s">
        <v>936</v>
      </c>
      <c r="B12" s="108" t="s">
        <v>495</v>
      </c>
      <c r="C12" s="247">
        <v>447000</v>
      </c>
      <c r="D12" s="247">
        <v>225000</v>
      </c>
      <c r="E12" s="247">
        <v>250000</v>
      </c>
      <c r="F12" s="108" t="s">
        <v>500</v>
      </c>
    </row>
    <row r="13" spans="1:6" ht="15" customHeight="1">
      <c r="A13" s="108" t="s">
        <v>326</v>
      </c>
      <c r="B13" s="108" t="s">
        <v>496</v>
      </c>
      <c r="C13" s="247">
        <v>16500</v>
      </c>
      <c r="D13" s="247">
        <v>5000</v>
      </c>
      <c r="E13" s="247">
        <v>5000</v>
      </c>
      <c r="F13" s="108" t="s">
        <v>330</v>
      </c>
    </row>
    <row r="14" spans="1:6" ht="15" customHeight="1">
      <c r="A14" s="108" t="s">
        <v>494</v>
      </c>
      <c r="B14" s="108" t="s">
        <v>497</v>
      </c>
      <c r="C14" s="247">
        <v>0</v>
      </c>
      <c r="D14" s="247"/>
      <c r="E14" s="247"/>
      <c r="F14" s="108" t="s">
        <v>501</v>
      </c>
    </row>
    <row r="15" spans="1:6" ht="15" customHeight="1">
      <c r="A15" s="108" t="s">
        <v>598</v>
      </c>
      <c r="B15" s="108" t="s">
        <v>282</v>
      </c>
      <c r="C15" s="247">
        <v>7542</v>
      </c>
      <c r="D15" s="247"/>
      <c r="E15" s="247"/>
      <c r="F15" s="108" t="s">
        <v>502</v>
      </c>
    </row>
    <row r="16" spans="1:6" ht="15" customHeight="1">
      <c r="A16" s="108" t="s">
        <v>325</v>
      </c>
      <c r="B16" s="108" t="s">
        <v>282</v>
      </c>
      <c r="C16" s="247">
        <v>20810</v>
      </c>
      <c r="D16" s="247"/>
      <c r="E16" s="247"/>
      <c r="F16" s="108" t="s">
        <v>502</v>
      </c>
    </row>
    <row r="17" spans="1:6" ht="15" customHeight="1">
      <c r="A17" s="108"/>
      <c r="B17" s="108"/>
      <c r="C17" s="247"/>
      <c r="D17" s="247"/>
      <c r="E17" s="247"/>
      <c r="F17" s="108"/>
    </row>
    <row r="18" spans="1:6" ht="15" customHeight="1">
      <c r="A18" s="108"/>
      <c r="B18" s="108"/>
      <c r="C18" s="247"/>
      <c r="D18" s="247"/>
      <c r="E18" s="247"/>
      <c r="F18" s="108"/>
    </row>
    <row r="19" spans="1:6" ht="15" customHeight="1">
      <c r="A19" s="108"/>
      <c r="B19" s="248"/>
      <c r="C19" s="247"/>
      <c r="D19" s="247"/>
      <c r="E19" s="247"/>
      <c r="F19" s="108"/>
    </row>
    <row r="20" spans="1:6" ht="15" customHeight="1">
      <c r="A20" s="108"/>
      <c r="B20" s="108"/>
      <c r="C20" s="247"/>
      <c r="D20" s="247"/>
      <c r="E20" s="247"/>
      <c r="F20" s="108"/>
    </row>
    <row r="21" spans="1:6" ht="15" customHeight="1">
      <c r="A21" s="108"/>
      <c r="B21" s="108"/>
      <c r="C21" s="247"/>
      <c r="D21" s="247"/>
      <c r="E21" s="247"/>
      <c r="F21" s="108"/>
    </row>
    <row r="22" spans="1:6" ht="15" customHeight="1">
      <c r="A22" s="108"/>
      <c r="B22" s="108"/>
      <c r="C22" s="247"/>
      <c r="D22" s="247"/>
      <c r="E22" s="247"/>
      <c r="F22" s="108"/>
    </row>
    <row r="23" spans="1:6" ht="15" customHeight="1">
      <c r="A23" s="108"/>
      <c r="B23" s="108"/>
      <c r="C23" s="247"/>
      <c r="D23" s="247"/>
      <c r="E23" s="247"/>
      <c r="F23" s="108"/>
    </row>
    <row r="24" spans="1:6" ht="15" customHeight="1">
      <c r="A24" s="108"/>
      <c r="B24" s="108"/>
      <c r="C24" s="247"/>
      <c r="D24" s="247"/>
      <c r="E24" s="247"/>
      <c r="F24" s="108"/>
    </row>
    <row r="25" spans="1:6" ht="15" customHeight="1">
      <c r="A25" s="108"/>
      <c r="B25" s="108"/>
      <c r="C25" s="247"/>
      <c r="D25" s="247"/>
      <c r="E25" s="247"/>
      <c r="F25" s="108"/>
    </row>
    <row r="26" spans="1:6" ht="15" customHeight="1">
      <c r="A26" s="108"/>
      <c r="B26" s="108"/>
      <c r="C26" s="247"/>
      <c r="D26" s="247"/>
      <c r="E26" s="247"/>
      <c r="F26" s="108"/>
    </row>
    <row r="27" spans="1:6" ht="15.75">
      <c r="A27" s="134"/>
      <c r="B27" s="249" t="s">
        <v>283</v>
      </c>
      <c r="C27" s="117">
        <f>SUM(C10:C26)</f>
        <v>644622</v>
      </c>
      <c r="D27" s="117">
        <f>SUM(D10:D26)</f>
        <v>492000</v>
      </c>
      <c r="E27" s="117">
        <f>SUM(E10:E26)</f>
        <v>270000</v>
      </c>
      <c r="F27" s="134"/>
    </row>
    <row r="28" spans="1:7" ht="15.75">
      <c r="A28" s="134"/>
      <c r="B28" s="250" t="s">
        <v>786</v>
      </c>
      <c r="C28" s="101"/>
      <c r="D28" s="102">
        <v>12000</v>
      </c>
      <c r="E28" s="102">
        <v>15000</v>
      </c>
      <c r="F28" s="134"/>
      <c r="G28" s="723"/>
    </row>
    <row r="29" spans="1:6" ht="15.75">
      <c r="A29" s="134"/>
      <c r="B29" s="249" t="s">
        <v>385</v>
      </c>
      <c r="C29" s="117">
        <f>C27</f>
        <v>644622</v>
      </c>
      <c r="D29" s="117">
        <f>SUM(D27-D28)</f>
        <v>480000</v>
      </c>
      <c r="E29" s="117">
        <f>SUM(E27-E28)</f>
        <v>255000</v>
      </c>
      <c r="F29" s="134"/>
    </row>
    <row r="30" spans="1:6" ht="15.75">
      <c r="A30" s="134"/>
      <c r="B30" s="134"/>
      <c r="C30" s="134"/>
      <c r="D30" s="134"/>
      <c r="E30" s="134"/>
      <c r="F30" s="134"/>
    </row>
    <row r="31" spans="1:6" ht="15.75">
      <c r="A31" s="134"/>
      <c r="B31" s="134"/>
      <c r="C31" s="134"/>
      <c r="D31" s="134"/>
      <c r="E31" s="134"/>
      <c r="F31" s="134"/>
    </row>
    <row r="32" spans="1:6" ht="15.75">
      <c r="A32" s="437" t="s">
        <v>787</v>
      </c>
      <c r="B32" s="438" t="str">
        <f>CONCATENATE("Adjustments are required only if the transfer is being made in ",D9," and/or ",E9," from a non-budgeted fund.")</f>
        <v>Adjustments are required only if the transfer is being made in 2013 and/or 2014 from a non-budgeted fund.</v>
      </c>
      <c r="C32" s="134"/>
      <c r="D32" s="134"/>
      <c r="E32" s="134"/>
      <c r="F32" s="134"/>
    </row>
  </sheetData>
  <sheetProtection/>
  <mergeCells count="1">
    <mergeCell ref="A5:F5"/>
  </mergeCells>
  <printOptions/>
  <pageMargins left="0.5" right="0.5" top="0.72" bottom="0.23" header="0.5" footer="0.53"/>
  <pageSetup blackAndWhite="1" fitToHeight="1" fitToWidth="1" horizontalDpi="120" verticalDpi="120" orientation="portrait" scale="86" r:id="rId1"/>
  <headerFooter alignWithMargins="0">
    <oddHeader>&amp;RState of Kansas
County
</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rbrazier</cp:lastModifiedBy>
  <cp:lastPrinted>2014-01-02T20:24:36Z</cp:lastPrinted>
  <dcterms:created xsi:type="dcterms:W3CDTF">1998-08-26T13:26:11Z</dcterms:created>
  <dcterms:modified xsi:type="dcterms:W3CDTF">2014-01-24T22:22:27Z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