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<sst xmlns="http://schemas.openxmlformats.org/spreadsheetml/2006/main" count="1689" uniqueCount="1036">
  <si>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</si>
  <si>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</si>
  <si>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</si>
  <si>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</si>
  <si>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</si>
  <si>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</si>
  <si>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</si>
  <si>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</si>
  <si>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</si>
  <si>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</si>
  <si>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</si>
  <si>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</si>
  <si>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</si>
  <si>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</si>
  <si>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</si>
  <si>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</si>
  <si>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</si>
  <si>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</si>
  <si>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</si>
  <si>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</si>
  <si>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</si>
  <si>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</si>
  <si>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</si>
  <si>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</si>
  <si>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</si>
  <si>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</si>
  <si>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</si>
  <si>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</si>
  <si>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</si>
  <si>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</si>
  <si>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</si>
  <si>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</si>
  <si>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</si>
  <si>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</si>
  <si>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</si>
  <si>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</si>
  <si>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</si>
  <si>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</si>
  <si>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</si>
  <si>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</si>
  <si>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</si>
  <si>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</si>
  <si>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</si>
  <si>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</si>
  <si>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</si>
  <si>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</si>
  <si>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</si>
  <si>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</si>
  <si>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</si>
  <si>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</si>
  <si>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</si>
  <si>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</si>
  <si>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</si>
  <si>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</si>
  <si>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</si>
  <si>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</si>
  <si>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</si>
  <si>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</si>
  <si>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</si>
  <si>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</si>
  <si>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</si>
  <si>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</si>
  <si>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</si>
  <si>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</si>
  <si>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</si>
  <si>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</si>
  <si>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</si>
  <si>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</si>
  <si>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</si>
  <si>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</si>
  <si>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</si>
  <si>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</si>
  <si>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</si>
  <si>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</si>
  <si>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</si>
  <si>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</si>
  <si>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</si>
  <si>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</si>
  <si>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</si>
  <si>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</si>
  <si>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</si>
  <si>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</si>
  <si>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</si>
  <si>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</si>
  <si>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</si>
  <si>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</si>
  <si>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</si>
  <si>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</si>
  <si>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</si>
  <si>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</si>
  <si>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</si>
  <si>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</si>
  <si>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</si>
  <si>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</si>
  <si>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</si>
  <si>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</si>
  <si>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</si>
  <si>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</si>
  <si>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</si>
  <si>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</si>
  <si>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</si>
  <si>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</si>
  <si>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</si>
  <si>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</si>
  <si>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</si>
  <si>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</si>
  <si>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</si>
  <si>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</si>
  <si>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</si>
  <si>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</si>
  <si>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</si>
  <si>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</si>
  <si>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</si>
  <si>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</si>
  <si>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</si>
  <si>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</si>
  <si>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</si>
  <si>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</si>
  <si>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</si>
  <si>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</si>
  <si>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</si>
  <si>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</si>
  <si>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</si>
  <si>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</si>
  <si>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</si>
  <si>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</si>
  <si>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</si>
  <si>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</si>
  <si>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</si>
  <si>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</si>
  <si>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</si>
  <si>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</si>
  <si>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</si>
  <si>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</si>
  <si>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</si>
  <si>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</si>
  <si>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</si>
  <si>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</si>
  <si>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</si>
  <si>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</si>
  <si>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</si>
  <si>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</si>
  <si>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</si>
  <si>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</si>
  <si>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</si>
  <si>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</si>
  <si>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</si>
  <si>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</si>
  <si>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</si>
  <si>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</si>
  <si>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</si>
  <si>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</si>
  <si>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</si>
  <si>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</si>
  <si>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</si>
  <si>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</si>
  <si>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</si>
  <si>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</si>
  <si>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</si>
  <si>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</si>
  <si>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</si>
  <si>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</si>
  <si>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</si>
  <si>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</si>
  <si>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</si>
  <si>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</si>
  <si>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</si>
  <si>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</si>
  <si>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</si>
  <si>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</si>
  <si>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</si>
  <si>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</si>
  <si>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</si>
  <si>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</si>
  <si>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</si>
  <si>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</si>
  <si>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</si>
  <si>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</si>
  <si>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</si>
  <si>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</si>
  <si>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</si>
  <si>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</si>
  <si>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</si>
  <si>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</si>
  <si>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</si>
  <si>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</si>
  <si>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</si>
  <si>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</si>
  <si>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</si>
  <si>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</si>
  <si>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</si>
  <si>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</si>
  <si>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</si>
  <si>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</si>
  <si>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</si>
  <si>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</si>
  <si>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</si>
  <si>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</si>
  <si>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</si>
  <si>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</si>
  <si>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</si>
  <si>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</si>
  <si>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</si>
  <si>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</si>
  <si>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</si>
  <si>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</si>
  <si>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</si>
  <si>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</si>
  <si>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</si>
  <si>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</si>
  <si>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</si>
  <si>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</si>
  <si>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</si>
  <si>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</si>
  <si>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</si>
  <si>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</si>
  <si>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</si>
  <si>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</si>
  <si>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</si>
  <si>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</si>
  <si>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</si>
  <si>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</si>
  <si>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</si>
  <si>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</si>
  <si>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</si>
  <si>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</si>
  <si>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</si>
  <si>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</si>
  <si>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</si>
  <si>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</si>
  <si>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</si>
  <si>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</si>
  <si>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</si>
  <si>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</si>
  <si>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</si>
  <si>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</si>
  <si>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</si>
  <si>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</si>
  <si>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</si>
  <si>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</si>
  <si>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</si>
  <si>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</si>
  <si>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</si>
  <si>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</si>
  <si>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</si>
  <si>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</si>
  <si>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</si>
  <si>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</si>
  <si>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</si>
  <si>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</si>
  <si>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</si>
  <si>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</si>
  <si>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</si>
  <si>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</si>
  <si>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</si>
  <si>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</si>
  <si>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</si>
  <si>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</si>
  <si>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</si>
  <si>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</si>
  <si>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</si>
  <si>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</si>
  <si>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</si>
  <si>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</si>
  <si>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</si>
  <si>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</si>
  <si>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</si>
  <si>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</si>
  <si>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</si>
  <si>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</si>
  <si>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</si>
  <si>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</si>
  <si>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</si>
  <si>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</si>
  <si>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</si>
  <si>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</si>
  <si>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</si>
  <si>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</si>
  <si>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</si>
  <si>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</si>
  <si>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</si>
  <si>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</si>
  <si>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</si>
  <si>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</si>
  <si>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</si>
  <si>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</si>
  <si>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</si>
  <si>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</si>
  <si>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</si>
  <si>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</si>
  <si>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</si>
  <si>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</si>
  <si>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</si>
  <si>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</si>
  <si>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</si>
  <si>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</si>
  <si>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</si>
  <si>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</si>
  <si>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</si>
  <si>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</si>
  <si>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</si>
  <si>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</si>
  <si>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</si>
  <si>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</si>
  <si>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</si>
  <si>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</si>
  <si>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</si>
  <si>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</si>
  <si>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</si>
  <si>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</si>
  <si>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</si>
  <si>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</si>
  <si>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</si>
  <si>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</si>
  <si>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</si>
  <si>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</si>
  <si>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</si>
  <si>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</si>
  <si>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</si>
  <si>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</si>
  <si>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</si>
  <si>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</si>
  <si>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</si>
  <si>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</si>
  <si>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</si>
  <si>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</si>
  <si>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</si>
  <si>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</si>
  <si>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</si>
  <si>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</si>
  <si>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</si>
  <si>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</si>
  <si>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</si>
  <si>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</si>
  <si>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</si>
  <si>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</si>
  <si>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</si>
  <si>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</si>
  <si>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</si>
  <si>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</si>
  <si>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</si>
  <si>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</si>
  <si>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</si>
  <si>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</si>
  <si>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</si>
  <si>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</si>
  <si>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</si>
  <si>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</si>
  <si>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</si>
  <si>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</si>
  <si>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</si>
  <si>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</si>
  <si>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</si>
  <si>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</si>
  <si>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</si>
  <si>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</si>
  <si>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</si>
  <si>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</si>
  <si>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</si>
  <si>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</si>
  <si>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</si>
  <si>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</si>
  <si>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</si>
  <si>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</si>
  <si>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</si>
  <si>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</si>
  <si>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</si>
  <si>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</si>
  <si>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</si>
  <si>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</si>
  <si>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</si>
  <si>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</si>
  <si>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</si>
  <si>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</si>
  <si>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</si>
  <si>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</si>
  <si>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</si>
  <si>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</si>
  <si>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</si>
  <si>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</si>
  <si>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</si>
  <si>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</si>
  <si>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</si>
  <si>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</si>
  <si>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</si>
  <si>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</si>
  <si>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</si>
  <si>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</si>
  <si>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</si>
  <si>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</si>
  <si>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</si>
  <si>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</si>
  <si>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</si>
  <si>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</si>
  <si>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</si>
  <si>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</si>
  <si>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</si>
  <si>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</si>
  <si>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</si>
  <si>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</si>
  <si>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</si>
  <si>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</si>
  <si>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</si>
  <si>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</si>
  <si>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</si>
  <si>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</si>
  <si>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</si>
  <si>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</si>
  <si>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</si>
  <si>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</si>
  <si>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</si>
  <si>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</si>
  <si>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</si>
  <si>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</si>
  <si>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</si>
  <si>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</si>
  <si>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</si>
  <si>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</si>
  <si>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</si>
  <si>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</si>
  <si>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</si>
  <si>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</si>
  <si>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</si>
  <si>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</si>
  <si>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</si>
  <si>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</si>
  <si>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</si>
  <si>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</si>
  <si>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</si>
  <si>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</si>
  <si>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</si>
  <si>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</si>
  <si>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</si>
  <si>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</si>
  <si>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</si>
  <si>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</si>
  <si>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</si>
  <si>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</si>
  <si>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</si>
  <si>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</si>
  <si>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</si>
  <si>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</si>
  <si>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</si>
  <si>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</si>
  <si>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</si>
  <si>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</si>
  <si>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</si>
  <si>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</si>
  <si>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</si>
  <si>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</si>
  <si>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</si>
  <si>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</si>
  <si>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</si>
  <si>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</si>
  <si>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</si>
  <si>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</si>
  <si>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</si>
  <si>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</si>
  <si>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</si>
  <si>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</si>
  <si>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</si>
  <si>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</si>
  <si>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</si>
  <si>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</si>
  <si>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</si>
  <si>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</si>
  <si>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</si>
  <si>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</si>
  <si>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</si>
  <si>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</si>
  <si>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</si>
  <si>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</si>
  <si>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</si>
  <si>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</si>
  <si>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</si>
  <si>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</si>
  <si>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</si>
  <si>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</si>
  <si>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</si>
  <si>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</si>
  <si>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</si>
  <si>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</si>
  <si>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</si>
  <si>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</si>
  <si>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</si>
  <si>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</si>
  <si>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</si>
  <si>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</si>
  <si>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</si>
  <si>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</si>
  <si>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</si>
  <si>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</si>
  <si>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</si>
  <si>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</si>
  <si>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</si>
  <si>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</si>
  <si>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</si>
  <si>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</si>
  <si>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</si>
  <si>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</si>
  <si>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</si>
  <si>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</si>
  <si>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</si>
  <si>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</si>
  <si>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</si>
  <si>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</si>
  <si>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</si>
  <si>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</si>
  <si>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</si>
  <si>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</si>
  <si>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</si>
  <si>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</si>
  <si>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</si>
  <si>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</si>
  <si>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</si>
  <si>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</si>
  <si>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</si>
  <si>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</si>
  <si>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</si>
  <si>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</si>
  <si>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</si>
  <si>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</si>
  <si>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</si>
  <si>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</si>
  <si>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</si>
  <si>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</si>
  <si>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</si>
  <si>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</si>
  <si>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</si>
  <si>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</si>
  <si>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</si>
  <si>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</si>
  <si>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</si>
  <si>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</si>
  <si>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</si>
  <si>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</si>
  <si>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</si>
  <si>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</si>
  <si>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</si>
  <si>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</si>
  <si>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</si>
  <si>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</si>
  <si>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</si>
  <si>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</si>
  <si>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</si>
  <si>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</si>
  <si>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</si>
  <si>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</si>
  <si>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</si>
  <si>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</si>
  <si>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</si>
  <si>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</si>
  <si>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</si>
  <si>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</si>
  <si>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</si>
  <si>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</si>
  <si>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</si>
  <si>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</si>
  <si>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</si>
  <si>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</si>
  <si>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</si>
  <si>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</si>
  <si>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</si>
  <si>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</si>
  <si>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</si>
  <si>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</si>
  <si>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</si>
  <si>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</si>
  <si>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</si>
  <si>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</si>
  <si>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</si>
  <si>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</si>
  <si>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</si>
  <si>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</si>
  <si>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</si>
  <si>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</si>
  <si>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</si>
  <si>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</si>
  <si>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</si>
  <si>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</si>
  <si>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</si>
  <si>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</si>
  <si>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</si>
  <si>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</si>
  <si>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</si>
  <si>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</si>
  <si>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</si>
  <si>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</si>
  <si>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</si>
  <si>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</si>
  <si>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</si>
  <si>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</si>
  <si>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</si>
  <si>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</si>
  <si>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</si>
  <si>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</si>
  <si>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</si>
  <si>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</si>
  <si>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</si>
  <si>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</si>
  <si>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</si>
  <si>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</si>
  <si>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</si>
  <si>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</si>
  <si>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</si>
  <si>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</si>
  <si>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</si>
  <si>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</si>
  <si>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</si>
  <si>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</si>
  <si>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</si>
  <si>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</si>
  <si>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</si>
  <si>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</si>
  <si>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</si>
  <si>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</si>
  <si>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</si>
  <si>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</si>
  <si>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</si>
  <si>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</si>
  <si>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</si>
  <si>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</si>
  <si>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</si>
  <si>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</si>
  <si>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</si>
  <si>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</si>
  <si>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</si>
  <si>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</si>
  <si>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</si>
  <si>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</si>
  <si>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</si>
  <si>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</si>
  <si>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</si>
  <si>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</si>
  <si>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</si>
  <si>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</si>
  <si>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</si>
  <si>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</si>
  <si>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</si>
  <si>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</si>
  <si>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</si>
  <si>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</si>
  <si>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</si>
  <si>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</si>
  <si>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</si>
  <si>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</si>
  <si>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</si>
  <si>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</si>
  <si>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</si>
  <si>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</si>
  <si>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</si>
  <si>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</si>
  <si>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</si>
  <si>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</si>
  <si>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</si>
  <si>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</si>
  <si>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</si>
  <si>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</si>
  <si>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</si>
  <si>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</si>
  <si>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</si>
  <si>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</si>
  <si>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</si>
  <si>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</si>
  <si>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</si>
  <si>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</si>
  <si>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</si>
  <si>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</si>
  <si>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</si>
  <si>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</si>
  <si>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</si>
  <si>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</si>
  <si>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</si>
  <si>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</si>
  <si>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</si>
  <si>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</si>
  <si>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</si>
  <si>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</si>
  <si>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</si>
  <si>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</si>
  <si>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</si>
  <si>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</si>
  <si>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</si>
  <si>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</si>
  <si>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</si>
  <si>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</si>
  <si>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</si>
  <si>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</si>
  <si>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</si>
  <si>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</si>
  <si>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</si>
  <si>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</si>
  <si>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</si>
  <si>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</si>
  <si>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</si>
  <si>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</si>
  <si>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</si>
  <si>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</si>
  <si>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</si>
  <si>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</si>
  <si>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</si>
  <si>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</si>
  <si>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</si>
  <si>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</si>
  <si>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</si>
  <si>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</si>
  <si>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</si>
  <si>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</si>
  <si>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</si>
  <si>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</si>
  <si>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</si>
  <si>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</si>
  <si>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</si>
  <si>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</si>
  <si>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</si>
  <si>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</si>
  <si>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</si>
  <si>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</si>
  <si>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</si>
  <si>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</si>
  <si>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</si>
  <si>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</si>
  <si>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</si>
  <si>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</si>
  <si>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</si>
  <si>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</si>
  <si>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</si>
  <si>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</si>
  <si>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</si>
  <si>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</si>
  <si>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</si>
  <si>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</si>
  <si>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</si>
  <si>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</si>
  <si>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</si>
  <si>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</si>
  <si>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</si>
  <si>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</si>
  <si>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</si>
  <si>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</si>
  <si>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</si>
  <si>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</si>
  <si>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</si>
  <si>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</si>
  <si>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</si>
  <si>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</si>
  <si>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</si>
  <si>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</si>
  <si>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</si>
  <si>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</si>
  <si>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</si>
  <si>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</si>
  <si>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</si>
  <si>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</si>
  <si>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</si>
  <si>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</si>
  <si>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</si>
  <si>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</si>
  <si>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</si>
  <si>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</si>
  <si>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</si>
  <si>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</si>
  <si>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</si>
  <si>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</si>
  <si>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</si>
  <si>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</si>
  <si>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</si>
  <si>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</si>
  <si>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</si>
  <si>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</si>
  <si>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</si>
  <si>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</si>
  <si>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</si>
  <si>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</si>
  <si>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</si>
  <si>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</si>
  <si>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</si>
  <si>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</si>
  <si>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</si>
  <si>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</si>
  <si>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</si>
  <si>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</si>
  <si>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</si>
  <si>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</si>
  <si>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</si>
  <si>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</si>
  <si>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</si>
  <si>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</si>
  <si>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</si>
  <si>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</si>
  <si>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</si>
  <si>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</si>
  <si>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</si>
  <si>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</si>
  <si>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</si>
  <si>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</si>
  <si>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</si>
  <si>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</si>
  <si>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</si>
  <si>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</si>
  <si>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</si>
  <si>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</si>
  <si>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</si>
  <si>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</si>
  <si>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</si>
  <si>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</si>
  <si>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</si>
  <si>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</si>
  <si>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</si>
  <si>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</si>
  <si>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</si>
  <si>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</si>
  <si>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</si>
  <si>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</si>
  <si>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</si>
  <si>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</si>
  <si>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</si>
  <si>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</si>
  <si>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</si>
  <si>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</si>
  <si>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</si>
  <si>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</si>
  <si>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</si>
  <si>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</si>
  <si>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</si>
  <si>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</si>
  <si>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</si>
  <si>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</si>
  <si>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</si>
  <si>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</si>
  <si>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</si>
  <si>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</si>
  <si>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</si>
  <si>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</si>
  <si>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</si>
  <si>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</si>
  <si>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</si>
  <si>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</si>
  <si>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</si>
  <si>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</si>
  <si>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</si>
  <si>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</si>
  <si>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</si>
  <si>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</si>
  <si>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</si>
  <si>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</si>
  <si>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</si>
  <si>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</si>
  <si>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</si>
  <si>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</si>
  <si>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</si>
  <si>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</si>
  <si>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</si>
  <si>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</si>
  <si>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</si>
  <si>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</si>
  <si>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</si>
  <si>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</si>
  <si>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</si>
  <si>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</si>
  <si>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</si>
  <si>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</si>
  <si>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</si>
  <si>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</si>
  <si>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</si>
  <si>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</si>
  <si>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</si>
  <si>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</si>
  <si>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</si>
  <si>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</si>
  <si>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</si>
  <si>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</si>
  <si>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</si>
  <si>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</si>
  <si>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</si>
  <si>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</si>
  <si>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</si>
  <si>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</si>
  <si>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</si>
  <si>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</si>
  <si>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</si>
  <si>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</si>
  <si>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</si>
  <si>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</si>
  <si>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</si>
  <si>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</si>
  <si>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</si>
  <si>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</si>
  <si>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</si>
  <si>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</si>
  <si>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</si>
  <si>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</si>
  <si>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</si>
  <si>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</si>
  <si>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</si>
  <si>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</si>
  <si>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</si>
  <si>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</si>
  <si>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</si>
  <si>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</si>
  <si>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</si>
  <si>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</si>
  <si>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</si>
  <si>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</si>
  <si>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</si>
  <si>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</si>
  <si>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</si>
  <si>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</si>
  <si>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</si>
  <si>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</si>
  <si>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</si>
  <si>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</si>
  <si>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</si>
  <si>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</si>
  <si>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</si>
  <si>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</si>
  <si>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</si>
  <si>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</si>
  <si>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</si>
  <si>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</si>
  <si>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</si>
  <si>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</si>
  <si>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</si>
  <si>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</si>
  <si>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</si>
  <si>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</si>
  <si>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</si>
  <si>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</si>
  <si>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</si>
  <si>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</si>
  <si>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</si>
  <si>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</si>
  <si>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</si>
  <si>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</si>
  <si>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</si>
  <si>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</si>
  <si>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</si>
  <si>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</si>
  <si>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</si>
  <si>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</si>
  <si>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</si>
  <si>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</si>
  <si>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</si>
  <si>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</si>
  <si>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</si>
  <si>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</si>
  <si>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</si>
  <si>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</si>
  <si>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</si>
  <si>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</si>
  <si>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</si>
  <si>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</si>
  <si>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</si>
  <si>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</si>
  <si>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</si>
  <si>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</si>
  <si>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</si>
  <si>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</si>
  <si>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</si>
  <si>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</si>
  <si>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</si>
  <si>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</si>
  <si>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</si>
  <si>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</si>
  <si>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</si>
  <si>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</si>
  <si>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</si>
  <si>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</si>
  <si>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</si>
  <si>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</si>
  <si>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</si>
  <si>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</si>
  <si>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</si>
  <si>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</si>
  <si>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</si>
  <si>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</si>
  <si>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</si>
  <si>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</si>
  <si>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</si>
  <si>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</si>
  <si>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</si>
  <si>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</si>
  <si>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</si>
  <si>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</si>
  <si>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</si>
  <si>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</si>
  <si>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</si>
  <si>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</si>
  <si>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</si>
  <si>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</si>
  <si>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</si>
  <si>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</si>
  <si>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</si>
  <si>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</si>
  <si>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</si>
  <si>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</si>
  <si>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</si>
  <si>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</si>
  <si>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</si>
  <si>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Green</t>
  </si>
  <si>
    <t>Clay County</t>
  </si>
  <si>
    <t>Water</t>
  </si>
  <si>
    <t>Sewer</t>
  </si>
  <si>
    <t>Capital Improvement</t>
  </si>
  <si>
    <t>Park Renovation</t>
  </si>
  <si>
    <t>Green City Hall</t>
  </si>
  <si>
    <t>Carla Wiedmer</t>
  </si>
  <si>
    <t>Green City Clerk</t>
  </si>
  <si>
    <t>NONE</t>
  </si>
  <si>
    <t>NRP</t>
  </si>
  <si>
    <t>Trash</t>
  </si>
  <si>
    <t xml:space="preserve">Donations </t>
  </si>
  <si>
    <t>Taxes</t>
  </si>
  <si>
    <t>Sales Tax</t>
  </si>
  <si>
    <t>Office Supplies</t>
  </si>
  <si>
    <t>Repairs</t>
  </si>
  <si>
    <t>Legal/Advertising</t>
  </si>
  <si>
    <t>Insurance</t>
  </si>
  <si>
    <t>Misc.</t>
  </si>
  <si>
    <t>Utilities</t>
  </si>
  <si>
    <t>Salaries</t>
  </si>
  <si>
    <t>Phase 2 Water Project</t>
  </si>
  <si>
    <t>Fees</t>
  </si>
  <si>
    <t>Temp Note/Loan Payoff</t>
  </si>
  <si>
    <t>Rural Development Loan</t>
  </si>
  <si>
    <t>Rural Development /CDBG Grant/Loan</t>
  </si>
  <si>
    <t>Culvert Replacement</t>
  </si>
  <si>
    <t>Donations/Grant</t>
  </si>
  <si>
    <t>Maint.</t>
  </si>
  <si>
    <t>Capital Improvements</t>
  </si>
  <si>
    <t>Fire Equipment</t>
  </si>
  <si>
    <t>RD Loan</t>
  </si>
  <si>
    <t>August 5,  2013</t>
  </si>
  <si>
    <t>6:00 p.m.</t>
  </si>
  <si>
    <t>City of Green GO Bonds</t>
  </si>
  <si>
    <t>Maintance</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</si>
</sst>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7"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7"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7" fillId="29" borderId="0" xfId="0" applyFont="1" applyFill="1" applyBorder="1" applyAlignment="1">
      <alignment horizontal="center" wrapText="1"/>
    </xf>
    <xf numFmtId="0" fontId="43" fillId="0" borderId="0" xfId="0" applyFont="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7"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35">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9" t="s">
        <v>996</v>
      </c>
    </row>
    <row r="4" ht="15.75">
      <c r="A4" s="52"/>
    </row>
    <row r="5" ht="85.5" customHeight="1">
      <c r="A5" s="53" t="s">
        <v>48</v>
      </c>
    </row>
    <row r="6" ht="15.75">
      <c r="A6" s="53"/>
    </row>
    <row r="7" ht="53.25" customHeight="1">
      <c r="A7" s="53" t="s">
        <v>970</v>
      </c>
    </row>
    <row r="9" ht="15.75">
      <c r="A9" s="50" t="s">
        <v>62</v>
      </c>
    </row>
    <row r="10" ht="15.75">
      <c r="A10" s="50"/>
    </row>
    <row r="11" ht="27" customHeight="1">
      <c r="A11" s="52" t="s">
        <v>63</v>
      </c>
    </row>
    <row r="12" ht="51.75" customHeight="1" hidden="1"/>
    <row r="13" ht="12" customHeight="1"/>
    <row r="14" ht="42.75" customHeight="1">
      <c r="A14" s="54" t="s">
        <v>669</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760</v>
      </c>
    </row>
    <row r="37" ht="38.25" customHeight="1">
      <c r="A37" s="53" t="s">
        <v>40</v>
      </c>
    </row>
    <row r="38" ht="57" customHeight="1">
      <c r="A38" s="62" t="s">
        <v>14</v>
      </c>
    </row>
    <row r="39" ht="114.75" customHeight="1">
      <c r="A39" s="62" t="s">
        <v>927</v>
      </c>
    </row>
    <row r="40" ht="11.25" customHeight="1"/>
    <row r="41" ht="81" customHeight="1">
      <c r="A41" s="53" t="s">
        <v>668</v>
      </c>
    </row>
    <row r="42" ht="66" customHeight="1">
      <c r="A42" s="53" t="s">
        <v>97</v>
      </c>
    </row>
    <row r="43" ht="105" customHeight="1">
      <c r="A43" s="53" t="s">
        <v>101</v>
      </c>
    </row>
    <row r="44" ht="12.75" customHeight="1"/>
    <row r="45" ht="73.5" customHeight="1">
      <c r="A45" s="392" t="s">
        <v>909</v>
      </c>
    </row>
    <row r="46" ht="69.75" customHeight="1">
      <c r="A46" s="393" t="s">
        <v>620</v>
      </c>
    </row>
    <row r="47" ht="69.75" customHeight="1">
      <c r="A47" s="393" t="s">
        <v>910</v>
      </c>
    </row>
    <row r="48" ht="12.75" customHeight="1"/>
    <row r="49" ht="67.5" customHeight="1">
      <c r="A49" s="53" t="s">
        <v>621</v>
      </c>
    </row>
    <row r="50" ht="37.5" customHeight="1">
      <c r="A50" s="53" t="s">
        <v>622</v>
      </c>
    </row>
    <row r="51" ht="13.5" customHeight="1">
      <c r="A51" s="53"/>
    </row>
    <row r="52" ht="69.75" customHeight="1">
      <c r="A52" s="53" t="s">
        <v>623</v>
      </c>
    </row>
    <row r="53" ht="103.5" customHeight="1">
      <c r="A53" s="53" t="s">
        <v>982</v>
      </c>
    </row>
    <row r="54" ht="13.5" customHeight="1">
      <c r="A54" s="53"/>
    </row>
    <row r="55" ht="70.5" customHeight="1">
      <c r="A55" s="53" t="s">
        <v>761</v>
      </c>
    </row>
    <row r="56" ht="117.75" customHeight="1">
      <c r="A56" s="53" t="s">
        <v>624</v>
      </c>
    </row>
    <row r="57" ht="35.25" customHeight="1">
      <c r="A57" s="53" t="s">
        <v>625</v>
      </c>
    </row>
    <row r="58" ht="15.75">
      <c r="A58" s="53"/>
    </row>
    <row r="59" ht="82.5" customHeight="1">
      <c r="A59" s="53" t="s">
        <v>898</v>
      </c>
    </row>
    <row r="61" ht="64.5" customHeight="1">
      <c r="A61" s="53" t="s">
        <v>626</v>
      </c>
    </row>
    <row r="62" ht="42.75" customHeight="1">
      <c r="A62" s="53" t="s">
        <v>645</v>
      </c>
    </row>
    <row r="63" ht="88.5" customHeight="1">
      <c r="A63" s="53" t="s">
        <v>670</v>
      </c>
    </row>
    <row r="64" ht="39" customHeight="1">
      <c r="A64" s="357" t="s">
        <v>646</v>
      </c>
    </row>
    <row r="66" s="53" customFormat="1" ht="58.5" customHeight="1">
      <c r="A66" s="53" t="s">
        <v>627</v>
      </c>
    </row>
    <row r="68" ht="69" customHeight="1">
      <c r="A68" s="53" t="s">
        <v>628</v>
      </c>
    </row>
    <row r="69" ht="11.25" customHeight="1"/>
    <row r="70" ht="147" customHeight="1">
      <c r="A70" s="53" t="s">
        <v>959</v>
      </c>
    </row>
    <row r="71" ht="11.25" customHeight="1"/>
    <row r="72" ht="85.5" customHeight="1">
      <c r="A72" s="53" t="s">
        <v>971</v>
      </c>
    </row>
    <row r="73" ht="85.5" customHeight="1">
      <c r="A73" s="53" t="s">
        <v>911</v>
      </c>
    </row>
    <row r="74" ht="104.25" customHeight="1">
      <c r="A74" s="492" t="s">
        <v>958</v>
      </c>
    </row>
    <row r="75" ht="73.5" customHeight="1">
      <c r="A75" s="492" t="s">
        <v>957</v>
      </c>
    </row>
    <row r="76" ht="73.5" customHeight="1">
      <c r="A76" s="492" t="s">
        <v>963</v>
      </c>
    </row>
    <row r="77" ht="136.5" customHeight="1">
      <c r="A77" s="53" t="s">
        <v>912</v>
      </c>
    </row>
    <row r="78" ht="85.5" customHeight="1">
      <c r="A78" s="53" t="s">
        <v>913</v>
      </c>
    </row>
    <row r="79" ht="116.25" customHeight="1">
      <c r="A79" s="53" t="s">
        <v>914</v>
      </c>
    </row>
    <row r="80" ht="140.25" customHeight="1">
      <c r="A80" s="53" t="s">
        <v>972</v>
      </c>
    </row>
    <row r="81" ht="63" customHeight="1">
      <c r="A81" s="53" t="s">
        <v>915</v>
      </c>
    </row>
    <row r="82" ht="128.25" customHeight="1">
      <c r="A82" s="53" t="s">
        <v>916</v>
      </c>
    </row>
    <row r="83" ht="52.5" customHeight="1">
      <c r="A83" s="53" t="s">
        <v>917</v>
      </c>
    </row>
    <row r="84" ht="81" customHeight="1">
      <c r="A84" s="53" t="s">
        <v>918</v>
      </c>
    </row>
    <row r="85" ht="129" customHeight="1">
      <c r="A85" s="358" t="s">
        <v>919</v>
      </c>
    </row>
    <row r="86" ht="130.5" customHeight="1">
      <c r="A86" s="359" t="s">
        <v>920</v>
      </c>
    </row>
    <row r="87" ht="70.5" customHeight="1">
      <c r="A87" s="360" t="s">
        <v>921</v>
      </c>
    </row>
    <row r="88" ht="12" customHeight="1"/>
    <row r="89" ht="54" customHeight="1">
      <c r="A89" s="53" t="s">
        <v>899</v>
      </c>
    </row>
    <row r="90" ht="72" customHeight="1">
      <c r="A90" s="744" t="s">
        <v>975</v>
      </c>
    </row>
    <row r="91" ht="38.25" customHeight="1">
      <c r="A91" s="394" t="s">
        <v>976</v>
      </c>
    </row>
    <row r="92" ht="36.75" customHeight="1">
      <c r="A92" s="492" t="s">
        <v>977</v>
      </c>
    </row>
    <row r="93" ht="131.25" customHeight="1">
      <c r="A93" s="492" t="s">
        <v>978</v>
      </c>
    </row>
    <row r="94" ht="153.75" customHeight="1">
      <c r="A94" s="492" t="s">
        <v>979</v>
      </c>
    </row>
    <row r="95" ht="92.25" customHeight="1">
      <c r="A95" s="395" t="s">
        <v>980</v>
      </c>
    </row>
    <row r="96" ht="89.25" customHeight="1">
      <c r="A96" s="396" t="s">
        <v>981</v>
      </c>
    </row>
    <row r="97" ht="12" customHeight="1"/>
    <row r="98" ht="127.5" customHeight="1">
      <c r="A98" s="53" t="s">
        <v>900</v>
      </c>
    </row>
    <row r="99" ht="117" customHeight="1">
      <c r="A99" s="53" t="s">
        <v>901</v>
      </c>
    </row>
    <row r="100" ht="56.25" customHeight="1">
      <c r="A100" s="53" t="s">
        <v>902</v>
      </c>
    </row>
    <row r="101" ht="26.25" customHeight="1">
      <c r="A101" s="53" t="s">
        <v>903</v>
      </c>
    </row>
    <row r="102" ht="14.25" customHeight="1">
      <c r="A102" s="53"/>
    </row>
    <row r="103" ht="68.25" customHeight="1">
      <c r="A103" s="53" t="s">
        <v>904</v>
      </c>
    </row>
    <row r="105" ht="63.75" customHeight="1">
      <c r="A105" s="492" t="s">
        <v>905</v>
      </c>
    </row>
    <row r="106" ht="105.75" customHeight="1">
      <c r="A106" s="492" t="s">
        <v>906</v>
      </c>
    </row>
    <row r="107" ht="130.5" customHeight="1">
      <c r="A107" s="492" t="s">
        <v>907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A1" sqref="A1"/>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Green</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227</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198</v>
      </c>
      <c r="D5" s="219" t="s">
        <v>198</v>
      </c>
      <c r="E5" s="219" t="s">
        <v>212</v>
      </c>
      <c r="F5" s="219"/>
      <c r="G5" s="219" t="s">
        <v>655</v>
      </c>
      <c r="H5" s="64"/>
      <c r="I5" s="64"/>
      <c r="J5" s="241" t="s">
        <v>199</v>
      </c>
      <c r="K5" s="242"/>
      <c r="L5" s="241" t="s">
        <v>199</v>
      </c>
      <c r="M5" s="242"/>
    </row>
    <row r="6" spans="2:13" ht="15.75">
      <c r="B6" s="243" t="s">
        <v>923</v>
      </c>
      <c r="C6" s="243" t="s">
        <v>200</v>
      </c>
      <c r="D6" s="243" t="s">
        <v>323</v>
      </c>
      <c r="E6" s="243" t="s">
        <v>201</v>
      </c>
      <c r="F6" s="243" t="s">
        <v>157</v>
      </c>
      <c r="G6" s="243" t="s">
        <v>291</v>
      </c>
      <c r="H6" s="800" t="s">
        <v>202</v>
      </c>
      <c r="I6" s="801"/>
      <c r="J6" s="800">
        <f>inputPrYr!$C$5-1</f>
        <v>2013</v>
      </c>
      <c r="K6" s="803"/>
      <c r="L6" s="802">
        <f>inputPrYr!$C$5</f>
        <v>2014</v>
      </c>
      <c r="M6" s="803"/>
    </row>
    <row r="7" spans="2:13" ht="15.75">
      <c r="B7" s="246" t="s">
        <v>922</v>
      </c>
      <c r="C7" s="246" t="s">
        <v>203</v>
      </c>
      <c r="D7" s="246" t="s">
        <v>324</v>
      </c>
      <c r="E7" s="246" t="s">
        <v>178</v>
      </c>
      <c r="F7" s="246" t="s">
        <v>204</v>
      </c>
      <c r="G7" s="244" t="str">
        <f>CONCATENATE("Jan 1,",M1-1,"")</f>
        <v>Jan 1,2013</v>
      </c>
      <c r="H7" s="187" t="s">
        <v>212</v>
      </c>
      <c r="I7" s="187" t="s">
        <v>214</v>
      </c>
      <c r="J7" s="187" t="s">
        <v>212</v>
      </c>
      <c r="K7" s="187" t="s">
        <v>214</v>
      </c>
      <c r="L7" s="187" t="s">
        <v>212</v>
      </c>
      <c r="M7" s="187" t="s">
        <v>214</v>
      </c>
    </row>
    <row r="8" spans="2:13" ht="15.75">
      <c r="B8" s="245" t="s">
        <v>205</v>
      </c>
      <c r="C8" s="86"/>
      <c r="D8" s="86"/>
      <c r="E8" s="247"/>
      <c r="F8" s="189"/>
      <c r="G8" s="189"/>
      <c r="H8" s="86"/>
      <c r="I8" s="86"/>
      <c r="J8" s="189"/>
      <c r="K8" s="189"/>
      <c r="L8" s="189"/>
      <c r="M8" s="189"/>
    </row>
    <row r="9" spans="2:13" ht="15.75">
      <c r="B9" s="248" t="s">
        <v>1034</v>
      </c>
      <c r="C9" s="271">
        <v>41262</v>
      </c>
      <c r="D9" s="271">
        <v>55872</v>
      </c>
      <c r="E9" s="249">
        <v>0.0275</v>
      </c>
      <c r="F9" s="250">
        <v>201000</v>
      </c>
      <c r="G9" s="251">
        <v>201000</v>
      </c>
      <c r="H9" s="252"/>
      <c r="I9" s="252"/>
      <c r="J9" s="251">
        <v>5528</v>
      </c>
      <c r="K9" s="251">
        <v>2820</v>
      </c>
      <c r="L9" s="251">
        <v>5528</v>
      </c>
      <c r="M9" s="251">
        <v>2820</v>
      </c>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206</v>
      </c>
      <c r="C15" s="253"/>
      <c r="D15" s="253"/>
      <c r="E15" s="254"/>
      <c r="F15" s="255"/>
      <c r="G15" s="256">
        <f>SUM(G9:G14)</f>
        <v>201000</v>
      </c>
      <c r="H15" s="257"/>
      <c r="I15" s="257"/>
      <c r="J15" s="256">
        <f>SUM(J9:J14)</f>
        <v>5528</v>
      </c>
      <c r="K15" s="256">
        <f>SUM(K9:K14)</f>
        <v>2820</v>
      </c>
      <c r="L15" s="256">
        <f>SUM(L9:L14)</f>
        <v>5528</v>
      </c>
      <c r="M15" s="256">
        <f>SUM(M9:M14)</f>
        <v>2820</v>
      </c>
    </row>
    <row r="16" spans="2:13" ht="15.75">
      <c r="B16" s="187" t="s">
        <v>207</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208</v>
      </c>
      <c r="C22" s="253"/>
      <c r="D22" s="253"/>
      <c r="E22" s="261"/>
      <c r="F22" s="255"/>
      <c r="G22" s="262">
        <f>SUM(G17:G21)</f>
        <v>0</v>
      </c>
      <c r="H22" s="257"/>
      <c r="I22" s="257"/>
      <c r="J22" s="262">
        <f>SUM(J17:J21)</f>
        <v>0</v>
      </c>
      <c r="K22" s="262">
        <f>SUM(K17:K21)</f>
        <v>0</v>
      </c>
      <c r="L22" s="256">
        <f>SUM(L17:L21)</f>
        <v>0</v>
      </c>
      <c r="M22" s="262">
        <f>SUM(M17:M21)</f>
        <v>0</v>
      </c>
    </row>
    <row r="23" spans="2:13" ht="15.75">
      <c r="B23" s="187" t="s">
        <v>209</v>
      </c>
      <c r="C23" s="258"/>
      <c r="D23" s="258"/>
      <c r="E23" s="259"/>
      <c r="F23" s="221"/>
      <c r="G23" s="263"/>
      <c r="H23" s="260"/>
      <c r="I23" s="260"/>
      <c r="J23" s="221"/>
      <c r="K23" s="221"/>
      <c r="L23" s="221"/>
      <c r="M23" s="221"/>
    </row>
    <row r="24" spans="2:13" ht="15.75">
      <c r="B24" s="248" t="s">
        <v>1031</v>
      </c>
      <c r="C24" s="271">
        <v>41262</v>
      </c>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298</v>
      </c>
      <c r="C30" s="234"/>
      <c r="D30" s="234"/>
      <c r="E30" s="261"/>
      <c r="F30" s="255"/>
      <c r="G30" s="262">
        <f>SUM(G24:G29)</f>
        <v>0</v>
      </c>
      <c r="H30" s="255"/>
      <c r="I30" s="255"/>
      <c r="J30" s="262">
        <f>SUM(J24:J29)</f>
        <v>0</v>
      </c>
      <c r="K30" s="262">
        <f>SUM(K24:K29)</f>
        <v>0</v>
      </c>
      <c r="L30" s="262">
        <f>SUM(L24:L29)</f>
        <v>0</v>
      </c>
      <c r="M30" s="262">
        <f>SUM(M24:M29)</f>
        <v>0</v>
      </c>
    </row>
    <row r="31" spans="2:13" ht="15.75">
      <c r="B31" s="234" t="s">
        <v>210</v>
      </c>
      <c r="C31" s="234"/>
      <c r="D31" s="234"/>
      <c r="E31" s="234"/>
      <c r="F31" s="255"/>
      <c r="G31" s="262">
        <f>SUM(G15+G22+G30)</f>
        <v>201000</v>
      </c>
      <c r="H31" s="255"/>
      <c r="I31" s="255"/>
      <c r="J31" s="262">
        <f>SUM(J15+J22+J30)</f>
        <v>5528</v>
      </c>
      <c r="K31" s="262">
        <f>SUM(K15+K22+K30)</f>
        <v>2820</v>
      </c>
      <c r="L31" s="262">
        <f>SUM(L15+L22+L30)</f>
        <v>5528</v>
      </c>
      <c r="M31" s="262">
        <f>SUM(M15+M22+M30)</f>
        <v>2820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A1" sqref="A1"/>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Green</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264</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211</v>
      </c>
      <c r="E6" s="243" t="s">
        <v>212</v>
      </c>
      <c r="F6" s="243" t="s">
        <v>157</v>
      </c>
      <c r="G6" s="243" t="s">
        <v>317</v>
      </c>
      <c r="H6" s="243" t="s">
        <v>215</v>
      </c>
      <c r="I6" s="243" t="s">
        <v>215</v>
      </c>
    </row>
    <row r="7" spans="2:9" ht="15.75">
      <c r="B7" s="243" t="s">
        <v>924</v>
      </c>
      <c r="C7" s="243" t="s">
        <v>216</v>
      </c>
      <c r="D7" s="243" t="s">
        <v>217</v>
      </c>
      <c r="E7" s="243" t="s">
        <v>201</v>
      </c>
      <c r="F7" s="243" t="s">
        <v>218</v>
      </c>
      <c r="G7" s="243" t="s">
        <v>318</v>
      </c>
      <c r="H7" s="243" t="s">
        <v>219</v>
      </c>
      <c r="I7" s="243" t="s">
        <v>219</v>
      </c>
    </row>
    <row r="8" spans="2:9" ht="15.75">
      <c r="B8" s="246" t="s">
        <v>925</v>
      </c>
      <c r="C8" s="246" t="s">
        <v>198</v>
      </c>
      <c r="D8" s="270" t="s">
        <v>220</v>
      </c>
      <c r="E8" s="246" t="s">
        <v>178</v>
      </c>
      <c r="F8" s="270" t="s">
        <v>292</v>
      </c>
      <c r="G8" s="246">
        <f>inputPrYr!C5-1</f>
        <v>2013</v>
      </c>
      <c r="H8" s="246">
        <f>inputPrYr!C5-1</f>
        <v>2013</v>
      </c>
      <c r="I8" s="229">
        <f>inputPrYr!$C$5</f>
        <v>2014</v>
      </c>
    </row>
    <row r="9" spans="2:9" ht="15.75">
      <c r="B9" s="248"/>
      <c r="C9" s="271"/>
      <c r="D9" s="271"/>
      <c r="E9" s="249"/>
      <c r="F9" s="250"/>
      <c r="G9" s="250"/>
      <c r="H9" s="250"/>
      <c r="I9" s="250"/>
    </row>
    <row r="10" spans="2:9" ht="15.75">
      <c r="B10" s="248" t="s">
        <v>1008</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804" t="s">
        <v>848</v>
      </c>
      <c r="C2" s="804"/>
      <c r="D2" s="804"/>
      <c r="E2" s="804"/>
      <c r="F2" s="804"/>
      <c r="G2" s="804"/>
      <c r="H2" s="804"/>
      <c r="I2" s="804"/>
    </row>
    <row r="3" spans="2:9" ht="15.75">
      <c r="B3" s="804" t="s">
        <v>849</v>
      </c>
      <c r="C3" s="804"/>
      <c r="D3" s="804"/>
      <c r="E3" s="804"/>
      <c r="F3" s="804"/>
      <c r="G3" s="804"/>
      <c r="H3" s="804"/>
      <c r="I3" s="804"/>
    </row>
    <row r="4" spans="2:9" ht="15.75">
      <c r="B4" s="673"/>
      <c r="C4" s="673"/>
      <c r="D4" s="673"/>
      <c r="E4" s="673"/>
      <c r="F4" s="673"/>
      <c r="G4" s="673"/>
      <c r="H4" s="673"/>
      <c r="I4" s="673"/>
    </row>
    <row r="5" spans="2:9" ht="15.75">
      <c r="B5" s="805" t="str">
        <f>CONCATENATE("Budgeted Year: ",inputPrYr!C5,"")</f>
        <v>Budgeted Year: 2014</v>
      </c>
      <c r="C5" s="805"/>
      <c r="D5" s="805"/>
      <c r="E5" s="805"/>
      <c r="F5" s="805"/>
      <c r="G5" s="805"/>
      <c r="H5" s="805"/>
      <c r="I5" s="805"/>
    </row>
    <row r="6" spans="2:9" ht="15.75">
      <c r="B6" s="674"/>
      <c r="C6" s="673"/>
      <c r="D6" s="673"/>
      <c r="E6" s="673"/>
      <c r="F6" s="673"/>
      <c r="G6" s="673"/>
      <c r="H6" s="673"/>
      <c r="I6" s="673"/>
    </row>
    <row r="7" spans="2:9" ht="15.75">
      <c r="B7" s="674" t="str">
        <f>CONCATENATE("Library found in: ",inputPrYr!D2,"")</f>
        <v>Library found in: City of Green</v>
      </c>
      <c r="C7" s="673"/>
      <c r="D7" s="673"/>
      <c r="E7" s="673"/>
      <c r="F7" s="673"/>
      <c r="G7" s="673"/>
      <c r="H7" s="673"/>
      <c r="I7" s="673"/>
    </row>
    <row r="8" spans="2:9" ht="15.75">
      <c r="B8" s="674" t="str">
        <f>inputPrYr!D3</f>
        <v>Clay County</v>
      </c>
      <c r="C8" s="673"/>
      <c r="D8" s="673"/>
      <c r="E8" s="673"/>
      <c r="F8" s="673"/>
      <c r="G8" s="673"/>
      <c r="H8" s="673"/>
      <c r="I8" s="673"/>
    </row>
    <row r="9" spans="2:9" ht="15.75">
      <c r="B9" s="673"/>
      <c r="C9" s="673"/>
      <c r="D9" s="673"/>
      <c r="E9" s="673"/>
      <c r="F9" s="673"/>
      <c r="G9" s="673"/>
      <c r="H9" s="673"/>
      <c r="I9" s="673"/>
    </row>
    <row r="10" spans="2:9" ht="39" customHeight="1">
      <c r="B10" s="806" t="s">
        <v>850</v>
      </c>
      <c r="C10" s="806"/>
      <c r="D10" s="806"/>
      <c r="E10" s="806"/>
      <c r="F10" s="806"/>
      <c r="G10" s="806"/>
      <c r="H10" s="806"/>
      <c r="I10" s="806"/>
    </row>
    <row r="11" spans="2:9" ht="15.75">
      <c r="B11" s="673"/>
      <c r="C11" s="673"/>
      <c r="D11" s="673"/>
      <c r="E11" s="673"/>
      <c r="F11" s="673"/>
      <c r="G11" s="673"/>
      <c r="H11" s="673"/>
      <c r="I11" s="673"/>
    </row>
    <row r="12" spans="2:9" ht="15.75">
      <c r="B12" s="675" t="s">
        <v>851</v>
      </c>
      <c r="C12" s="673"/>
      <c r="D12" s="673"/>
      <c r="E12" s="673"/>
      <c r="F12" s="673"/>
      <c r="G12" s="673"/>
      <c r="H12" s="673"/>
      <c r="I12" s="673"/>
    </row>
    <row r="13" spans="2:9" ht="15.75">
      <c r="B13" s="673"/>
      <c r="C13" s="673"/>
      <c r="D13" s="673"/>
      <c r="E13" s="676" t="s">
        <v>852</v>
      </c>
      <c r="F13" s="673"/>
      <c r="G13" s="676" t="s">
        <v>853</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v>
      </c>
      <c r="H17" s="673"/>
      <c r="I17" s="673"/>
    </row>
    <row r="18" spans="2:9" ht="15.75">
      <c r="B18" s="674" t="str">
        <f>'DebtSvs-Library'!B51</f>
        <v>Recreational Vehicle Tax</v>
      </c>
      <c r="C18" s="673"/>
      <c r="D18" s="673"/>
      <c r="E18" s="678">
        <f>'DebtSvs-Library'!D51</f>
        <v>0</v>
      </c>
      <c r="F18" s="673"/>
      <c r="G18" s="678" t="str">
        <f>'DebtSvs-Library'!E51</f>
        <v>  </v>
      </c>
      <c r="H18" s="673"/>
      <c r="I18" s="673"/>
    </row>
    <row r="19" spans="2:9" ht="15.75">
      <c r="B19" s="674" t="str">
        <f>'DebtSvs-Library'!B52</f>
        <v>16/20M Vehicle Tax</v>
      </c>
      <c r="C19" s="673"/>
      <c r="D19" s="673"/>
      <c r="E19" s="678">
        <f>'DebtSvs-Library'!D52</f>
        <v>0</v>
      </c>
      <c r="F19" s="673"/>
      <c r="G19" s="678" t="str">
        <f>'DebtSvs-Library'!E52</f>
        <v>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854</v>
      </c>
      <c r="C22" s="673"/>
      <c r="D22" s="673"/>
      <c r="E22" s="679">
        <f>SUM(E15:E21)</f>
        <v>0</v>
      </c>
      <c r="F22" s="673"/>
      <c r="G22" s="679">
        <f>SUM(G15:G21)</f>
        <v>0</v>
      </c>
      <c r="H22" s="673"/>
      <c r="I22" s="673"/>
    </row>
    <row r="23" spans="2:9" ht="15.75">
      <c r="B23" s="673" t="s">
        <v>855</v>
      </c>
      <c r="C23" s="673"/>
      <c r="D23" s="673"/>
      <c r="E23" s="680">
        <f>G22-E22</f>
        <v>0</v>
      </c>
      <c r="F23" s="673"/>
      <c r="G23" s="681"/>
      <c r="H23" s="673"/>
      <c r="I23" s="673"/>
    </row>
    <row r="24" spans="2:9" ht="15.75">
      <c r="B24" s="673" t="s">
        <v>856</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857</v>
      </c>
      <c r="C26" s="673"/>
      <c r="D26" s="673"/>
      <c r="E26" s="673"/>
      <c r="F26" s="673"/>
      <c r="G26" s="673"/>
      <c r="H26" s="673"/>
      <c r="I26" s="673"/>
    </row>
    <row r="27" spans="2:9" ht="15.75">
      <c r="B27" s="673" t="s">
        <v>190</v>
      </c>
      <c r="C27" s="673"/>
      <c r="D27" s="673"/>
      <c r="E27" s="678">
        <f>summ!D35</f>
        <v>0</v>
      </c>
      <c r="F27" s="673"/>
      <c r="G27" s="678">
        <f>summ!F35</f>
        <v>601528</v>
      </c>
      <c r="H27" s="673"/>
      <c r="I27" s="673"/>
    </row>
    <row r="28" spans="2:9" ht="15.75">
      <c r="B28" s="673" t="s">
        <v>858</v>
      </c>
      <c r="C28" s="673"/>
      <c r="D28" s="673"/>
      <c r="E28" s="683" t="str">
        <f>IF(G27-E27&gt;=0,"No","Yes")</f>
        <v>No</v>
      </c>
      <c r="F28" s="673"/>
      <c r="G28" s="673"/>
      <c r="H28" s="673"/>
      <c r="I28" s="673"/>
    </row>
    <row r="29" spans="2:9" ht="15.75">
      <c r="B29" s="673" t="s">
        <v>859</v>
      </c>
      <c r="C29" s="673"/>
      <c r="D29" s="673"/>
      <c r="E29" s="676" t="str">
        <f>summ!E18</f>
        <v>  </v>
      </c>
      <c r="F29" s="673"/>
      <c r="G29" s="691">
        <f>summ!H18</f>
      </c>
      <c r="H29" s="673"/>
      <c r="I29" s="673"/>
    </row>
    <row r="30" spans="2:9" ht="15.75">
      <c r="B30" s="673" t="s">
        <v>860</v>
      </c>
      <c r="C30" s="673"/>
      <c r="D30" s="673"/>
      <c r="E30" s="692" t="e">
        <f>G29-E29</f>
        <v>#VALUE!</v>
      </c>
      <c r="F30" s="673"/>
      <c r="G30" s="673"/>
      <c r="H30" s="673"/>
      <c r="I30" s="673"/>
    </row>
    <row r="31" spans="2:9" ht="15.75">
      <c r="B31" s="673" t="s">
        <v>856</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861</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06" t="s">
        <v>862</v>
      </c>
      <c r="C36" s="806"/>
      <c r="D36" s="806"/>
      <c r="E36" s="806"/>
      <c r="F36" s="806"/>
      <c r="G36" s="806"/>
      <c r="H36" s="806"/>
      <c r="I36" s="806"/>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197</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07" t="s">
        <v>863</v>
      </c>
      <c r="C43" s="808"/>
      <c r="D43" s="808"/>
      <c r="E43" s="808"/>
      <c r="F43" s="808"/>
      <c r="G43" s="808"/>
      <c r="H43" s="808"/>
      <c r="I43" s="808"/>
    </row>
    <row r="44" spans="2:9" ht="15.75">
      <c r="B44" s="673"/>
      <c r="C44" s="673"/>
      <c r="D44" s="673"/>
      <c r="E44" s="673"/>
      <c r="F44" s="673"/>
      <c r="G44" s="673"/>
      <c r="H44" s="673"/>
      <c r="I44" s="673"/>
    </row>
    <row r="45" spans="2:9" ht="15.75">
      <c r="B45" s="685" t="s">
        <v>864</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865</v>
      </c>
      <c r="C49" s="685"/>
      <c r="D49" s="686"/>
      <c r="E49" s="686"/>
      <c r="F49" s="686"/>
      <c r="G49" s="686"/>
      <c r="H49" s="686"/>
      <c r="I49" s="686"/>
    </row>
    <row r="50" spans="2:9" ht="15.75">
      <c r="B50" s="685" t="s">
        <v>866</v>
      </c>
      <c r="C50" s="685"/>
      <c r="D50" s="686"/>
      <c r="E50" s="686"/>
      <c r="F50" s="686"/>
      <c r="G50" s="686"/>
      <c r="H50" s="686"/>
      <c r="I50" s="686"/>
    </row>
    <row r="51" spans="2:9" ht="15.75">
      <c r="B51" s="685" t="s">
        <v>867</v>
      </c>
      <c r="C51" s="685"/>
      <c r="D51" s="686"/>
      <c r="E51" s="686"/>
      <c r="F51" s="686"/>
      <c r="G51" s="686"/>
      <c r="H51" s="686"/>
      <c r="I51" s="686"/>
    </row>
    <row r="52" spans="2:9" ht="15">
      <c r="B52" s="686"/>
      <c r="C52" s="686"/>
      <c r="D52" s="686"/>
      <c r="E52" s="686"/>
      <c r="F52" s="686"/>
      <c r="G52" s="686"/>
      <c r="H52" s="686"/>
      <c r="I52" s="686"/>
    </row>
    <row r="53" spans="2:9" ht="15.75">
      <c r="B53" s="687" t="s">
        <v>868</v>
      </c>
      <c r="C53" s="686"/>
      <c r="D53" s="686"/>
      <c r="E53" s="686"/>
      <c r="F53" s="686"/>
      <c r="G53" s="686"/>
      <c r="H53" s="686"/>
      <c r="I53" s="686"/>
    </row>
    <row r="54" spans="2:9" ht="15">
      <c r="B54" s="686"/>
      <c r="C54" s="686"/>
      <c r="D54" s="686"/>
      <c r="E54" s="686"/>
      <c r="F54" s="686"/>
      <c r="G54" s="686"/>
      <c r="H54" s="686"/>
      <c r="I54" s="686"/>
    </row>
    <row r="55" spans="2:9" ht="15.75">
      <c r="B55" s="685" t="s">
        <v>869</v>
      </c>
      <c r="C55" s="686"/>
      <c r="D55" s="686"/>
      <c r="E55" s="686"/>
      <c r="F55" s="686"/>
      <c r="G55" s="686"/>
      <c r="H55" s="686"/>
      <c r="I55" s="686"/>
    </row>
    <row r="56" spans="2:9" ht="15.75">
      <c r="B56" s="685" t="s">
        <v>870</v>
      </c>
      <c r="C56" s="686"/>
      <c r="D56" s="686"/>
      <c r="E56" s="686"/>
      <c r="F56" s="686"/>
      <c r="G56" s="686"/>
      <c r="H56" s="686"/>
      <c r="I56" s="686"/>
    </row>
    <row r="57" spans="2:9" ht="15">
      <c r="B57" s="686"/>
      <c r="C57" s="686"/>
      <c r="D57" s="686"/>
      <c r="E57" s="686"/>
      <c r="F57" s="686"/>
      <c r="G57" s="686"/>
      <c r="H57" s="686"/>
      <c r="I57" s="686"/>
    </row>
    <row r="58" spans="2:9" ht="15.75">
      <c r="B58" s="687" t="s">
        <v>871</v>
      </c>
      <c r="C58" s="685"/>
      <c r="D58" s="685"/>
      <c r="E58" s="685"/>
      <c r="F58" s="685"/>
      <c r="G58" s="686"/>
      <c r="H58" s="686"/>
      <c r="I58" s="686"/>
    </row>
    <row r="59" spans="2:9" ht="15.75">
      <c r="B59" s="685"/>
      <c r="C59" s="685"/>
      <c r="D59" s="685"/>
      <c r="E59" s="685"/>
      <c r="F59" s="685"/>
      <c r="G59" s="686"/>
      <c r="H59" s="686"/>
      <c r="I59" s="686"/>
    </row>
    <row r="60" spans="2:9" ht="15.75">
      <c r="B60" s="685" t="s">
        <v>872</v>
      </c>
      <c r="C60" s="685"/>
      <c r="D60" s="685"/>
      <c r="E60" s="685"/>
      <c r="F60" s="685"/>
      <c r="G60" s="686"/>
      <c r="H60" s="686"/>
      <c r="I60" s="686"/>
    </row>
    <row r="61" spans="2:9" ht="15.75">
      <c r="B61" s="685" t="s">
        <v>873</v>
      </c>
      <c r="C61" s="685"/>
      <c r="D61" s="685"/>
      <c r="E61" s="685"/>
      <c r="F61" s="685"/>
      <c r="G61" s="686"/>
      <c r="H61" s="686"/>
      <c r="I61" s="686"/>
    </row>
    <row r="62" spans="2:9" ht="15.75">
      <c r="B62" s="685" t="s">
        <v>874</v>
      </c>
      <c r="C62" s="685"/>
      <c r="D62" s="685"/>
      <c r="E62" s="685"/>
      <c r="F62" s="685"/>
      <c r="G62" s="686"/>
      <c r="H62" s="686"/>
      <c r="I62" s="686"/>
    </row>
    <row r="63" spans="2:9" ht="15.75">
      <c r="B63" s="685" t="s">
        <v>875</v>
      </c>
      <c r="C63" s="685"/>
      <c r="D63" s="685"/>
      <c r="E63" s="685"/>
      <c r="F63" s="685"/>
      <c r="G63" s="686"/>
      <c r="H63" s="686"/>
      <c r="I63" s="686"/>
    </row>
    <row r="64" spans="2:9" ht="15">
      <c r="B64" s="688"/>
      <c r="C64" s="688"/>
      <c r="D64" s="688"/>
      <c r="E64" s="688"/>
      <c r="F64" s="688"/>
      <c r="G64" s="686"/>
      <c r="H64" s="686"/>
      <c r="I64" s="686"/>
    </row>
    <row r="65" spans="2:9" ht="15.75">
      <c r="B65" s="685" t="s">
        <v>876</v>
      </c>
      <c r="C65" s="688"/>
      <c r="D65" s="688"/>
      <c r="E65" s="688"/>
      <c r="F65" s="688"/>
      <c r="G65" s="686"/>
      <c r="H65" s="686"/>
      <c r="I65" s="686"/>
    </row>
    <row r="66" spans="2:9" ht="15.75">
      <c r="B66" s="685" t="s">
        <v>877</v>
      </c>
      <c r="C66" s="688"/>
      <c r="D66" s="688"/>
      <c r="E66" s="688"/>
      <c r="F66" s="688"/>
      <c r="G66" s="686"/>
      <c r="H66" s="686"/>
      <c r="I66" s="686"/>
    </row>
    <row r="67" spans="2:9" ht="15">
      <c r="B67" s="688"/>
      <c r="C67" s="688"/>
      <c r="D67" s="688"/>
      <c r="E67" s="688"/>
      <c r="F67" s="688"/>
      <c r="G67" s="686"/>
      <c r="H67" s="686"/>
      <c r="I67" s="686"/>
    </row>
    <row r="68" spans="2:9" ht="15.75">
      <c r="B68" s="685" t="s">
        <v>878</v>
      </c>
      <c r="C68" s="688"/>
      <c r="D68" s="688"/>
      <c r="E68" s="688"/>
      <c r="F68" s="688"/>
      <c r="G68" s="686"/>
      <c r="H68" s="686"/>
      <c r="I68" s="686"/>
    </row>
    <row r="69" spans="2:9" ht="15.75">
      <c r="B69" s="685" t="s">
        <v>879</v>
      </c>
      <c r="C69" s="688"/>
      <c r="D69" s="688"/>
      <c r="E69" s="688"/>
      <c r="F69" s="688"/>
      <c r="G69" s="686"/>
      <c r="H69" s="686"/>
      <c r="I69" s="686"/>
    </row>
    <row r="70" spans="2:9" ht="15">
      <c r="B70" s="688"/>
      <c r="C70" s="688"/>
      <c r="D70" s="688"/>
      <c r="E70" s="688"/>
      <c r="F70" s="688"/>
      <c r="G70" s="686"/>
      <c r="H70" s="686"/>
      <c r="I70" s="686"/>
    </row>
    <row r="71" spans="2:9" ht="15.75">
      <c r="B71" s="687" t="s">
        <v>880</v>
      </c>
      <c r="C71" s="688"/>
      <c r="D71" s="688"/>
      <c r="E71" s="688"/>
      <c r="F71" s="688"/>
      <c r="G71" s="686"/>
      <c r="H71" s="686"/>
      <c r="I71" s="686"/>
    </row>
    <row r="72" spans="2:9" ht="15">
      <c r="B72" s="688"/>
      <c r="C72" s="688"/>
      <c r="D72" s="688"/>
      <c r="E72" s="688"/>
      <c r="F72" s="688"/>
      <c r="G72" s="686"/>
      <c r="H72" s="686"/>
      <c r="I72" s="686"/>
    </row>
    <row r="73" spans="2:9" ht="15.75">
      <c r="B73" s="685" t="s">
        <v>881</v>
      </c>
      <c r="C73" s="688"/>
      <c r="D73" s="688"/>
      <c r="E73" s="688"/>
      <c r="F73" s="688"/>
      <c r="G73" s="686"/>
      <c r="H73" s="686"/>
      <c r="I73" s="686"/>
    </row>
    <row r="74" spans="2:9" ht="15.75">
      <c r="B74" s="685" t="s">
        <v>882</v>
      </c>
      <c r="C74" s="688"/>
      <c r="D74" s="688"/>
      <c r="E74" s="688"/>
      <c r="F74" s="688"/>
      <c r="G74" s="686"/>
      <c r="H74" s="686"/>
      <c r="I74" s="686"/>
    </row>
    <row r="75" spans="2:9" ht="15">
      <c r="B75" s="688"/>
      <c r="C75" s="688"/>
      <c r="D75" s="688"/>
      <c r="E75" s="688"/>
      <c r="F75" s="688"/>
      <c r="G75" s="686"/>
      <c r="H75" s="686"/>
      <c r="I75" s="686"/>
    </row>
    <row r="76" spans="2:9" ht="15.75">
      <c r="B76" s="687" t="s">
        <v>883</v>
      </c>
      <c r="C76" s="688"/>
      <c r="D76" s="688"/>
      <c r="E76" s="688"/>
      <c r="F76" s="688"/>
      <c r="G76" s="686"/>
      <c r="H76" s="686"/>
      <c r="I76" s="686"/>
    </row>
    <row r="77" spans="2:9" ht="15">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884</v>
      </c>
      <c r="C79" s="688"/>
      <c r="D79" s="688"/>
      <c r="E79" s="688"/>
      <c r="F79" s="688"/>
      <c r="G79" s="686"/>
      <c r="H79" s="686"/>
      <c r="I79" s="686"/>
    </row>
    <row r="80" spans="2:9" ht="15">
      <c r="B80" s="688"/>
      <c r="C80" s="688"/>
      <c r="D80" s="688"/>
      <c r="E80" s="688"/>
      <c r="F80" s="688"/>
      <c r="G80" s="686"/>
      <c r="H80" s="686"/>
      <c r="I80" s="686"/>
    </row>
    <row r="81" spans="2:9" ht="15.75">
      <c r="B81" s="687" t="s">
        <v>479</v>
      </c>
      <c r="C81" s="688"/>
      <c r="D81" s="688"/>
      <c r="E81" s="688"/>
      <c r="F81" s="688"/>
      <c r="G81" s="686"/>
      <c r="H81" s="686"/>
      <c r="I81" s="686"/>
    </row>
    <row r="82" spans="2:9" ht="15">
      <c r="B82" s="688"/>
      <c r="C82" s="688"/>
      <c r="D82" s="688"/>
      <c r="E82" s="688"/>
      <c r="F82" s="688"/>
      <c r="G82" s="686"/>
      <c r="H82" s="686"/>
      <c r="I82" s="686"/>
    </row>
    <row r="83" spans="2:9" ht="15.75">
      <c r="B83" s="685" t="s">
        <v>885</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75">
      <c r="B86" s="685" t="s">
        <v>886</v>
      </c>
      <c r="C86" s="688"/>
      <c r="D86" s="688"/>
      <c r="E86" s="688"/>
      <c r="F86" s="688"/>
      <c r="G86" s="686"/>
      <c r="H86" s="686"/>
      <c r="I86" s="686"/>
    </row>
    <row r="87" spans="2:9" ht="15.75">
      <c r="B87" s="685" t="s">
        <v>887</v>
      </c>
      <c r="C87" s="688"/>
      <c r="D87" s="688"/>
      <c r="E87" s="688"/>
      <c r="F87" s="688"/>
      <c r="G87" s="686"/>
      <c r="H87" s="686"/>
      <c r="I87" s="686"/>
    </row>
    <row r="88" spans="2:9" ht="15.75">
      <c r="B88" s="685" t="s">
        <v>888</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889</v>
      </c>
      <c r="C92" s="688"/>
      <c r="D92" s="688"/>
      <c r="E92" s="688"/>
      <c r="F92" s="688"/>
      <c r="G92" s="686"/>
      <c r="H92" s="686"/>
      <c r="I92" s="686"/>
    </row>
    <row r="93" spans="2:9" ht="15.75">
      <c r="B93" s="685" t="s">
        <v>890</v>
      </c>
      <c r="C93" s="688"/>
      <c r="D93" s="688"/>
      <c r="E93" s="688"/>
      <c r="F93" s="688"/>
      <c r="G93" s="686"/>
      <c r="H93" s="686"/>
      <c r="I93" s="686"/>
    </row>
    <row r="94" spans="2:9" ht="15.75">
      <c r="B94" s="685" t="s">
        <v>891</v>
      </c>
      <c r="C94" s="688"/>
      <c r="D94" s="688"/>
      <c r="E94" s="688"/>
      <c r="F94" s="688"/>
      <c r="G94" s="686"/>
      <c r="H94" s="686"/>
      <c r="I94" s="686"/>
    </row>
    <row r="95" spans="2:9" ht="15">
      <c r="B95" s="688"/>
      <c r="C95" s="688"/>
      <c r="D95" s="688"/>
      <c r="E95" s="688"/>
      <c r="F95" s="688"/>
      <c r="G95" s="686"/>
      <c r="H95" s="686"/>
      <c r="I95" s="686"/>
    </row>
    <row r="96" spans="2:9" ht="15.75">
      <c r="B96" s="687" t="s">
        <v>892</v>
      </c>
      <c r="C96" s="688"/>
      <c r="D96" s="688"/>
      <c r="E96" s="688"/>
      <c r="F96" s="688"/>
      <c r="G96" s="686"/>
      <c r="H96" s="686"/>
      <c r="I96" s="686"/>
    </row>
    <row r="97" spans="2:9" ht="15">
      <c r="B97" s="688"/>
      <c r="C97" s="688"/>
      <c r="D97" s="688"/>
      <c r="E97" s="688"/>
      <c r="F97" s="688"/>
      <c r="G97" s="686"/>
      <c r="H97" s="686"/>
      <c r="I97" s="686"/>
    </row>
    <row r="98" spans="2:9" ht="15.75">
      <c r="B98" s="685" t="s">
        <v>893</v>
      </c>
      <c r="C98" s="688"/>
      <c r="D98" s="688"/>
      <c r="E98" s="688"/>
      <c r="F98" s="688"/>
      <c r="G98" s="686"/>
      <c r="H98" s="686"/>
      <c r="I98" s="686"/>
    </row>
    <row r="99" spans="2:9" ht="15.75">
      <c r="B99" s="685" t="s">
        <v>894</v>
      </c>
      <c r="C99" s="688"/>
      <c r="D99" s="688"/>
      <c r="E99" s="688"/>
      <c r="F99" s="688"/>
      <c r="G99" s="686"/>
      <c r="H99" s="686"/>
      <c r="I99" s="686"/>
    </row>
    <row r="100" spans="2:9" ht="15">
      <c r="B100" s="688"/>
      <c r="C100" s="688"/>
      <c r="D100" s="688"/>
      <c r="E100" s="688"/>
      <c r="F100" s="688"/>
      <c r="G100" s="686"/>
      <c r="H100" s="686"/>
      <c r="I100" s="686"/>
    </row>
    <row r="101" spans="2:9" ht="15.75">
      <c r="B101" s="685" t="s">
        <v>895</v>
      </c>
      <c r="C101" s="688"/>
      <c r="D101" s="688"/>
      <c r="E101" s="688"/>
      <c r="F101" s="688"/>
      <c r="G101" s="686"/>
      <c r="H101" s="686"/>
      <c r="I101" s="686"/>
    </row>
    <row r="102" spans="2:9" ht="15.75">
      <c r="B102" s="685" t="s">
        <v>896</v>
      </c>
      <c r="C102" s="688"/>
      <c r="D102" s="688"/>
      <c r="E102" s="688"/>
      <c r="F102" s="688"/>
      <c r="G102" s="686"/>
      <c r="H102" s="686"/>
      <c r="I102" s="686"/>
    </row>
    <row r="103" spans="2:9" ht="15.75">
      <c r="B103" s="685" t="s">
        <v>897</v>
      </c>
      <c r="C103" s="688"/>
      <c r="D103" s="688"/>
      <c r="E103" s="688"/>
      <c r="F103" s="688"/>
      <c r="G103" s="686"/>
      <c r="H103" s="686"/>
      <c r="I103" s="686"/>
    </row>
    <row r="104" spans="2:9" ht="15.75">
      <c r="B104" s="685" t="s">
        <v>956</v>
      </c>
      <c r="C104" s="688"/>
      <c r="D104" s="688"/>
      <c r="E104" s="688"/>
      <c r="F104" s="688"/>
      <c r="G104" s="686"/>
      <c r="H104" s="686"/>
      <c r="I104" s="686"/>
    </row>
    <row r="105" spans="2:9" ht="15.75">
      <c r="B105" s="745" t="s">
        <v>983</v>
      </c>
      <c r="C105" s="746"/>
      <c r="D105" s="746"/>
      <c r="E105" s="746"/>
      <c r="F105" s="746"/>
      <c r="G105" s="686"/>
      <c r="H105" s="686"/>
      <c r="I105" s="686"/>
    </row>
    <row r="108" ht="15">
      <c r="G108" s="7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8">
      <selection activeCell="A1" sqref="A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Green</v>
      </c>
      <c r="C1" s="64"/>
      <c r="D1" s="64"/>
      <c r="E1" s="161">
        <f>inputPrYr!$C$5</f>
        <v>2014</v>
      </c>
    </row>
    <row r="2" spans="2:5" ht="15.75">
      <c r="B2" s="64"/>
      <c r="C2" s="64"/>
      <c r="D2" s="64"/>
      <c r="E2" s="218"/>
    </row>
    <row r="3" spans="2:5" ht="15.75">
      <c r="B3" s="81"/>
      <c r="C3" s="223"/>
      <c r="D3" s="223"/>
      <c r="E3" s="163"/>
    </row>
    <row r="4" spans="2:5" ht="15.75">
      <c r="B4" s="81" t="s">
        <v>225</v>
      </c>
      <c r="C4" s="276"/>
      <c r="D4" s="276"/>
      <c r="E4" s="276"/>
    </row>
    <row r="5" spans="2:5" ht="15.75">
      <c r="B5" s="69" t="s">
        <v>165</v>
      </c>
      <c r="C5" s="717" t="s">
        <v>840</v>
      </c>
      <c r="D5" s="718" t="s">
        <v>841</v>
      </c>
      <c r="E5" s="174" t="s">
        <v>842</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284</v>
      </c>
      <c r="C7" s="423">
        <v>56813.53</v>
      </c>
      <c r="D7" s="441">
        <f>C62</f>
        <v>70000.60999999999</v>
      </c>
      <c r="E7" s="277">
        <f>D62</f>
        <v>57029.609999999986</v>
      </c>
    </row>
    <row r="8" spans="2:5" ht="15.75">
      <c r="B8" s="278" t="s">
        <v>286</v>
      </c>
      <c r="C8" s="424"/>
      <c r="D8" s="441"/>
      <c r="E8" s="279"/>
    </row>
    <row r="9" spans="2:5" ht="15.75">
      <c r="B9" s="178" t="s">
        <v>166</v>
      </c>
      <c r="C9" s="423">
        <f>24783.67+865</f>
        <v>25648.67</v>
      </c>
      <c r="D9" s="441">
        <f>IF(inputPrYr!H16&gt;0,inputPrYr!G17,inputPrYr!E17)</f>
        <v>27354</v>
      </c>
      <c r="E9" s="280" t="s">
        <v>153</v>
      </c>
    </row>
    <row r="10" spans="2:5" ht="15.75">
      <c r="B10" s="178" t="s">
        <v>167</v>
      </c>
      <c r="C10" s="423">
        <f>3.33+989.89</f>
        <v>993.22</v>
      </c>
      <c r="D10" s="425">
        <v>1000</v>
      </c>
      <c r="E10" s="281">
        <v>1000</v>
      </c>
    </row>
    <row r="11" spans="2:5" ht="15.75">
      <c r="B11" s="178" t="s">
        <v>168</v>
      </c>
      <c r="C11" s="423">
        <v>3234.55</v>
      </c>
      <c r="D11" s="425">
        <v>3500</v>
      </c>
      <c r="E11" s="282">
        <f>Mvalloc!D9</f>
        <v>3059.7</v>
      </c>
    </row>
    <row r="12" spans="2:5" ht="15.75">
      <c r="B12" s="178" t="s">
        <v>169</v>
      </c>
      <c r="C12" s="423"/>
      <c r="D12" s="425"/>
      <c r="E12" s="282">
        <f>Mvalloc!E9</f>
        <v>0</v>
      </c>
    </row>
    <row r="13" spans="2:5" ht="15.75">
      <c r="B13" s="283" t="s">
        <v>221</v>
      </c>
      <c r="C13" s="423">
        <v>19.16</v>
      </c>
      <c r="D13" s="425">
        <v>25</v>
      </c>
      <c r="E13" s="282">
        <f>Mvalloc!F9</f>
        <v>15.58</v>
      </c>
    </row>
    <row r="14" spans="2:5" ht="15.75">
      <c r="B14" s="283" t="s">
        <v>265</v>
      </c>
      <c r="C14" s="423">
        <v>732.41</v>
      </c>
      <c r="D14" s="425">
        <v>800</v>
      </c>
      <c r="E14" s="282">
        <f>inputOth!E16</f>
        <v>595.46</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284" t="s">
        <v>170</v>
      </c>
      <c r="C18" s="423"/>
      <c r="D18" s="425"/>
      <c r="E18" s="281"/>
    </row>
    <row r="19" spans="2:5" ht="15.75">
      <c r="B19" s="442" t="s">
        <v>658</v>
      </c>
      <c r="C19" s="423">
        <v>534.73</v>
      </c>
      <c r="D19" s="425">
        <v>600</v>
      </c>
      <c r="E19" s="281">
        <v>650</v>
      </c>
    </row>
    <row r="20" spans="2:5" ht="15.75">
      <c r="B20" s="284" t="s">
        <v>258</v>
      </c>
      <c r="C20" s="423">
        <v>5200.27</v>
      </c>
      <c r="D20" s="425">
        <v>5300</v>
      </c>
      <c r="E20" s="285">
        <v>5500</v>
      </c>
    </row>
    <row r="21" spans="2:5" ht="15.75">
      <c r="B21" s="284" t="s">
        <v>259</v>
      </c>
      <c r="C21" s="423">
        <v>3679.77</v>
      </c>
      <c r="D21" s="425">
        <v>3900</v>
      </c>
      <c r="E21" s="281">
        <v>4100</v>
      </c>
    </row>
    <row r="22" spans="2:5" ht="15.75">
      <c r="B22" s="284" t="s">
        <v>260</v>
      </c>
      <c r="C22" s="423"/>
      <c r="D22" s="425"/>
      <c r="E22" s="281"/>
    </row>
    <row r="23" spans="2:5" ht="15.75">
      <c r="B23" s="284" t="s">
        <v>261</v>
      </c>
      <c r="C23" s="423"/>
      <c r="D23" s="425"/>
      <c r="E23" s="281"/>
    </row>
    <row r="24" spans="2:5" ht="15.75">
      <c r="B24" s="41" t="s">
        <v>652</v>
      </c>
      <c r="C24" s="423"/>
      <c r="D24" s="425"/>
      <c r="E24" s="281"/>
    </row>
    <row r="25" spans="2:5" ht="15.75">
      <c r="B25" s="284" t="s">
        <v>1009</v>
      </c>
      <c r="C25" s="423">
        <v>-3925.96</v>
      </c>
      <c r="D25" s="425">
        <v>-3400</v>
      </c>
      <c r="E25" s="281">
        <v>-3400</v>
      </c>
    </row>
    <row r="26" spans="2:5" ht="15.75">
      <c r="B26" s="284" t="s">
        <v>1010</v>
      </c>
      <c r="C26" s="421">
        <v>12039</v>
      </c>
      <c r="D26" s="425">
        <v>12300</v>
      </c>
      <c r="E26" s="281">
        <v>12500</v>
      </c>
    </row>
    <row r="27" spans="2:5" ht="15.75">
      <c r="B27" s="284" t="s">
        <v>1011</v>
      </c>
      <c r="C27" s="421">
        <v>600</v>
      </c>
      <c r="D27" s="425">
        <v>600</v>
      </c>
      <c r="E27" s="281">
        <v>1000</v>
      </c>
    </row>
    <row r="28" spans="2:5" ht="15.75">
      <c r="B28" s="284" t="s">
        <v>262</v>
      </c>
      <c r="C28" s="423">
        <v>2421.86</v>
      </c>
      <c r="D28" s="425">
        <v>2500</v>
      </c>
      <c r="E28" s="281">
        <v>2800</v>
      </c>
    </row>
    <row r="29" spans="2:5" ht="15.75">
      <c r="B29" s="284" t="s">
        <v>171</v>
      </c>
      <c r="C29" s="423"/>
      <c r="D29" s="425"/>
      <c r="E29" s="281"/>
    </row>
    <row r="30" spans="2:5" ht="15.75">
      <c r="B30" s="286" t="s">
        <v>172</v>
      </c>
      <c r="C30" s="423">
        <v>155</v>
      </c>
      <c r="D30" s="425">
        <v>100</v>
      </c>
      <c r="E30" s="281">
        <v>100</v>
      </c>
    </row>
    <row r="31" spans="2:5" ht="15.75">
      <c r="B31" s="191" t="s">
        <v>262</v>
      </c>
      <c r="C31" s="421"/>
      <c r="D31" s="425"/>
      <c r="E31" s="287"/>
    </row>
    <row r="32" spans="2:5" ht="15.75">
      <c r="B32" s="191" t="s">
        <v>657</v>
      </c>
      <c r="C32" s="414">
        <f>IF(C33*0.1&lt;C31,"Exceed 10% Rule","")</f>
      </c>
      <c r="D32" s="426">
        <f>IF(D33*0.1&lt;D31,"Exceed 10% Rule","")</f>
      </c>
      <c r="E32" s="288">
        <f>IF(E33*0.1+E68&lt;E31,"Exceed 10% Rule","")</f>
      </c>
    </row>
    <row r="33" spans="2:5" ht="15.75">
      <c r="B33" s="289" t="s">
        <v>173</v>
      </c>
      <c r="C33" s="420">
        <f>SUM(C9:C31)</f>
        <v>51332.67999999999</v>
      </c>
      <c r="D33" s="427">
        <f>SUM(D9:D31)</f>
        <v>54579</v>
      </c>
      <c r="E33" s="290">
        <f>SUM(E9:E31)</f>
        <v>27920.739999999998</v>
      </c>
    </row>
    <row r="34" spans="2:5" ht="15.75">
      <c r="B34" s="289" t="s">
        <v>174</v>
      </c>
      <c r="C34" s="420">
        <f>C7+C33</f>
        <v>108146.20999999999</v>
      </c>
      <c r="D34" s="427">
        <f>D7+D33</f>
        <v>124579.60999999999</v>
      </c>
      <c r="E34" s="291">
        <f>E7+E33</f>
        <v>84950.34999999998</v>
      </c>
    </row>
    <row r="35" spans="2:5" ht="15.75">
      <c r="B35" s="278" t="s">
        <v>175</v>
      </c>
      <c r="C35" s="422"/>
      <c r="D35" s="428"/>
      <c r="E35" s="282"/>
    </row>
    <row r="36" spans="2:5" ht="15.75">
      <c r="B36" s="292"/>
      <c r="C36" s="421"/>
      <c r="D36" s="425"/>
      <c r="E36" s="439"/>
    </row>
    <row r="37" spans="2:5" ht="15.75">
      <c r="B37" s="292" t="s">
        <v>296</v>
      </c>
      <c r="C37" s="421">
        <v>4033.5</v>
      </c>
      <c r="D37" s="624">
        <v>10000</v>
      </c>
      <c r="E37" s="632">
        <v>10000</v>
      </c>
    </row>
    <row r="38" spans="2:5" ht="15.75">
      <c r="B38" s="292" t="s">
        <v>299</v>
      </c>
      <c r="C38" s="421"/>
      <c r="D38" s="624"/>
      <c r="E38" s="632"/>
    </row>
    <row r="39" spans="2:5" ht="15.75">
      <c r="B39" s="627" t="s">
        <v>1012</v>
      </c>
      <c r="C39" s="421">
        <v>2426</v>
      </c>
      <c r="D39" s="624">
        <v>2800</v>
      </c>
      <c r="E39" s="632">
        <v>3000</v>
      </c>
    </row>
    <row r="40" spans="2:5" ht="15.75">
      <c r="B40" s="627" t="s">
        <v>1013</v>
      </c>
      <c r="C40" s="421">
        <v>245.54</v>
      </c>
      <c r="D40" s="624">
        <v>250</v>
      </c>
      <c r="E40" s="632">
        <v>275</v>
      </c>
    </row>
    <row r="41" spans="2:5" ht="15.75">
      <c r="B41" s="627" t="s">
        <v>1014</v>
      </c>
      <c r="C41" s="421">
        <v>701.75</v>
      </c>
      <c r="D41" s="624">
        <v>2500</v>
      </c>
      <c r="E41" s="632">
        <v>5000</v>
      </c>
    </row>
    <row r="42" spans="2:5" ht="15.75">
      <c r="B42" s="627" t="s">
        <v>1015</v>
      </c>
      <c r="C42" s="421">
        <v>2652.62</v>
      </c>
      <c r="D42" s="624">
        <v>10000</v>
      </c>
      <c r="E42" s="632">
        <v>15000</v>
      </c>
    </row>
    <row r="43" spans="2:5" ht="15.75">
      <c r="B43" s="627" t="s">
        <v>1010</v>
      </c>
      <c r="C43" s="421">
        <v>12648.5</v>
      </c>
      <c r="D43" s="624">
        <v>13500</v>
      </c>
      <c r="E43" s="632">
        <v>14000</v>
      </c>
    </row>
    <row r="44" spans="2:5" ht="15.75">
      <c r="B44" s="627" t="s">
        <v>1016</v>
      </c>
      <c r="C44" s="421">
        <v>2448.64</v>
      </c>
      <c r="D44" s="624">
        <v>3000</v>
      </c>
      <c r="E44" s="632">
        <v>5000</v>
      </c>
    </row>
    <row r="45" spans="2:5" ht="15.75">
      <c r="B45" s="627" t="s">
        <v>1017</v>
      </c>
      <c r="C45" s="421">
        <v>4377</v>
      </c>
      <c r="D45" s="624">
        <v>6000</v>
      </c>
      <c r="E45" s="632">
        <v>6500</v>
      </c>
    </row>
    <row r="46" spans="2:5" ht="15.75">
      <c r="B46" s="627" t="s">
        <v>1018</v>
      </c>
      <c r="C46" s="421">
        <v>2208.77</v>
      </c>
      <c r="D46" s="624">
        <v>2500</v>
      </c>
      <c r="E46" s="632">
        <v>2700</v>
      </c>
    </row>
    <row r="47" spans="2:5" ht="15.75">
      <c r="B47" s="627" t="s">
        <v>1019</v>
      </c>
      <c r="C47" s="421">
        <v>6403.28</v>
      </c>
      <c r="D47" s="624">
        <v>7000</v>
      </c>
      <c r="E47" s="632">
        <v>8000</v>
      </c>
    </row>
    <row r="48" spans="2:10" ht="15.75">
      <c r="B48" s="627" t="s">
        <v>1029</v>
      </c>
      <c r="C48" s="421"/>
      <c r="D48" s="624">
        <v>5000</v>
      </c>
      <c r="E48" s="632">
        <v>20000</v>
      </c>
      <c r="G48" s="809"/>
      <c r="H48" s="810"/>
      <c r="I48" s="810"/>
      <c r="J48" s="810"/>
    </row>
    <row r="49" spans="2:5" ht="15.75">
      <c r="B49" s="631" t="s">
        <v>1030</v>
      </c>
      <c r="C49" s="421"/>
      <c r="D49" s="425">
        <v>5000</v>
      </c>
      <c r="E49" s="281">
        <v>12685</v>
      </c>
    </row>
    <row r="50" spans="2:5" ht="15.75">
      <c r="B50" s="631" t="s">
        <v>1035</v>
      </c>
      <c r="C50" s="421"/>
      <c r="D50" s="425"/>
      <c r="E50" s="281">
        <v>5000</v>
      </c>
    </row>
    <row r="51" spans="2:5" ht="15.75">
      <c r="B51" s="631"/>
      <c r="C51" s="421"/>
      <c r="D51" s="425"/>
      <c r="E51" s="281"/>
    </row>
    <row r="52" spans="2:10" ht="15.75">
      <c r="B52" s="631"/>
      <c r="C52" s="421"/>
      <c r="D52" s="425"/>
      <c r="E52" s="281"/>
      <c r="G52" s="811" t="str">
        <f>CONCATENATE("Desired Carryover Into ",E1+1,"")</f>
        <v>Desired Carryover Into 2015</v>
      </c>
      <c r="H52" s="812"/>
      <c r="I52" s="812"/>
      <c r="J52" s="813"/>
    </row>
    <row r="53" spans="2:10" ht="15.75">
      <c r="B53" s="292"/>
      <c r="C53" s="421"/>
      <c r="D53" s="425"/>
      <c r="E53" s="281"/>
      <c r="G53" s="567"/>
      <c r="H53" s="465"/>
      <c r="I53" s="481"/>
      <c r="J53" s="568"/>
    </row>
    <row r="54" spans="2:10" ht="15.75">
      <c r="B54" s="292"/>
      <c r="C54" s="421"/>
      <c r="D54" s="425"/>
      <c r="E54" s="281"/>
      <c r="G54" s="487" t="s">
        <v>666</v>
      </c>
      <c r="H54" s="481"/>
      <c r="I54" s="481"/>
      <c r="J54" s="475">
        <v>0</v>
      </c>
    </row>
    <row r="55" spans="2:10" ht="15.75">
      <c r="B55" s="292"/>
      <c r="C55" s="421"/>
      <c r="D55" s="425"/>
      <c r="E55" s="281"/>
      <c r="G55" s="567" t="s">
        <v>665</v>
      </c>
      <c r="H55" s="465"/>
      <c r="I55" s="465"/>
      <c r="J55" s="663">
        <f>IF(J54=0,"",ROUND((J54+E68-G67)/inputOth!E7*1000,3)-G72)</f>
      </c>
    </row>
    <row r="56" spans="2:10" ht="15.75">
      <c r="B56" s="292"/>
      <c r="C56" s="421"/>
      <c r="D56" s="425"/>
      <c r="E56" s="281"/>
      <c r="G56" s="664" t="str">
        <f>CONCATENATE("",E1," Tot Exp/Non-Appr Must Be:")</f>
        <v>2014 Tot Exp/Non-Appr Must Be:</v>
      </c>
      <c r="H56" s="661"/>
      <c r="I56" s="662"/>
      <c r="J56" s="658">
        <f>IF(J54&gt;0,IF(E65&lt;E34,IF(J54=G67,E65,((J54-G67)*(1-D67))+E34),E65+(J54-G67)),0)</f>
        <v>0</v>
      </c>
    </row>
    <row r="57" spans="2:10" ht="15.75">
      <c r="B57" s="292"/>
      <c r="C57" s="421"/>
      <c r="D57" s="425"/>
      <c r="E57" s="281"/>
      <c r="G57" s="696" t="s">
        <v>844</v>
      </c>
      <c r="H57" s="701"/>
      <c r="I57" s="701"/>
      <c r="J57" s="665">
        <f>IF(J54&gt;0,J56-E65,0)</f>
        <v>0</v>
      </c>
    </row>
    <row r="58" spans="2:5" ht="15.75">
      <c r="B58" s="191" t="s">
        <v>53</v>
      </c>
      <c r="C58" s="421"/>
      <c r="D58" s="425"/>
      <c r="E58" s="282">
        <f>Nhood!E7</f>
      </c>
    </row>
    <row r="59" spans="2:10" ht="15.75">
      <c r="B59" s="191" t="s">
        <v>262</v>
      </c>
      <c r="C59" s="421"/>
      <c r="D59" s="425"/>
      <c r="E59" s="281"/>
      <c r="G59" s="811" t="str">
        <f>CONCATENATE("Projected Carryover Into ",E1+1,"")</f>
        <v>Projected Carryover Into 2015</v>
      </c>
      <c r="H59" s="812"/>
      <c r="I59" s="812"/>
      <c r="J59" s="813"/>
    </row>
    <row r="60" spans="2:10" ht="15.75">
      <c r="B60" s="191" t="s">
        <v>656</v>
      </c>
      <c r="C60" s="414">
        <f>IF(C61*0.1&lt;C59,"Exceed 10% Rule","")</f>
      </c>
      <c r="D60" s="426">
        <f>IF(D61*0.1&lt;D59,"Exceed 10% Rule","")</f>
      </c>
      <c r="E60" s="288">
        <f>IF(E61*0.1&lt;E59,"Exceed 10% Rule","")</f>
      </c>
      <c r="G60" s="476"/>
      <c r="H60" s="465"/>
      <c r="I60" s="465"/>
      <c r="J60" s="477"/>
    </row>
    <row r="61" spans="2:10" ht="15.75">
      <c r="B61" s="289" t="s">
        <v>176</v>
      </c>
      <c r="C61" s="420">
        <f>SUM(C36:C59)</f>
        <v>38145.6</v>
      </c>
      <c r="D61" s="427">
        <f>SUM(D36:D59)</f>
        <v>67550</v>
      </c>
      <c r="E61" s="290">
        <f>SUM(E36:E59)</f>
        <v>107160</v>
      </c>
      <c r="G61" s="478">
        <f>D62</f>
        <v>57029.609999999986</v>
      </c>
      <c r="H61" s="479" t="str">
        <f>CONCATENATE("",E1-1," Ending Cash Balance (est.)")</f>
        <v>2013 Ending Cash Balance (est.)</v>
      </c>
      <c r="I61" s="480"/>
      <c r="J61" s="477"/>
    </row>
    <row r="62" spans="2:10" ht="15.75">
      <c r="B62" s="178" t="s">
        <v>285</v>
      </c>
      <c r="C62" s="413">
        <f>C34-C61</f>
        <v>70000.60999999999</v>
      </c>
      <c r="D62" s="235">
        <f>D34-D61</f>
        <v>57029.609999999986</v>
      </c>
      <c r="E62" s="280" t="s">
        <v>153</v>
      </c>
      <c r="G62" s="478">
        <f>E33</f>
        <v>27920.739999999998</v>
      </c>
      <c r="H62" s="481" t="str">
        <f>CONCATENATE("",E1," Non-AV Receipts (est.)")</f>
        <v>2014 Non-AV Receipts (est.)</v>
      </c>
      <c r="I62" s="480"/>
      <c r="J62" s="477"/>
    </row>
    <row r="63" spans="2:11" ht="15.75">
      <c r="B63" s="210" t="str">
        <f>CONCATENATE("",E1-2,"/",E1-1," Budget Authority Amount:")</f>
        <v>2012/2013 Budget Authority Amount:</v>
      </c>
      <c r="C63" s="221">
        <f>inputOth!B55</f>
        <v>105933</v>
      </c>
      <c r="D63" s="221">
        <f>inputPrYr!D17</f>
        <v>100279</v>
      </c>
      <c r="E63" s="280" t="s">
        <v>153</v>
      </c>
      <c r="F63" s="294"/>
      <c r="G63" s="482">
        <f>IF(E67&gt;0,E66,E68)</f>
        <v>22209.650000000023</v>
      </c>
      <c r="H63" s="481" t="str">
        <f>CONCATENATE("",E1," Ad Valorem Tax (est.)")</f>
        <v>2014 Ad Valorem Tax (est.)</v>
      </c>
      <c r="I63" s="480"/>
      <c r="J63" s="477"/>
      <c r="K63" s="703">
        <f>IF(G63=E68,"","Note: Does not include Delinquent Taxes")</f>
      </c>
    </row>
    <row r="64" spans="2:10" ht="15.75">
      <c r="B64" s="210"/>
      <c r="C64" s="819" t="s">
        <v>659</v>
      </c>
      <c r="D64" s="820"/>
      <c r="E64" s="87"/>
      <c r="F64" s="471">
        <f>IF(E61/0.95-E61&lt;E64,"Exceeds 5%","")</f>
      </c>
      <c r="G64" s="478">
        <f>SUM(G61:G63)</f>
        <v>107160</v>
      </c>
      <c r="H64" s="481" t="str">
        <f>CONCATENATE("Total ",E1," Resources Available")</f>
        <v>Total 2014 Resources Available</v>
      </c>
      <c r="I64" s="480"/>
      <c r="J64" s="477"/>
    </row>
    <row r="65" spans="2:10" ht="15.75">
      <c r="B65" s="429" t="str">
        <f>CONCATENATE(C77,"     ",D77)</f>
        <v>     </v>
      </c>
      <c r="C65" s="821" t="s">
        <v>660</v>
      </c>
      <c r="D65" s="822"/>
      <c r="E65" s="189">
        <f>E61+E64</f>
        <v>107160</v>
      </c>
      <c r="G65" s="483"/>
      <c r="H65" s="481"/>
      <c r="I65" s="481"/>
      <c r="J65" s="477"/>
    </row>
    <row r="66" spans="2:10" ht="15.75">
      <c r="B66" s="429" t="str">
        <f>CONCATENATE(C78,"     ",D78)</f>
        <v>     </v>
      </c>
      <c r="C66" s="295"/>
      <c r="D66" s="218" t="s">
        <v>177</v>
      </c>
      <c r="E66" s="646">
        <f>IF(E65-E34&gt;0,E65-E34,0)</f>
        <v>22209.650000000023</v>
      </c>
      <c r="G66" s="482">
        <f>ROUND(C61*0.05+C61,0)</f>
        <v>40053</v>
      </c>
      <c r="H66" s="481" t="str">
        <f>CONCATENATE("Less ",E1-2," Expenditures + 5%")</f>
        <v>Less 2012 Expenditures + 5%</v>
      </c>
      <c r="I66" s="480"/>
      <c r="J66" s="477"/>
    </row>
    <row r="67" spans="2:10" ht="15.75">
      <c r="B67" s="296"/>
      <c r="C67" s="443" t="s">
        <v>661</v>
      </c>
      <c r="D67" s="707">
        <f>inputOth!E41</f>
        <v>0</v>
      </c>
      <c r="E67" s="189">
        <f>ROUND(IF(inputOth!E41&gt;0,(E66*inputOth!E41),0),0)</f>
        <v>0</v>
      </c>
      <c r="G67" s="488">
        <f>G64-G66</f>
        <v>67107</v>
      </c>
      <c r="H67" s="484" t="str">
        <f>CONCATENATE("Projected ",E1+1," Carryover (est.)")</f>
        <v>Projected 2015 Carryover (est.)</v>
      </c>
      <c r="I67" s="485"/>
      <c r="J67" s="486"/>
    </row>
    <row r="68" spans="2:5" ht="16.5" thickBot="1">
      <c r="B68" s="64"/>
      <c r="C68" s="814" t="str">
        <f>CONCATENATE("Amount of  ",E1-1," Ad Valorem Tax")</f>
        <v>Amount of  2013 Ad Valorem Tax</v>
      </c>
      <c r="D68" s="815"/>
      <c r="E68" s="708">
        <f>E66+E67</f>
        <v>22209.650000000023</v>
      </c>
    </row>
    <row r="69" spans="2:10" ht="16.5" thickTop="1">
      <c r="B69" s="218"/>
      <c r="C69" s="814"/>
      <c r="D69" s="815"/>
      <c r="E69" s="64"/>
      <c r="G69" s="823" t="s">
        <v>962</v>
      </c>
      <c r="H69" s="824"/>
      <c r="I69" s="824"/>
      <c r="J69" s="825"/>
    </row>
    <row r="70" spans="2:16" ht="15.75">
      <c r="B70" s="210"/>
      <c r="C70" s="218"/>
      <c r="D70" s="466"/>
      <c r="E70" s="64"/>
      <c r="G70" s="709"/>
      <c r="H70" s="479"/>
      <c r="I70" s="659"/>
      <c r="J70" s="660"/>
      <c r="M70" s="809"/>
      <c r="N70" s="809"/>
      <c r="O70" s="809"/>
      <c r="P70" s="818"/>
    </row>
    <row r="71" spans="2:16" ht="15.75">
      <c r="B71" s="210" t="s">
        <v>179</v>
      </c>
      <c r="C71" s="69">
        <f>IF(inputPrYr!D19&gt;0,8,7)</f>
        <v>7</v>
      </c>
      <c r="D71" s="218"/>
      <c r="E71" s="218"/>
      <c r="G71" s="711">
        <f>summ!H16</f>
        <v>36.922</v>
      </c>
      <c r="H71" s="479" t="str">
        <f>CONCATENATE("",E1," Fund Mill Rate")</f>
        <v>2014 Fund Mill Rate</v>
      </c>
      <c r="I71" s="659"/>
      <c r="J71" s="660"/>
      <c r="M71" s="496"/>
      <c r="N71" s="496"/>
      <c r="O71" s="496"/>
      <c r="P71" s="496"/>
    </row>
    <row r="72" spans="3:16" ht="15.75">
      <c r="C72" s="417"/>
      <c r="D72" s="417"/>
      <c r="E72" s="472"/>
      <c r="F72" s="461"/>
      <c r="G72" s="710">
        <f>summ!E16</f>
        <v>36.92046</v>
      </c>
      <c r="H72" s="479" t="str">
        <f>CONCATENATE("",E1-1," Fund Mill Rate")</f>
        <v>2013 Fund Mill Rate</v>
      </c>
      <c r="I72" s="659"/>
      <c r="J72" s="660"/>
      <c r="L72" s="501"/>
      <c r="M72" s="497"/>
      <c r="N72" s="498"/>
      <c r="O72" s="498"/>
      <c r="P72" s="499"/>
    </row>
    <row r="73" spans="3:16" ht="15.75">
      <c r="C73" s="473"/>
      <c r="D73" s="669"/>
      <c r="E73" s="670"/>
      <c r="F73" s="419"/>
      <c r="G73" s="712">
        <f>summ!H31</f>
        <v>36.922</v>
      </c>
      <c r="H73" s="479" t="str">
        <f>CONCATENATE("Total ",E1," Mill Rate")</f>
        <v>Total 2014 Mill Rate</v>
      </c>
      <c r="I73" s="659"/>
      <c r="J73" s="660"/>
      <c r="M73" s="473"/>
      <c r="N73" s="419"/>
      <c r="O73" s="473"/>
      <c r="P73" s="499"/>
    </row>
    <row r="74" spans="3:16" ht="15.75">
      <c r="C74" s="474"/>
      <c r="D74" s="419"/>
      <c r="E74" s="419"/>
      <c r="F74" s="419"/>
      <c r="G74" s="710">
        <f>summ!E31</f>
        <v>36.92046</v>
      </c>
      <c r="H74" s="647" t="str">
        <f>CONCATENATE("Total ",E1-1," Mill Rate")</f>
        <v>Total 2013 Mill Rate</v>
      </c>
      <c r="I74" s="648"/>
      <c r="J74" s="649"/>
      <c r="M74" s="473"/>
      <c r="N74" s="419"/>
      <c r="O74" s="473"/>
      <c r="P74" s="500"/>
    </row>
    <row r="75" spans="3:6" ht="14.25" customHeight="1">
      <c r="C75" s="418"/>
      <c r="D75" s="668"/>
      <c r="E75" s="499"/>
      <c r="F75" s="419"/>
    </row>
    <row r="76" spans="3:9" ht="15.75">
      <c r="C76" s="418"/>
      <c r="D76" s="419"/>
      <c r="E76" s="419"/>
      <c r="F76" s="419"/>
      <c r="G76" s="750" t="s">
        <v>991</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6" t="s">
        <v>843</v>
      </c>
      <c r="H78" s="817"/>
      <c r="I78" s="817"/>
      <c r="J78" s="658">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Green</v>
      </c>
      <c r="B1" s="64"/>
      <c r="C1" s="349"/>
      <c r="D1" s="64">
        <f>inputPrYr!C5</f>
        <v>2014</v>
      </c>
    </row>
    <row r="2" spans="1:4" ht="15.75">
      <c r="A2" s="64"/>
      <c r="B2" s="64"/>
      <c r="C2" s="64"/>
      <c r="D2" s="349"/>
    </row>
    <row r="3" spans="1:4" ht="15.75">
      <c r="A3" s="81" t="s">
        <v>66</v>
      </c>
      <c r="B3" s="350"/>
      <c r="C3" s="350"/>
      <c r="D3" s="350"/>
    </row>
    <row r="4" spans="1:4" ht="15.75">
      <c r="A4" s="349" t="s">
        <v>165</v>
      </c>
      <c r="B4" s="717" t="s">
        <v>840</v>
      </c>
      <c r="C4" s="718" t="s">
        <v>841</v>
      </c>
      <c r="D4" s="174" t="s">
        <v>842</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175</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179</v>
      </c>
      <c r="B67" s="743" t="str">
        <f>CONCATENATE("",general!C71,"b")</f>
        <v>7b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A1" sqref="A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Green</v>
      </c>
      <c r="C1" s="201"/>
      <c r="D1" s="64"/>
      <c r="E1" s="161">
        <f>inputPrYr!C5</f>
        <v>2014</v>
      </c>
    </row>
    <row r="2" spans="2:5" ht="15.75">
      <c r="B2" s="64"/>
      <c r="C2" s="64"/>
      <c r="D2" s="64"/>
      <c r="E2" s="218"/>
    </row>
    <row r="3" spans="2:5" ht="15.75">
      <c r="B3" s="81" t="s">
        <v>225</v>
      </c>
      <c r="C3" s="81"/>
      <c r="D3" s="276"/>
      <c r="E3" s="163"/>
    </row>
    <row r="4" spans="2:5" ht="15.75">
      <c r="B4" s="69" t="s">
        <v>165</v>
      </c>
      <c r="C4" s="717" t="s">
        <v>840</v>
      </c>
      <c r="D4" s="718" t="s">
        <v>841</v>
      </c>
      <c r="E4" s="174" t="s">
        <v>842</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284</v>
      </c>
      <c r="C6" s="448"/>
      <c r="D6" s="447">
        <f>C34</f>
        <v>0</v>
      </c>
      <c r="E6" s="189">
        <f>D34</f>
        <v>0</v>
      </c>
    </row>
    <row r="7" spans="2:5" ht="15.75">
      <c r="B7" s="178" t="s">
        <v>286</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221</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262</v>
      </c>
      <c r="C18" s="495"/>
      <c r="D18" s="449"/>
      <c r="E18" s="87"/>
    </row>
    <row r="19" spans="2:5" ht="15.75">
      <c r="B19" s="178" t="s">
        <v>657</v>
      </c>
      <c r="C19" s="414">
        <f>IF(C20*0.1&lt;C18,"Exceed 10% Rule","")</f>
      </c>
      <c r="D19" s="414">
        <f>IF(D20*0.1&lt;D18,"Exceeds 10% Rule","")</f>
      </c>
      <c r="E19" s="426">
        <f>IF(E20*0.1&lt;E18,"Exceed 10% Rule","")</f>
      </c>
    </row>
    <row r="20" spans="2:5" ht="15.75">
      <c r="B20" s="289" t="s">
        <v>173</v>
      </c>
      <c r="C20" s="450">
        <f>SUM(C8:C18)</f>
        <v>0</v>
      </c>
      <c r="D20" s="450">
        <f>SUM(D8:D18)</f>
        <v>0</v>
      </c>
      <c r="E20" s="348">
        <f>SUM(E9:E18)</f>
        <v>0</v>
      </c>
    </row>
    <row r="21" spans="2:5" ht="15.75">
      <c r="B21" s="289" t="s">
        <v>174</v>
      </c>
      <c r="C21" s="450">
        <f>C6+C20</f>
        <v>0</v>
      </c>
      <c r="D21" s="450">
        <f>D6+D20</f>
        <v>0</v>
      </c>
      <c r="E21" s="348">
        <f>E6+E20</f>
        <v>0</v>
      </c>
    </row>
    <row r="22" spans="2:5" ht="15.75">
      <c r="B22" s="178" t="s">
        <v>175</v>
      </c>
      <c r="C22" s="178"/>
      <c r="D22" s="447"/>
      <c r="E22" s="189"/>
    </row>
    <row r="23" spans="2:5" ht="15.75">
      <c r="B23" s="347"/>
      <c r="C23" s="444"/>
      <c r="D23" s="449"/>
      <c r="E23" s="87"/>
    </row>
    <row r="24" spans="2:10" ht="15.75">
      <c r="B24" s="347"/>
      <c r="C24" s="444"/>
      <c r="D24" s="449"/>
      <c r="E24" s="87"/>
      <c r="G24" s="811" t="str">
        <f>CONCATENATE("Desired Carryover Into ",E1+1,"")</f>
        <v>Desired Carryover Into 2015</v>
      </c>
      <c r="H24" s="812"/>
      <c r="I24" s="812"/>
      <c r="J24" s="813"/>
    </row>
    <row r="25" spans="2:10" ht="15.75">
      <c r="B25" s="347"/>
      <c r="C25" s="449"/>
      <c r="D25" s="449"/>
      <c r="E25" s="87"/>
      <c r="G25" s="567"/>
      <c r="H25" s="465"/>
      <c r="I25" s="481"/>
      <c r="J25" s="568"/>
    </row>
    <row r="26" spans="2:10" ht="15.75">
      <c r="B26" s="347"/>
      <c r="C26" s="444"/>
      <c r="D26" s="449"/>
      <c r="E26" s="87"/>
      <c r="G26" s="487" t="s">
        <v>666</v>
      </c>
      <c r="H26" s="481"/>
      <c r="I26" s="481"/>
      <c r="J26" s="475">
        <v>0</v>
      </c>
    </row>
    <row r="27" spans="2:10" ht="15.75">
      <c r="B27" s="347"/>
      <c r="C27" s="444"/>
      <c r="D27" s="449"/>
      <c r="E27" s="87"/>
      <c r="G27" s="567" t="s">
        <v>665</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844</v>
      </c>
      <c r="H29" s="701"/>
      <c r="I29" s="701"/>
      <c r="J29" s="665">
        <f>IF(J26&gt;0,J28-E38,0)</f>
        <v>0</v>
      </c>
    </row>
    <row r="30" spans="2:5" ht="15.75">
      <c r="B30" s="343" t="s">
        <v>53</v>
      </c>
      <c r="C30" s="444"/>
      <c r="D30" s="449"/>
      <c r="E30" s="189">
        <f>Nhood!E8</f>
      </c>
    </row>
    <row r="31" spans="2:10" ht="15.75">
      <c r="B31" s="343" t="s">
        <v>262</v>
      </c>
      <c r="C31" s="495"/>
      <c r="D31" s="449"/>
      <c r="E31" s="87"/>
      <c r="G31" s="811" t="str">
        <f>CONCATENATE("Projected Carryover Into ",E1+1,"")</f>
        <v>Projected Carryover Into 2015</v>
      </c>
      <c r="H31" s="826"/>
      <c r="I31" s="826"/>
      <c r="J31" s="827"/>
    </row>
    <row r="32" spans="2:10" ht="15.75">
      <c r="B32" s="343" t="s">
        <v>663</v>
      </c>
      <c r="C32" s="414">
        <f>IF(C33*0.1&lt;C31,"Exceed 10% Rule","")</f>
      </c>
      <c r="D32" s="414">
        <f>IF(D33*0.1&lt;D31,"Exceed 10% Rule","")</f>
      </c>
      <c r="E32" s="426">
        <f>IF(E33*0.1&lt;E31,"Exceed 10% Rule","")</f>
      </c>
      <c r="G32" s="567"/>
      <c r="H32" s="481"/>
      <c r="I32" s="481"/>
      <c r="J32" s="697"/>
    </row>
    <row r="33" spans="2:10" ht="15.75">
      <c r="B33" s="289" t="s">
        <v>176</v>
      </c>
      <c r="C33" s="446">
        <f>SUM(C23:C31)</f>
        <v>0</v>
      </c>
      <c r="D33" s="446">
        <f>SUM(D23:D31)</f>
        <v>0</v>
      </c>
      <c r="E33" s="340">
        <f>SUM(E23:E31)</f>
        <v>0</v>
      </c>
      <c r="G33" s="478">
        <f>D34</f>
        <v>0</v>
      </c>
      <c r="H33" s="479" t="str">
        <f>CONCATENATE("",E1-1," Ending Cash Balance (est.)")</f>
        <v>2013 Ending Cash Balance (est.)</v>
      </c>
      <c r="I33" s="480"/>
      <c r="J33" s="697"/>
    </row>
    <row r="34" spans="2:10" ht="15.75">
      <c r="B34" s="178" t="s">
        <v>285</v>
      </c>
      <c r="C34" s="451">
        <f>C21-C33</f>
        <v>0</v>
      </c>
      <c r="D34" s="451">
        <f>D21-D33</f>
        <v>0</v>
      </c>
      <c r="E34" s="345" t="s">
        <v>153</v>
      </c>
      <c r="F34"/>
      <c r="G34" s="478">
        <f>E20</f>
        <v>0</v>
      </c>
      <c r="H34" s="481" t="str">
        <f>CONCATENATE("",E1," Non-AV Receipts (est.)")</f>
        <v>2014 Non-AV Receipts (est.)</v>
      </c>
      <c r="I34" s="480"/>
      <c r="J34" s="697"/>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f>IF(G35=E40,"","Note: Does not include Delinquent Taxes")</f>
      </c>
    </row>
    <row r="36" spans="2:10" ht="15.75">
      <c r="B36" s="210"/>
      <c r="C36" s="819" t="s">
        <v>659</v>
      </c>
      <c r="D36" s="820"/>
      <c r="E36" s="87"/>
      <c r="F36" s="494">
        <f>IF(E33/0.95-E33&lt;E36,"Exceeds 5%","")</f>
      </c>
      <c r="G36" s="478">
        <f>SUM(G33:G35)</f>
        <v>0</v>
      </c>
      <c r="H36" s="481" t="str">
        <f>CONCATENATE("Total ",E1," Resources Available")</f>
        <v>Total 2014 Resources Available</v>
      </c>
      <c r="I36" s="480"/>
      <c r="J36" s="697"/>
    </row>
    <row r="37" spans="2:10" ht="15.75">
      <c r="B37" s="456" t="str">
        <f>CONCATENATE(C93,"     ",D93)</f>
        <v>     </v>
      </c>
      <c r="C37" s="821" t="s">
        <v>660</v>
      </c>
      <c r="D37" s="822"/>
      <c r="E37" s="189">
        <f>E33+E36</f>
        <v>0</v>
      </c>
      <c r="F37"/>
      <c r="G37" s="483"/>
      <c r="H37" s="481"/>
      <c r="I37" s="481"/>
      <c r="J37" s="697"/>
    </row>
    <row r="38" spans="2:10" ht="15.75">
      <c r="B38" s="456" t="str">
        <f>CONCATENATE(C94,"     ",D94)</f>
        <v>     </v>
      </c>
      <c r="C38" s="295"/>
      <c r="D38" s="218" t="s">
        <v>177</v>
      </c>
      <c r="E38" s="94">
        <f>IF(E37-E21&gt;0,E37-E21,0)</f>
        <v>0</v>
      </c>
      <c r="F38"/>
      <c r="G38" s="482">
        <f>C33</f>
        <v>0</v>
      </c>
      <c r="H38" s="481" t="str">
        <f>CONCATENATE("Less ",E1-2," Expenditures")</f>
        <v>Less 2012 Expenditures</v>
      </c>
      <c r="I38" s="481"/>
      <c r="J38" s="697"/>
    </row>
    <row r="39" spans="2:10" ht="15.75">
      <c r="B39" s="218"/>
      <c r="C39" s="443" t="s">
        <v>661</v>
      </c>
      <c r="D39" s="707">
        <f>inputOth!E41</f>
        <v>0</v>
      </c>
      <c r="E39" s="189">
        <f>ROUND(IF(D39&gt;0,(E38*D39),0),0)</f>
        <v>0</v>
      </c>
      <c r="F39"/>
      <c r="G39" s="699">
        <f>G36-G38</f>
        <v>0</v>
      </c>
      <c r="H39" s="700" t="str">
        <f>CONCATENATE("Projected ",E1+1," carryover (est.)")</f>
        <v>Projected 2015 carryover (est.)</v>
      </c>
      <c r="I39" s="485"/>
      <c r="J39" s="738"/>
    </row>
    <row r="40" spans="2:6" ht="16.5" thickBot="1">
      <c r="B40" s="64"/>
      <c r="C40" s="814" t="str">
        <f>CONCATENATE("Amount of  ",E1-1," Ad Valorem Tax")</f>
        <v>Amount of  2013 Ad Valorem Tax</v>
      </c>
      <c r="D40" s="815"/>
      <c r="E40" s="714">
        <f>SUM(E38:E39)</f>
        <v>0</v>
      </c>
      <c r="F40"/>
    </row>
    <row r="41" spans="2:10" ht="16.5" thickTop="1">
      <c r="B41" s="64"/>
      <c r="C41" s="814"/>
      <c r="D41" s="815"/>
      <c r="E41" s="715"/>
      <c r="F41"/>
      <c r="G41" s="823" t="s">
        <v>962</v>
      </c>
      <c r="H41" s="824"/>
      <c r="I41" s="824"/>
      <c r="J41" s="825"/>
    </row>
    <row r="42" spans="2:10" ht="15.75">
      <c r="B42" s="64"/>
      <c r="C42" s="633"/>
      <c r="D42" s="64"/>
      <c r="E42" s="64"/>
      <c r="F42"/>
      <c r="G42" s="709"/>
      <c r="H42" s="479"/>
      <c r="I42" s="659"/>
      <c r="J42" s="660"/>
    </row>
    <row r="43" spans="2:10" ht="15.75">
      <c r="B43" s="69"/>
      <c r="C43" s="69"/>
      <c r="D43" s="276"/>
      <c r="E43" s="276"/>
      <c r="F43"/>
      <c r="G43" s="711" t="str">
        <f>summ!H17</f>
        <v>  </v>
      </c>
      <c r="H43" s="479" t="str">
        <f>CONCATENATE("",E1," Fund Mill Rate")</f>
        <v>2014 Fund Mill Rate</v>
      </c>
      <c r="I43" s="659"/>
      <c r="J43" s="660"/>
    </row>
    <row r="44" spans="2:10" ht="15.75">
      <c r="B44" s="69" t="s">
        <v>165</v>
      </c>
      <c r="C44" s="717" t="s">
        <v>840</v>
      </c>
      <c r="D44" s="718" t="s">
        <v>841</v>
      </c>
      <c r="E44" s="174" t="s">
        <v>842</v>
      </c>
      <c r="F44"/>
      <c r="G44" s="710" t="str">
        <f>summ!E17</f>
        <v>  </v>
      </c>
      <c r="H44" s="479" t="str">
        <f>CONCATENATE("",E1-1," Fund Mill Rate")</f>
        <v>2013 Fund Mill Rate</v>
      </c>
      <c r="I44" s="659"/>
      <c r="J44" s="660"/>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2">
        <f>summ!H31</f>
        <v>36.922</v>
      </c>
      <c r="H45" s="479" t="str">
        <f>CONCATENATE("Total ",E1," Mill Rate")</f>
        <v>Total 2014 Mill Rate</v>
      </c>
      <c r="I45" s="659"/>
      <c r="J45" s="660"/>
    </row>
    <row r="46" spans="2:10" ht="15.75">
      <c r="B46" s="178" t="s">
        <v>284</v>
      </c>
      <c r="C46" s="444">
        <v>0</v>
      </c>
      <c r="D46" s="447">
        <f>C74</f>
        <v>0</v>
      </c>
      <c r="E46" s="189">
        <f>D74</f>
        <v>0</v>
      </c>
      <c r="F46"/>
      <c r="G46" s="710">
        <f>summ!E31</f>
        <v>36.92046</v>
      </c>
      <c r="H46" s="647" t="str">
        <f>CONCATENATE("Total ",E1-1," Mill Rate")</f>
        <v>Total 2013 Mill Rate</v>
      </c>
      <c r="I46" s="648"/>
      <c r="J46" s="649"/>
    </row>
    <row r="47" spans="2:6" ht="15.75">
      <c r="B47" s="278" t="s">
        <v>286</v>
      </c>
      <c r="C47" s="178"/>
      <c r="D47" s="447"/>
      <c r="E47" s="189"/>
      <c r="F47"/>
    </row>
    <row r="48" spans="2:9" ht="15.75">
      <c r="B48" s="178" t="s">
        <v>166</v>
      </c>
      <c r="C48" s="495"/>
      <c r="D48" s="447">
        <f>IF(inputPrYr!H16&gt;0,inputPrYr!G19,inputPrYr!E19)</f>
        <v>0</v>
      </c>
      <c r="E48" s="345" t="s">
        <v>153</v>
      </c>
      <c r="F48"/>
      <c r="G48" s="753" t="s">
        <v>991</v>
      </c>
      <c r="H48" s="752"/>
      <c r="I48" s="751" t="str">
        <f>cert!E38</f>
        <v>No</v>
      </c>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221</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172</v>
      </c>
      <c r="C57" s="495"/>
      <c r="D57" s="449"/>
      <c r="E57" s="87"/>
    </row>
    <row r="58" spans="2:5" ht="15.75">
      <c r="B58" s="178" t="s">
        <v>262</v>
      </c>
      <c r="C58" s="495"/>
      <c r="D58" s="495"/>
      <c r="E58" s="587"/>
    </row>
    <row r="59" spans="2:5" ht="15.75">
      <c r="B59" s="178" t="s">
        <v>657</v>
      </c>
      <c r="C59" s="414">
        <f>IF(C60*0.1&lt;C58,"Exceed 10% Rule","")</f>
      </c>
      <c r="D59" s="414">
        <f>IF(D60*0.1&lt;D58,"Exceeds 10% Rule","")</f>
      </c>
      <c r="E59" s="426">
        <f>IF(E60*0.1&lt;E58,"Exceed 10% Rule","")</f>
      </c>
    </row>
    <row r="60" spans="2:5" ht="15.75">
      <c r="B60" s="289" t="s">
        <v>173</v>
      </c>
      <c r="C60" s="446">
        <f>SUM(C48:C58)</f>
        <v>0</v>
      </c>
      <c r="D60" s="446">
        <f>SUM(D48:D58)</f>
        <v>0</v>
      </c>
      <c r="E60" s="340">
        <f>SUM(E49:E58)</f>
        <v>0</v>
      </c>
    </row>
    <row r="61" spans="2:5" ht="15.75">
      <c r="B61" s="289" t="s">
        <v>174</v>
      </c>
      <c r="C61" s="446">
        <f>C46+C60</f>
        <v>0</v>
      </c>
      <c r="D61" s="446">
        <f>D46+D60</f>
        <v>0</v>
      </c>
      <c r="E61" s="340">
        <f>E46+E60</f>
        <v>0</v>
      </c>
    </row>
    <row r="62" spans="2:5" ht="15.75">
      <c r="B62" s="178" t="s">
        <v>175</v>
      </c>
      <c r="C62" s="178"/>
      <c r="D62" s="447"/>
      <c r="E62" s="189"/>
    </row>
    <row r="63" spans="2:5" ht="15.75">
      <c r="B63" s="347"/>
      <c r="C63" s="444"/>
      <c r="D63" s="449"/>
      <c r="E63" s="87"/>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666</v>
      </c>
      <c r="H66" s="481"/>
      <c r="I66" s="481"/>
      <c r="J66" s="475">
        <v>0</v>
      </c>
    </row>
    <row r="67" spans="2:10" ht="15.75">
      <c r="B67" s="347"/>
      <c r="C67" s="444"/>
      <c r="D67" s="449"/>
      <c r="E67" s="87"/>
      <c r="G67" s="567" t="s">
        <v>665</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844</v>
      </c>
      <c r="H69" s="701"/>
      <c r="I69" s="701"/>
      <c r="J69" s="665">
        <f>IF(J66&gt;0,J68-E77,0)</f>
        <v>0</v>
      </c>
    </row>
    <row r="70" spans="2:6" ht="15.75">
      <c r="B70" s="191" t="s">
        <v>53</v>
      </c>
      <c r="C70" s="444"/>
      <c r="D70" s="449"/>
      <c r="E70" s="189">
        <f>Nhood!E9</f>
      </c>
      <c r="F70"/>
    </row>
    <row r="71" spans="2:10" ht="15.75">
      <c r="B71" s="191" t="s">
        <v>262</v>
      </c>
      <c r="C71" s="495"/>
      <c r="D71" s="449"/>
      <c r="E71" s="87"/>
      <c r="F71"/>
      <c r="G71" s="811" t="str">
        <f>CONCATENATE("Projected Carryover Into ",E1+1,"")</f>
        <v>Projected Carryover Into 2015</v>
      </c>
      <c r="H71" s="828"/>
      <c r="I71" s="828"/>
      <c r="J71" s="827"/>
    </row>
    <row r="72" spans="2:10" ht="15.75">
      <c r="B72" s="191" t="s">
        <v>656</v>
      </c>
      <c r="C72" s="414">
        <f>IF(C73*0.1&lt;C71,"Exceed 10% Rule","")</f>
      </c>
      <c r="D72" s="414">
        <f>IF(D73*0.1&lt;D71,"Exceed 10% Rule","")</f>
      </c>
      <c r="E72" s="426">
        <f>IF(E73*0.1&lt;E71,"Exceed 10% Rule","")</f>
      </c>
      <c r="F72"/>
      <c r="G72" s="476"/>
      <c r="H72" s="465"/>
      <c r="I72" s="465"/>
      <c r="J72" s="713"/>
    </row>
    <row r="73" spans="2:10" ht="15.75">
      <c r="B73" s="289" t="s">
        <v>176</v>
      </c>
      <c r="C73" s="446">
        <f>SUM(C63:C71)</f>
        <v>0</v>
      </c>
      <c r="D73" s="446">
        <f>SUM(D63:D71)</f>
        <v>0</v>
      </c>
      <c r="E73" s="340">
        <f>SUM(E63:E71)</f>
        <v>0</v>
      </c>
      <c r="F73"/>
      <c r="G73" s="478">
        <f>D74</f>
        <v>0</v>
      </c>
      <c r="H73" s="479" t="str">
        <f>CONCATENATE("",E1-1," Ending Cash Balance (est.)")</f>
        <v>2013 Ending Cash Balance (est.)</v>
      </c>
      <c r="I73" s="480"/>
      <c r="J73" s="713"/>
    </row>
    <row r="74" spans="2:10" ht="15.75">
      <c r="B74" s="178" t="s">
        <v>285</v>
      </c>
      <c r="C74" s="451">
        <f>C61-C73</f>
        <v>0</v>
      </c>
      <c r="D74" s="451">
        <f>D61-D73</f>
        <v>0</v>
      </c>
      <c r="E74" s="345" t="s">
        <v>153</v>
      </c>
      <c r="F74"/>
      <c r="G74" s="478">
        <f>E60</f>
        <v>0</v>
      </c>
      <c r="H74" s="481" t="str">
        <f>CONCATENATE("",E1," Non-AV Receipts (est.)")</f>
        <v>2014 Non-AV Receipts (est.)</v>
      </c>
      <c r="I74" s="480"/>
      <c r="J74" s="713"/>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3"/>
      <c r="K75" s="703">
        <f>IF(G75=E80,"","Note: Does not include Delinquent Taxes")</f>
      </c>
    </row>
    <row r="76" spans="2:10" ht="15.75">
      <c r="B76" s="210"/>
      <c r="C76" s="819" t="s">
        <v>659</v>
      </c>
      <c r="D76" s="820"/>
      <c r="E76" s="87"/>
      <c r="F76" s="694">
        <f>IF(E73/0.95-E73&lt;E76,"Exceeds 5%","")</f>
      </c>
      <c r="G76" s="569">
        <f>SUM(G73:G75)</f>
        <v>0</v>
      </c>
      <c r="H76" s="481" t="str">
        <f>CONCATENATE("Total ",E1," Resources Available")</f>
        <v>Total 2014 Resources Available</v>
      </c>
      <c r="I76" s="477"/>
      <c r="J76" s="713"/>
    </row>
    <row r="77" spans="2:10" ht="15.75">
      <c r="B77" s="456" t="str">
        <f>CONCATENATE(C95,"     ",D95)</f>
        <v>     </v>
      </c>
      <c r="C77" s="821" t="s">
        <v>660</v>
      </c>
      <c r="D77" s="822"/>
      <c r="E77" s="189">
        <f>E73+E76</f>
        <v>0</v>
      </c>
      <c r="F77"/>
      <c r="G77" s="572"/>
      <c r="H77" s="570"/>
      <c r="I77" s="465"/>
      <c r="J77" s="713"/>
    </row>
    <row r="78" spans="2:10" ht="15.75">
      <c r="B78" s="456" t="str">
        <f>CONCATENATE(C96,"     ",D96)</f>
        <v>     </v>
      </c>
      <c r="C78" s="295"/>
      <c r="D78" s="218" t="s">
        <v>177</v>
      </c>
      <c r="E78" s="94">
        <f>IF(E77-E61&gt;0,E77-E61,0)</f>
        <v>0</v>
      </c>
      <c r="F78"/>
      <c r="G78" s="571">
        <f>ROUND(C73*0.05+C73,0)</f>
        <v>0</v>
      </c>
      <c r="H78" s="570" t="str">
        <f>CONCATENATE("Less ",E1-2," Expenditures + 5%")</f>
        <v>Less 2012 Expenditures + 5%</v>
      </c>
      <c r="I78" s="477"/>
      <c r="J78" s="713"/>
    </row>
    <row r="79" spans="2:10" ht="15.75">
      <c r="B79" s="218"/>
      <c r="C79" s="443" t="s">
        <v>661</v>
      </c>
      <c r="D79" s="707">
        <f>inputOth!E41</f>
        <v>0</v>
      </c>
      <c r="E79" s="189">
        <f>ROUND(IF(E78&gt;0,(E78*D79),0),0)</f>
        <v>0</v>
      </c>
      <c r="F79"/>
      <c r="G79" s="581">
        <f>G76-G78</f>
        <v>0</v>
      </c>
      <c r="H79" s="582" t="str">
        <f>CONCATENATE("Projected ",E1+1," carryover (est.)")</f>
        <v>Projected 2015 carryover (est.)</v>
      </c>
      <c r="I79" s="486"/>
      <c r="J79" s="739"/>
    </row>
    <row r="80" spans="2:6" ht="16.5" thickBot="1">
      <c r="B80" s="64"/>
      <c r="C80" s="814" t="str">
        <f>CONCATENATE("Amount of  ",E1-1," Ad Valorem Tax")</f>
        <v>Amount of  2013 Ad Valorem Tax</v>
      </c>
      <c r="D80" s="815"/>
      <c r="E80" s="714">
        <f>E78+E79</f>
        <v>0</v>
      </c>
      <c r="F80" s="695" t="e">
        <f>IF('Library Grant'!F33="","",IF('Library Grant'!F33="Qualify","Qualifies for State Library Grant","See 'Library Grant' tab"))</f>
        <v>#VALUE!</v>
      </c>
    </row>
    <row r="81" spans="2:10" ht="16.5" thickTop="1">
      <c r="B81" s="218"/>
      <c r="C81" s="814"/>
      <c r="D81" s="815"/>
      <c r="E81" s="715"/>
      <c r="F81"/>
      <c r="G81" s="823" t="s">
        <v>962</v>
      </c>
      <c r="H81" s="824"/>
      <c r="I81" s="824"/>
      <c r="J81" s="825"/>
    </row>
    <row r="82" spans="2:10" ht="15.75">
      <c r="B82" s="218"/>
      <c r="C82" s="218"/>
      <c r="D82" s="218"/>
      <c r="E82" s="218"/>
      <c r="G82" s="709"/>
      <c r="H82" s="479"/>
      <c r="I82" s="659"/>
      <c r="J82" s="660"/>
    </row>
    <row r="83" spans="2:10" ht="15.75">
      <c r="B83" s="218" t="s">
        <v>179</v>
      </c>
      <c r="C83" s="346"/>
      <c r="D83" s="218"/>
      <c r="E83" s="218"/>
      <c r="F83"/>
      <c r="G83" s="711">
        <f>summ!H18</f>
      </c>
      <c r="H83" s="479" t="str">
        <f>CONCATENATE("",E1," Fund Mill Rate")</f>
        <v>2014 Fund Mill Rate</v>
      </c>
      <c r="I83" s="659"/>
      <c r="J83" s="660"/>
    </row>
    <row r="84" spans="7:10" ht="15.75">
      <c r="G84" s="710" t="str">
        <f>summ!E18</f>
        <v>  </v>
      </c>
      <c r="H84" s="479" t="str">
        <f>CONCATENATE("",E1-1," Fund Mill Rate")</f>
        <v>2013 Fund Mill Rate</v>
      </c>
      <c r="I84" s="659"/>
      <c r="J84" s="660"/>
    </row>
    <row r="85" spans="7:10" ht="15.75">
      <c r="G85" s="712">
        <f>summ!H31</f>
        <v>36.922</v>
      </c>
      <c r="H85" s="479" t="str">
        <f>CONCATENATE("Total ",E1," Mill Rate")</f>
        <v>Total 2014 Mill Rate</v>
      </c>
      <c r="I85" s="659"/>
      <c r="J85" s="660"/>
    </row>
    <row r="86" spans="7:10" ht="15.75">
      <c r="G86" s="710">
        <f>summ!E31</f>
        <v>36.92046</v>
      </c>
      <c r="H86" s="647" t="str">
        <f>CONCATENATE("Total ",E1-1," Mill Rate")</f>
        <v>Total 2013 Mill Rate</v>
      </c>
      <c r="I86" s="648"/>
      <c r="J86" s="649"/>
    </row>
    <row r="87" spans="7:10" ht="15.75">
      <c r="G87" s="716"/>
      <c r="H87" s="716"/>
      <c r="I87" s="716"/>
      <c r="J87" s="716"/>
    </row>
    <row r="88" spans="3:9" ht="15.75">
      <c r="C88" s="65" t="s">
        <v>662</v>
      </c>
      <c r="D88" s="65" t="s">
        <v>662</v>
      </c>
      <c r="G88" s="756" t="s">
        <v>991</v>
      </c>
      <c r="H88" s="755"/>
      <c r="I88" s="754" t="str">
        <f>cert!E38</f>
        <v>No</v>
      </c>
    </row>
    <row r="89" spans="3:4" ht="15.75">
      <c r="C89" s="65" t="s">
        <v>662</v>
      </c>
      <c r="D89" s="65" t="s">
        <v>662</v>
      </c>
    </row>
    <row r="91" spans="3:4" ht="15.75">
      <c r="C91" s="65" t="s">
        <v>662</v>
      </c>
      <c r="D91" s="65" t="s">
        <v>662</v>
      </c>
    </row>
    <row r="92" spans="3:4" ht="15.75">
      <c r="C92" s="65" t="s">
        <v>662</v>
      </c>
      <c r="D92" s="65" t="s">
        <v>662</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Green</v>
      </c>
      <c r="C1" s="201"/>
      <c r="D1" s="64"/>
      <c r="E1" s="161">
        <f>inputPrYr!$C$5</f>
        <v>2014</v>
      </c>
    </row>
    <row r="2" spans="2:5" ht="15.75">
      <c r="B2" s="64"/>
      <c r="C2" s="64"/>
      <c r="D2" s="64"/>
      <c r="E2" s="218"/>
    </row>
    <row r="3" spans="2:5" ht="15.75">
      <c r="B3" s="81" t="s">
        <v>225</v>
      </c>
      <c r="C3" s="81"/>
      <c r="D3" s="276"/>
      <c r="E3" s="163"/>
    </row>
    <row r="4" spans="2:5" ht="15.75">
      <c r="B4" s="69" t="s">
        <v>165</v>
      </c>
      <c r="C4" s="717" t="s">
        <v>840</v>
      </c>
      <c r="D4" s="718" t="s">
        <v>841</v>
      </c>
      <c r="E4" s="174" t="s">
        <v>842</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284</v>
      </c>
      <c r="C6" s="448"/>
      <c r="D6" s="447">
        <f>C34</f>
        <v>0</v>
      </c>
      <c r="E6" s="189">
        <f>D34</f>
        <v>0</v>
      </c>
    </row>
    <row r="7" spans="2:5" ht="15.75">
      <c r="B7" s="178" t="s">
        <v>286</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221</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262</v>
      </c>
      <c r="C18" s="444"/>
      <c r="D18" s="449"/>
      <c r="E18" s="87"/>
    </row>
    <row r="19" spans="2:5" ht="15.75">
      <c r="B19" s="178" t="s">
        <v>657</v>
      </c>
      <c r="C19" s="445">
        <f>IF(C20*0.1&lt;C18,"Exceed 10% Rule","")</f>
      </c>
      <c r="D19" s="455">
        <f>IF(D20*0.1&lt;D18,"Exceed 10% Rule","")</f>
      </c>
      <c r="E19" s="338">
        <f>IF(E20*0.1+E40&lt;E18,"Exceed 10% Rule","")</f>
      </c>
    </row>
    <row r="20" spans="2:5" ht="15.75">
      <c r="B20" s="289" t="s">
        <v>173</v>
      </c>
      <c r="C20" s="450">
        <f>SUM(C8:C18)</f>
        <v>0</v>
      </c>
      <c r="D20" s="450">
        <f>SUM(D8:D18)</f>
        <v>0</v>
      </c>
      <c r="E20" s="348">
        <f>SUM(E8:E18)</f>
        <v>0</v>
      </c>
    </row>
    <row r="21" spans="2:5" ht="15.75">
      <c r="B21" s="289" t="s">
        <v>174</v>
      </c>
      <c r="C21" s="450">
        <f>C6+C20</f>
        <v>0</v>
      </c>
      <c r="D21" s="450">
        <f>D6+D20</f>
        <v>0</v>
      </c>
      <c r="E21" s="348">
        <f>E6+E20</f>
        <v>0</v>
      </c>
    </row>
    <row r="22" spans="2:5" ht="15.75">
      <c r="B22" s="178" t="s">
        <v>175</v>
      </c>
      <c r="C22" s="178"/>
      <c r="D22" s="447"/>
      <c r="E22" s="189"/>
    </row>
    <row r="23" spans="2:5" ht="15.75">
      <c r="B23" s="347"/>
      <c r="C23" s="444"/>
      <c r="D23" s="449"/>
      <c r="E23" s="87"/>
    </row>
    <row r="24" spans="2:10" ht="15.75">
      <c r="B24" s="347"/>
      <c r="C24" s="444"/>
      <c r="D24" s="449"/>
      <c r="E24" s="87"/>
      <c r="G24" s="811" t="str">
        <f>CONCATENATE("Desired Carryover Into ",E1+1,"")</f>
        <v>Desired Carryover Into 2015</v>
      </c>
      <c r="H24" s="812"/>
      <c r="I24" s="812"/>
      <c r="J24" s="813"/>
    </row>
    <row r="25" spans="2:10" ht="15.75">
      <c r="B25" s="347"/>
      <c r="C25" s="444"/>
      <c r="D25" s="449"/>
      <c r="E25" s="87"/>
      <c r="G25" s="567"/>
      <c r="H25" s="465"/>
      <c r="I25" s="481"/>
      <c r="J25" s="568"/>
    </row>
    <row r="26" spans="2:10" ht="15.75">
      <c r="B26" s="347"/>
      <c r="C26" s="444"/>
      <c r="D26" s="449"/>
      <c r="E26" s="87"/>
      <c r="G26" s="487" t="s">
        <v>666</v>
      </c>
      <c r="H26" s="481"/>
      <c r="I26" s="481"/>
      <c r="J26" s="475">
        <v>0</v>
      </c>
    </row>
    <row r="27" spans="2:10" ht="15.75">
      <c r="B27" s="347"/>
      <c r="C27" s="444"/>
      <c r="D27" s="449"/>
      <c r="E27" s="87"/>
      <c r="G27" s="567" t="s">
        <v>665</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844</v>
      </c>
      <c r="H29" s="701"/>
      <c r="I29" s="701"/>
      <c r="J29" s="665">
        <f>IF(J26&gt;0,J28-E38,0)</f>
        <v>0</v>
      </c>
    </row>
    <row r="30" spans="2:10" ht="15.75">
      <c r="B30" s="343" t="s">
        <v>53</v>
      </c>
      <c r="C30" s="444"/>
      <c r="D30" s="449"/>
      <c r="E30" s="189">
        <f>Nhood!E10</f>
      </c>
      <c r="J30" s="2"/>
    </row>
    <row r="31" spans="2:10" ht="15.75">
      <c r="B31" s="343" t="s">
        <v>262</v>
      </c>
      <c r="C31" s="444"/>
      <c r="D31" s="449"/>
      <c r="E31" s="87"/>
      <c r="G31" s="811" t="str">
        <f>CONCATENATE("Projected Carryover Into ",E1+1,"")</f>
        <v>Projected Carryover Into 2015</v>
      </c>
      <c r="H31" s="826"/>
      <c r="I31" s="826"/>
      <c r="J31" s="827"/>
    </row>
    <row r="32" spans="2:10" ht="15.75">
      <c r="B32" s="343" t="s">
        <v>663</v>
      </c>
      <c r="C32" s="414">
        <f>IF(C33*0.1&lt;C31,"Exceed 10% Rule","")</f>
      </c>
      <c r="D32" s="426">
        <f>IF(D33*0.1&lt;D31,"Exceed 10% Rule","")</f>
      </c>
      <c r="E32" s="288">
        <f>IF(E33*0.1&lt;E31,"Exceed 10% Rule","")</f>
      </c>
      <c r="G32" s="567"/>
      <c r="H32" s="481"/>
      <c r="I32" s="481"/>
      <c r="J32" s="713"/>
    </row>
    <row r="33" spans="2:10" ht="15.75">
      <c r="B33" s="289" t="s">
        <v>176</v>
      </c>
      <c r="C33" s="446">
        <f>SUM(C23:C31)</f>
        <v>0</v>
      </c>
      <c r="D33" s="446">
        <f>SUM(D23:D31)</f>
        <v>0</v>
      </c>
      <c r="E33" s="340">
        <f>SUM(E23:E31)</f>
        <v>0</v>
      </c>
      <c r="G33" s="478">
        <f>D34</f>
        <v>0</v>
      </c>
      <c r="H33" s="479" t="str">
        <f>CONCATENATE("",E1-1," Ending Cash Balance (est.)")</f>
        <v>2013 Ending Cash Balance (est.)</v>
      </c>
      <c r="I33" s="480"/>
      <c r="J33" s="713"/>
    </row>
    <row r="34" spans="2:10" ht="15.75">
      <c r="B34" s="178" t="s">
        <v>285</v>
      </c>
      <c r="C34" s="451">
        <f>C21-C33</f>
        <v>0</v>
      </c>
      <c r="D34" s="451">
        <f>D21-D33</f>
        <v>0</v>
      </c>
      <c r="E34" s="345" t="s">
        <v>153</v>
      </c>
      <c r="G34" s="478">
        <f>E20</f>
        <v>0</v>
      </c>
      <c r="H34" s="481" t="str">
        <f>CONCATENATE("",E1," Non-AV Receipts (est.)")</f>
        <v>2014 Non-AV Receipts (est.)</v>
      </c>
      <c r="I34" s="480"/>
      <c r="J34" s="713"/>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40"/>
      <c r="K35" s="703">
        <f>IF(G35=E40,"","Note: Does not include Delinquent Taxes")</f>
      </c>
    </row>
    <row r="36" spans="2:10" ht="15.75">
      <c r="B36" s="210"/>
      <c r="C36" s="819" t="s">
        <v>659</v>
      </c>
      <c r="D36" s="820"/>
      <c r="E36" s="87"/>
      <c r="F36" s="294">
        <f>IF(E33/0.95-E33&lt;E36,"Exceeds 5%","")</f>
      </c>
      <c r="G36" s="478">
        <f>SUM(G33:G35)</f>
        <v>0</v>
      </c>
      <c r="H36" s="481" t="str">
        <f>CONCATENATE("Total ",E1," Resources Available")</f>
        <v>Total 2014 Resources Available</v>
      </c>
      <c r="I36" s="480"/>
      <c r="J36" s="713"/>
    </row>
    <row r="37" spans="2:10" ht="15.75">
      <c r="B37" s="456" t="str">
        <f>CONCATENATE(C94,"     ",D94)</f>
        <v>     </v>
      </c>
      <c r="C37" s="821" t="s">
        <v>660</v>
      </c>
      <c r="D37" s="822"/>
      <c r="E37" s="189">
        <f>E33+E36</f>
        <v>0</v>
      </c>
      <c r="G37" s="483"/>
      <c r="H37" s="481"/>
      <c r="I37" s="481"/>
      <c r="J37" s="713"/>
    </row>
    <row r="38" spans="2:10" ht="15.75">
      <c r="B38" s="456" t="str">
        <f>CONCATENATE(C95,"     ",D95)</f>
        <v>     </v>
      </c>
      <c r="C38" s="295"/>
      <c r="D38" s="218" t="s">
        <v>177</v>
      </c>
      <c r="E38" s="94">
        <f>IF(E37-E21&gt;0,E37-E21,0)</f>
        <v>0</v>
      </c>
      <c r="G38" s="482">
        <f>ROUND(C33*0.05+C33,0)</f>
        <v>0</v>
      </c>
      <c r="H38" s="481" t="str">
        <f>CONCATENATE("Less ",E1-2," Expenditures + 5%")</f>
        <v>Less 2012 Expenditures + 5%</v>
      </c>
      <c r="I38" s="480"/>
      <c r="J38" s="713"/>
    </row>
    <row r="39" spans="2:10" ht="15.75">
      <c r="B39" s="218"/>
      <c r="C39" s="443" t="s">
        <v>661</v>
      </c>
      <c r="D39" s="707">
        <f>inputOth!E41</f>
        <v>0</v>
      </c>
      <c r="E39" s="189">
        <f>ROUND(IF(D39&gt;0,(E38*D39),0),0)</f>
        <v>0</v>
      </c>
      <c r="G39" s="699">
        <f>G36-G38</f>
        <v>0</v>
      </c>
      <c r="H39" s="700" t="str">
        <f>CONCATENATE("Projected ",E1+1," carryover (est.)")</f>
        <v>Projected 2015 carryover (est.)</v>
      </c>
      <c r="I39" s="485"/>
      <c r="J39" s="739"/>
    </row>
    <row r="40" spans="2:10" ht="16.5" thickBot="1">
      <c r="B40" s="64"/>
      <c r="C40" s="814" t="str">
        <f>CONCATENATE("Amount of  ",E1-1," Ad Valorem Tax")</f>
        <v>Amount of  2013 Ad Valorem Tax</v>
      </c>
      <c r="D40" s="815"/>
      <c r="E40" s="714">
        <f>E38+E39</f>
        <v>0</v>
      </c>
      <c r="G40" s="2"/>
      <c r="H40" s="2"/>
      <c r="I40" s="2"/>
      <c r="J40" s="2"/>
    </row>
    <row r="41" spans="2:10" ht="16.5" thickTop="1">
      <c r="B41" s="64"/>
      <c r="C41" s="814"/>
      <c r="D41" s="815"/>
      <c r="E41" s="64"/>
      <c r="G41" s="823" t="s">
        <v>962</v>
      </c>
      <c r="H41" s="824"/>
      <c r="I41" s="824"/>
      <c r="J41" s="825"/>
    </row>
    <row r="42" spans="2:10" ht="15.75">
      <c r="B42" s="64"/>
      <c r="C42" s="633"/>
      <c r="D42" s="64"/>
      <c r="E42" s="64"/>
      <c r="G42" s="709"/>
      <c r="H42" s="479"/>
      <c r="I42" s="659"/>
      <c r="J42" s="660"/>
    </row>
    <row r="43" spans="2:10" ht="15.75">
      <c r="B43" s="69" t="s">
        <v>165</v>
      </c>
      <c r="C43" s="69"/>
      <c r="D43" s="276"/>
      <c r="E43" s="276"/>
      <c r="G43" s="711" t="str">
        <f>summ!H19</f>
        <v>  </v>
      </c>
      <c r="H43" s="479" t="str">
        <f>CONCATENATE("",E1," Fund Mill Rate")</f>
        <v>2014 Fund Mill Rate</v>
      </c>
      <c r="I43" s="659"/>
      <c r="J43" s="660"/>
    </row>
    <row r="44" spans="2:10" ht="15.75">
      <c r="B44" s="64"/>
      <c r="C44" s="717" t="s">
        <v>840</v>
      </c>
      <c r="D44" s="718" t="s">
        <v>841</v>
      </c>
      <c r="E44" s="174" t="s">
        <v>842</v>
      </c>
      <c r="G44" s="710" t="str">
        <f>summ!E19</f>
        <v>  </v>
      </c>
      <c r="H44" s="479" t="str">
        <f>CONCATENATE("",E1-1," Fund Mill Rate")</f>
        <v>2013 Fund Mill Rate</v>
      </c>
      <c r="I44" s="659"/>
      <c r="J44" s="660"/>
    </row>
    <row r="45" spans="2:10" ht="15.75">
      <c r="B45" s="454">
        <f>(inputPrYr!B22)</f>
        <v>0</v>
      </c>
      <c r="C45" s="333" t="str">
        <f>CONCATENATE("Actual for ",$E$1-2,"")</f>
        <v>Actual for 2012</v>
      </c>
      <c r="D45" s="415" t="str">
        <f>CONCATENATE("Estimate for ",$E$1-1,"")</f>
        <v>Estimate for 2013</v>
      </c>
      <c r="E45" s="229" t="str">
        <f>CONCATENATE("Year for ",$E$1,"")</f>
        <v>Year for 2014</v>
      </c>
      <c r="G45" s="712">
        <f>summ!H31</f>
        <v>36.922</v>
      </c>
      <c r="H45" s="479" t="str">
        <f>CONCATENATE("Total ",E1," Mill Rate")</f>
        <v>Total 2014 Mill Rate</v>
      </c>
      <c r="I45" s="659"/>
      <c r="J45" s="660"/>
    </row>
    <row r="46" spans="2:10" ht="15.75">
      <c r="B46" s="178" t="s">
        <v>284</v>
      </c>
      <c r="C46" s="444"/>
      <c r="D46" s="447">
        <f>C74</f>
        <v>0</v>
      </c>
      <c r="E46" s="189">
        <f>D74</f>
        <v>0</v>
      </c>
      <c r="G46" s="710">
        <f>summ!E31</f>
        <v>36.92046</v>
      </c>
      <c r="H46" s="647" t="str">
        <f>CONCATENATE("Total ",E1-1," Mill Rate")</f>
        <v>Total 2013 Mill Rate</v>
      </c>
      <c r="I46" s="648"/>
      <c r="J46" s="649"/>
    </row>
    <row r="47" spans="2:5" ht="15.75">
      <c r="B47" s="278" t="s">
        <v>286</v>
      </c>
      <c r="C47" s="178"/>
      <c r="D47" s="447"/>
      <c r="E47" s="189"/>
    </row>
    <row r="48" spans="2:9" ht="15.75">
      <c r="B48" s="178" t="s">
        <v>166</v>
      </c>
      <c r="C48" s="444"/>
      <c r="D48" s="447">
        <f>IF(inputPrYr!H16&gt;0,inputPrYr!G22,inputPrYr!E22)</f>
        <v>0</v>
      </c>
      <c r="E48" s="345" t="s">
        <v>153</v>
      </c>
      <c r="G48" s="759" t="s">
        <v>991</v>
      </c>
      <c r="H48" s="758"/>
      <c r="I48" s="757" t="str">
        <f>cert!E38</f>
        <v>No</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221</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172</v>
      </c>
      <c r="C57" s="444"/>
      <c r="D57" s="449"/>
      <c r="E57" s="87"/>
    </row>
    <row r="58" spans="2:5" ht="15.75">
      <c r="B58" s="178" t="s">
        <v>262</v>
      </c>
      <c r="C58" s="444"/>
      <c r="D58" s="449"/>
      <c r="E58" s="87"/>
    </row>
    <row r="59" spans="2:5" ht="15.75">
      <c r="B59" s="178" t="s">
        <v>657</v>
      </c>
      <c r="C59" s="445">
        <f>IF(C60*0.1&lt;C58,"Exceed 10% Rule","")</f>
      </c>
      <c r="D59" s="455">
        <f>IF(D60*0.1&lt;D58,"Exceed 10% Rule","")</f>
      </c>
      <c r="E59" s="338">
        <f>IF(E60*0.1+E79&lt;E58,"Exceed 10% Rule","")</f>
      </c>
    </row>
    <row r="60" spans="2:5" ht="15.75">
      <c r="B60" s="289" t="s">
        <v>173</v>
      </c>
      <c r="C60" s="446">
        <f>SUM(C48:C58)</f>
        <v>0</v>
      </c>
      <c r="D60" s="446">
        <f>SUM(D48:D58)</f>
        <v>0</v>
      </c>
      <c r="E60" s="340">
        <f>SUM(E48:E58)</f>
        <v>0</v>
      </c>
    </row>
    <row r="61" spans="2:5" ht="15.75">
      <c r="B61" s="289" t="s">
        <v>174</v>
      </c>
      <c r="C61" s="446">
        <f>C46+C60</f>
        <v>0</v>
      </c>
      <c r="D61" s="446">
        <f>D46+D60</f>
        <v>0</v>
      </c>
      <c r="E61" s="340">
        <f>E46+E60</f>
        <v>0</v>
      </c>
    </row>
    <row r="62" spans="2:5" ht="15.75">
      <c r="B62" s="178" t="s">
        <v>175</v>
      </c>
      <c r="C62" s="178"/>
      <c r="D62" s="447"/>
      <c r="E62" s="189"/>
    </row>
    <row r="63" spans="2:5" ht="15.75">
      <c r="B63" s="347"/>
      <c r="C63" s="444"/>
      <c r="D63" s="449"/>
      <c r="E63" s="87"/>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666</v>
      </c>
      <c r="H66" s="481"/>
      <c r="I66" s="481"/>
      <c r="J66" s="475">
        <v>0</v>
      </c>
    </row>
    <row r="67" spans="2:10" ht="15.75">
      <c r="B67" s="347"/>
      <c r="C67" s="444"/>
      <c r="D67" s="449"/>
      <c r="E67" s="87"/>
      <c r="G67" s="567" t="s">
        <v>665</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844</v>
      </c>
      <c r="H69" s="701"/>
      <c r="I69" s="701"/>
      <c r="J69" s="665">
        <f>IF(J66&gt;0,J68-E77,0)</f>
        <v>0</v>
      </c>
    </row>
    <row r="70" spans="2:10" ht="15.75">
      <c r="B70" s="191" t="s">
        <v>53</v>
      </c>
      <c r="C70" s="444"/>
      <c r="D70" s="449"/>
      <c r="E70" s="189">
        <f>Nhood!E11</f>
      </c>
      <c r="J70" s="2"/>
    </row>
    <row r="71" spans="2:10" ht="15.75">
      <c r="B71" s="191" t="s">
        <v>262</v>
      </c>
      <c r="C71" s="444"/>
      <c r="D71" s="449"/>
      <c r="E71" s="87"/>
      <c r="G71" s="811" t="str">
        <f>CONCATENATE("Projected Carryover Into ",E1+1,"")</f>
        <v>Projected Carryover Into 2015</v>
      </c>
      <c r="H71" s="828"/>
      <c r="I71" s="828"/>
      <c r="J71" s="827"/>
    </row>
    <row r="72" spans="2:10" ht="15.75">
      <c r="B72" s="191" t="s">
        <v>656</v>
      </c>
      <c r="C72" s="445">
        <f>IF(C73*0.1&lt;C71,"Exceed 10% Rule","")</f>
      </c>
      <c r="D72" s="455">
        <f>IF(D73*0.1&lt;D71,"Exceed 10% Rule","")</f>
      </c>
      <c r="E72" s="338">
        <f>IF(E73*0.1&lt;E71,"Exceed 10% Rule","")</f>
      </c>
      <c r="G72" s="476"/>
      <c r="H72" s="465"/>
      <c r="I72" s="465"/>
      <c r="J72" s="168"/>
    </row>
    <row r="73" spans="2:10" ht="15.75">
      <c r="B73" s="289" t="s">
        <v>176</v>
      </c>
      <c r="C73" s="446">
        <f>SUM(C63:C71)</f>
        <v>0</v>
      </c>
      <c r="D73" s="446">
        <f>SUM(D63:D71)</f>
        <v>0</v>
      </c>
      <c r="E73" s="340">
        <f>SUM(E63:E71)</f>
        <v>0</v>
      </c>
      <c r="G73" s="478">
        <f>D74</f>
        <v>0</v>
      </c>
      <c r="H73" s="479" t="str">
        <f>CONCATENATE("",E1-1," Ending Cash Balance (est.)")</f>
        <v>2013 Ending Cash Balance (est.)</v>
      </c>
      <c r="I73" s="480"/>
      <c r="J73" s="168"/>
    </row>
    <row r="74" spans="2:10" ht="15.75">
      <c r="B74" s="178" t="s">
        <v>285</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3">
        <f>IF(G75=E80,"","Note: Does not include Delinquent Taxes")</f>
      </c>
    </row>
    <row r="76" spans="2:10" ht="15.75">
      <c r="B76" s="210"/>
      <c r="C76" s="819" t="s">
        <v>659</v>
      </c>
      <c r="D76" s="820"/>
      <c r="E76" s="87"/>
      <c r="F76" s="294">
        <f>IF(E73/0.95-E73&lt;E76,"Exceeds 5%","")</f>
      </c>
      <c r="G76" s="569">
        <f>SUM(G73:G75)</f>
        <v>0</v>
      </c>
      <c r="H76" s="481" t="str">
        <f>CONCATENATE("Total ",E1," Resources Available")</f>
        <v>Total 2014 Resources Available</v>
      </c>
      <c r="I76" s="477"/>
      <c r="J76" s="168"/>
    </row>
    <row r="77" spans="2:10" ht="15.75">
      <c r="B77" s="456" t="str">
        <f>CONCATENATE(C96,"     ",D96)</f>
        <v>     </v>
      </c>
      <c r="C77" s="821" t="s">
        <v>660</v>
      </c>
      <c r="D77" s="822"/>
      <c r="E77" s="189">
        <f>E73+E76</f>
        <v>0</v>
      </c>
      <c r="G77" s="572"/>
      <c r="H77" s="570"/>
      <c r="I77" s="465"/>
      <c r="J77" s="168"/>
    </row>
    <row r="78" spans="2:10" ht="15.75">
      <c r="B78" s="456" t="str">
        <f>CONCATENATE(C97,"     ",D97)</f>
        <v>     </v>
      </c>
      <c r="C78" s="295"/>
      <c r="D78" s="218" t="s">
        <v>177</v>
      </c>
      <c r="E78" s="94">
        <f>IF(E77-E61&gt;0,E77-E61,0)</f>
        <v>0</v>
      </c>
      <c r="G78" s="571">
        <f>ROUND(C73*0.05+C73,0)</f>
        <v>0</v>
      </c>
      <c r="H78" s="570" t="str">
        <f>CONCATENATE("Less ",E1-2," Expenditures + 5%")</f>
        <v>Less 2012 Expenditures + 5%</v>
      </c>
      <c r="I78" s="477"/>
      <c r="J78" s="168"/>
    </row>
    <row r="79" spans="2:10" ht="15.75">
      <c r="B79" s="218"/>
      <c r="C79" s="443" t="s">
        <v>661</v>
      </c>
      <c r="D79" s="707">
        <f>inputOth!E41</f>
        <v>0</v>
      </c>
      <c r="E79" s="189">
        <f>ROUND(IF(D79&gt;0,(E78*D79),0),0)</f>
        <v>0</v>
      </c>
      <c r="G79" s="581">
        <f>G76-G78</f>
        <v>0</v>
      </c>
      <c r="H79" s="582" t="str">
        <f>CONCATENATE("Projected ",E1+1," carryover (est.)")</f>
        <v>Projected 2015 carryover (est.)</v>
      </c>
      <c r="I79" s="486"/>
      <c r="J79" s="739"/>
    </row>
    <row r="80" spans="2:9" ht="16.5" thickBot="1">
      <c r="B80" s="64"/>
      <c r="C80" s="814" t="str">
        <f>CONCATENATE("Amount of  ",E1-1," Ad Valorem Tax")</f>
        <v>Amount of  2013 Ad Valorem Tax</v>
      </c>
      <c r="D80" s="815"/>
      <c r="E80" s="714">
        <f>E78+E79</f>
        <v>0</v>
      </c>
      <c r="G80" s="2"/>
      <c r="H80" s="2"/>
      <c r="I80" s="2"/>
    </row>
    <row r="81" spans="2:10" ht="16.5" thickTop="1">
      <c r="B81" s="64"/>
      <c r="C81" s="814"/>
      <c r="D81" s="815"/>
      <c r="E81" s="64"/>
      <c r="G81" s="823" t="s">
        <v>962</v>
      </c>
      <c r="H81" s="824"/>
      <c r="I81" s="824"/>
      <c r="J81" s="825"/>
    </row>
    <row r="82" spans="2:10" ht="15.75">
      <c r="B82" s="64"/>
      <c r="C82" s="633"/>
      <c r="D82" s="64"/>
      <c r="E82" s="64"/>
      <c r="G82" s="709"/>
      <c r="H82" s="479"/>
      <c r="I82" s="659"/>
      <c r="J82" s="660"/>
    </row>
    <row r="83" spans="2:10" ht="15.75">
      <c r="B83" s="218" t="s">
        <v>179</v>
      </c>
      <c r="C83" s="346"/>
      <c r="D83" s="118"/>
      <c r="E83" s="64"/>
      <c r="G83" s="711" t="str">
        <f>summ!H20</f>
        <v>  </v>
      </c>
      <c r="H83" s="479" t="str">
        <f>CONCATENATE("",E1," Fund Mill Rate")</f>
        <v>2014 Fund Mill Rate</v>
      </c>
      <c r="I83" s="659"/>
      <c r="J83" s="660"/>
    </row>
    <row r="84" spans="7:10" ht="15.75">
      <c r="G84" s="710" t="str">
        <f>summ!E20</f>
        <v>  </v>
      </c>
      <c r="H84" s="479" t="str">
        <f>CONCATENATE("",E1-1," Fund Mill Rate")</f>
        <v>2013 Fund Mill Rate</v>
      </c>
      <c r="I84" s="659"/>
      <c r="J84" s="660"/>
    </row>
    <row r="85" spans="2:10" ht="15.75">
      <c r="B85" s="126"/>
      <c r="C85" s="126"/>
      <c r="G85" s="712">
        <f>summ!H31</f>
        <v>36.922</v>
      </c>
      <c r="H85" s="479" t="str">
        <f>CONCATENATE("Total ",E1," Mill Rate")</f>
        <v>Total 2014 Mill Rate</v>
      </c>
      <c r="I85" s="659"/>
      <c r="J85" s="660"/>
    </row>
    <row r="86" spans="7:10" ht="15.75">
      <c r="G86" s="710">
        <f>summ!E31</f>
        <v>36.92046</v>
      </c>
      <c r="H86" s="647" t="str">
        <f>CONCATENATE("Total ",E1-1," Mill Rate")</f>
        <v>Total 2013 Mill Rate</v>
      </c>
      <c r="I86" s="648"/>
      <c r="J86" s="649"/>
    </row>
    <row r="88" spans="7:9" ht="15.75">
      <c r="G88" s="762" t="s">
        <v>991</v>
      </c>
      <c r="H88" s="761"/>
      <c r="I88" s="760"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Green</v>
      </c>
      <c r="C1" s="201"/>
      <c r="D1" s="64"/>
      <c r="E1" s="161">
        <f>inputPrYr!$C$5</f>
        <v>2014</v>
      </c>
    </row>
    <row r="2" spans="2:5" ht="15.75">
      <c r="B2" s="64"/>
      <c r="C2" s="64"/>
      <c r="D2" s="64"/>
      <c r="E2" s="218"/>
    </row>
    <row r="3" spans="2:5" ht="15.75">
      <c r="B3" s="81" t="s">
        <v>225</v>
      </c>
      <c r="C3" s="344"/>
      <c r="D3" s="172"/>
      <c r="E3" s="163"/>
    </row>
    <row r="4" spans="2:5" ht="15.75">
      <c r="B4" s="69" t="s">
        <v>165</v>
      </c>
      <c r="C4" s="717" t="s">
        <v>840</v>
      </c>
      <c r="D4" s="718" t="s">
        <v>841</v>
      </c>
      <c r="E4" s="174" t="s">
        <v>842</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284</v>
      </c>
      <c r="C6" s="444"/>
      <c r="D6" s="447">
        <f>C34</f>
        <v>0</v>
      </c>
      <c r="E6" s="189">
        <f>D34</f>
        <v>0</v>
      </c>
    </row>
    <row r="7" spans="2:5" ht="15.75">
      <c r="B7" s="278" t="s">
        <v>286</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221</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172</v>
      </c>
      <c r="C17" s="449"/>
      <c r="D17" s="449"/>
      <c r="E17" s="87"/>
    </row>
    <row r="18" spans="2:5" ht="15.75">
      <c r="B18" s="341" t="s">
        <v>262</v>
      </c>
      <c r="C18" s="449"/>
      <c r="D18" s="449"/>
      <c r="E18" s="87"/>
    </row>
    <row r="19" spans="2:5" ht="15.75">
      <c r="B19" s="341" t="s">
        <v>657</v>
      </c>
      <c r="C19" s="445">
        <f>IF(C20*0.1&lt;C18,"Exceed 10% Rule","")</f>
      </c>
      <c r="D19" s="445">
        <f>IF(D20*0.1&lt;D18,"Exceed 10% Rule","")</f>
      </c>
      <c r="E19" s="455">
        <f>IF(E20*0.1+E40&lt;E18,"Exceed 10% Rule","")</f>
      </c>
    </row>
    <row r="20" spans="2:5" ht="15.75">
      <c r="B20" s="289" t="s">
        <v>173</v>
      </c>
      <c r="C20" s="446">
        <f>SUM(C8:C18)</f>
        <v>0</v>
      </c>
      <c r="D20" s="446">
        <f>SUM(D8:D18)</f>
        <v>0</v>
      </c>
      <c r="E20" s="340">
        <f>SUM(E8:E18)</f>
        <v>0</v>
      </c>
    </row>
    <row r="21" spans="2:5" ht="15.75">
      <c r="B21" s="289" t="s">
        <v>174</v>
      </c>
      <c r="C21" s="446">
        <f>C6+C20</f>
        <v>0</v>
      </c>
      <c r="D21" s="446">
        <f>D6+D20</f>
        <v>0</v>
      </c>
      <c r="E21" s="340">
        <f>E6+E20</f>
        <v>0</v>
      </c>
    </row>
    <row r="22" spans="2:5" ht="15.75">
      <c r="B22" s="178" t="s">
        <v>175</v>
      </c>
      <c r="C22" s="178"/>
      <c r="D22" s="447"/>
      <c r="E22" s="189"/>
    </row>
    <row r="23" spans="2:5" ht="15.75">
      <c r="B23" s="292"/>
      <c r="C23" s="449"/>
      <c r="D23" s="449"/>
      <c r="E23" s="87"/>
    </row>
    <row r="24" spans="2:10" ht="15.75">
      <c r="B24" s="292"/>
      <c r="C24" s="449"/>
      <c r="D24" s="449"/>
      <c r="E24" s="87"/>
      <c r="G24" s="811" t="str">
        <f>CONCATENATE("Desired Carryover Into ",E1+1,"")</f>
        <v>Desired Carryover Into 2015</v>
      </c>
      <c r="H24" s="812"/>
      <c r="I24" s="812"/>
      <c r="J24" s="813"/>
    </row>
    <row r="25" spans="2:10" ht="15.75">
      <c r="B25" s="292"/>
      <c r="C25" s="449"/>
      <c r="D25" s="449"/>
      <c r="E25" s="87"/>
      <c r="G25" s="567"/>
      <c r="H25" s="465"/>
      <c r="I25" s="481"/>
      <c r="J25" s="568"/>
    </row>
    <row r="26" spans="2:10" ht="15.75">
      <c r="B26" s="292"/>
      <c r="C26" s="449"/>
      <c r="D26" s="449"/>
      <c r="E26" s="87"/>
      <c r="G26" s="487" t="s">
        <v>666</v>
      </c>
      <c r="H26" s="481"/>
      <c r="I26" s="481"/>
      <c r="J26" s="475">
        <v>0</v>
      </c>
    </row>
    <row r="27" spans="2:10" ht="15.75">
      <c r="B27" s="292"/>
      <c r="C27" s="449"/>
      <c r="D27" s="449"/>
      <c r="E27" s="87"/>
      <c r="G27" s="567" t="s">
        <v>665</v>
      </c>
      <c r="H27" s="465"/>
      <c r="I27" s="465"/>
      <c r="J27" s="698">
        <f>IF(J26=0,"",ROUND((J26+E40-G39)/inputOth!E7*1000,3)-G44)</f>
      </c>
    </row>
    <row r="28" spans="2:10" ht="15.75">
      <c r="B28" s="292"/>
      <c r="C28" s="449"/>
      <c r="D28" s="449"/>
      <c r="E28" s="87"/>
      <c r="G28" s="664" t="str">
        <f>CONCATENATE("",E1," Tot Exp/Non-Appr Must Be:")</f>
        <v>2014 Tot Exp/Non-Appr Must Be:</v>
      </c>
      <c r="H28" s="661"/>
      <c r="I28" s="662"/>
      <c r="J28" s="658">
        <f>IF(J26&gt;0,IF(E37&lt;E21,IF(J26=G39,E38,((J26-G39)*(1-D39))+E21),E38+(J26-G39)),0)</f>
        <v>0</v>
      </c>
    </row>
    <row r="29" spans="2:10" ht="15.75">
      <c r="B29" s="292"/>
      <c r="C29" s="449"/>
      <c r="D29" s="449"/>
      <c r="E29" s="87"/>
      <c r="G29" s="696" t="s">
        <v>844</v>
      </c>
      <c r="H29" s="701"/>
      <c r="I29" s="701"/>
      <c r="J29" s="665">
        <f>IF(J26&gt;0,J28-E38,0)</f>
        <v>0</v>
      </c>
    </row>
    <row r="30" spans="2:10" ht="15.75">
      <c r="B30" s="191" t="s">
        <v>53</v>
      </c>
      <c r="C30" s="449"/>
      <c r="D30" s="449"/>
      <c r="E30" s="189">
        <f>Nhood!E12</f>
      </c>
      <c r="J30" s="2"/>
    </row>
    <row r="31" spans="2:10" ht="15.75">
      <c r="B31" s="191" t="s">
        <v>262</v>
      </c>
      <c r="C31" s="449"/>
      <c r="D31" s="449"/>
      <c r="E31" s="87"/>
      <c r="G31" s="811" t="str">
        <f>CONCATENATE("Projected Carryover Into ",E1+1,"")</f>
        <v>Projected Carryover Into 2015</v>
      </c>
      <c r="H31" s="826"/>
      <c r="I31" s="826"/>
      <c r="J31" s="827"/>
    </row>
    <row r="32" spans="2:10" ht="15.75">
      <c r="B32" s="191" t="s">
        <v>656</v>
      </c>
      <c r="C32" s="445">
        <f>IF(C33*0.1&lt;C31,"Exceed 10% Rule","")</f>
      </c>
      <c r="D32" s="445">
        <f>IF(D33*0.1&lt;D31,"Exceed 10% Rule","")</f>
      </c>
      <c r="E32" s="455">
        <f>IF(E33*0.1&lt;E31,"Exceed 10% Rule","")</f>
      </c>
      <c r="G32" s="567"/>
      <c r="H32" s="481"/>
      <c r="I32" s="481"/>
      <c r="J32" s="741"/>
    </row>
    <row r="33" spans="2:10" ht="15.75">
      <c r="B33" s="289" t="s">
        <v>176</v>
      </c>
      <c r="C33" s="446">
        <f>SUM(C23:C31)</f>
        <v>0</v>
      </c>
      <c r="D33" s="446">
        <f>SUM(D23:D31)</f>
        <v>0</v>
      </c>
      <c r="E33" s="340">
        <f>SUM(E23:E31)</f>
        <v>0</v>
      </c>
      <c r="G33" s="478">
        <f>D34</f>
        <v>0</v>
      </c>
      <c r="H33" s="479" t="str">
        <f>CONCATENATE("",E1-1," Ending Cash Balance (est.)")</f>
        <v>2013 Ending Cash Balance (est.)</v>
      </c>
      <c r="I33" s="480"/>
      <c r="J33" s="741"/>
    </row>
    <row r="34" spans="2:10" ht="15.75">
      <c r="B34" s="178" t="s">
        <v>285</v>
      </c>
      <c r="C34" s="451">
        <f>C21-C33</f>
        <v>0</v>
      </c>
      <c r="D34" s="451">
        <f>D21-D33</f>
        <v>0</v>
      </c>
      <c r="E34" s="345" t="s">
        <v>153</v>
      </c>
      <c r="G34" s="478">
        <f>E20</f>
        <v>0</v>
      </c>
      <c r="H34" s="481" t="str">
        <f>CONCATENATE("",E1," Non-AV Receipts (est.)")</f>
        <v>2014 Non-AV Receipts (est.)</v>
      </c>
      <c r="I34" s="480"/>
      <c r="J34" s="741"/>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f>IF(G35=E40,"","Note: Does not include Delinquent Taxes")</f>
      </c>
    </row>
    <row r="36" spans="2:10" ht="15.75">
      <c r="B36" s="210"/>
      <c r="C36" s="819" t="s">
        <v>659</v>
      </c>
      <c r="D36" s="820"/>
      <c r="E36" s="87"/>
      <c r="F36" s="294">
        <f>IF(E33/0.95-E33&lt;E36,"Exceeds 5%","")</f>
      </c>
      <c r="G36" s="478">
        <f>SUM(G33:G35)</f>
        <v>0</v>
      </c>
      <c r="H36" s="481" t="str">
        <f>CONCATENATE("Total ",E1," Resources Available")</f>
        <v>Total 2014 Resources Available</v>
      </c>
      <c r="I36" s="480"/>
      <c r="J36" s="741"/>
    </row>
    <row r="37" spans="2:10" ht="15.75">
      <c r="B37" s="456" t="str">
        <f>CONCATENATE(C93,"     ",D93)</f>
        <v>     </v>
      </c>
      <c r="C37" s="821" t="s">
        <v>660</v>
      </c>
      <c r="D37" s="822"/>
      <c r="E37" s="189">
        <f>E33+E36</f>
        <v>0</v>
      </c>
      <c r="G37" s="483"/>
      <c r="H37" s="481"/>
      <c r="I37" s="481"/>
      <c r="J37" s="741"/>
    </row>
    <row r="38" spans="2:10" ht="15.75">
      <c r="B38" s="456" t="str">
        <f>CONCATENATE(C94,"     ",D94)</f>
        <v>     </v>
      </c>
      <c r="C38" s="295"/>
      <c r="D38" s="218" t="s">
        <v>177</v>
      </c>
      <c r="E38" s="94">
        <f>IF(E37-E21&gt;0,E37-E21,0)</f>
        <v>0</v>
      </c>
      <c r="G38" s="482">
        <f>ROUND(C33*0.05+C33,0)</f>
        <v>0</v>
      </c>
      <c r="H38" s="481" t="str">
        <f>CONCATENATE("Less ",E1-2," Expenditures + 5%")</f>
        <v>Less 2012 Expenditures + 5%</v>
      </c>
      <c r="I38" s="480"/>
      <c r="J38" s="741"/>
    </row>
    <row r="39" spans="2:10" ht="15.75">
      <c r="B39" s="218"/>
      <c r="C39" s="443" t="s">
        <v>661</v>
      </c>
      <c r="D39" s="707">
        <f>inputOth!E41</f>
        <v>0</v>
      </c>
      <c r="E39" s="189">
        <f>ROUND(IF(D39&gt;0,(E38*D39),0),0)</f>
        <v>0</v>
      </c>
      <c r="G39" s="699">
        <f>G36-G38</f>
        <v>0</v>
      </c>
      <c r="H39" s="700" t="str">
        <f>CONCATENATE("Projected ",E1+1," carryover (est.)")</f>
        <v>Projected 2015 carryover (est.)</v>
      </c>
      <c r="I39" s="485"/>
      <c r="J39" s="739"/>
    </row>
    <row r="40" spans="2:10" ht="16.5" thickBot="1">
      <c r="B40" s="64"/>
      <c r="C40" s="829" t="str">
        <f>CONCATENATE("Amount of  ",E1-1," Ad Valorem Tax")</f>
        <v>Amount of  2013 Ad Valorem Tax</v>
      </c>
      <c r="D40" s="830"/>
      <c r="E40" s="714">
        <f>E38+E39</f>
        <v>0</v>
      </c>
      <c r="G40" s="2"/>
      <c r="H40" s="2"/>
      <c r="I40" s="2"/>
      <c r="J40" s="2"/>
    </row>
    <row r="41" spans="2:10" ht="16.5" thickTop="1">
      <c r="B41" s="64"/>
      <c r="C41" s="814"/>
      <c r="D41" s="815"/>
      <c r="E41" s="64"/>
      <c r="G41" s="823" t="s">
        <v>962</v>
      </c>
      <c r="H41" s="824"/>
      <c r="I41" s="824"/>
      <c r="J41" s="825"/>
    </row>
    <row r="42" spans="2:10" ht="15.75">
      <c r="B42" s="64"/>
      <c r="C42" s="634"/>
      <c r="D42" s="64"/>
      <c r="E42" s="64"/>
      <c r="G42" s="709"/>
      <c r="H42" s="479"/>
      <c r="I42" s="659"/>
      <c r="J42" s="660"/>
    </row>
    <row r="43" spans="2:10" ht="15.75">
      <c r="B43" s="69" t="s">
        <v>165</v>
      </c>
      <c r="C43" s="91"/>
      <c r="D43" s="172"/>
      <c r="E43" s="172"/>
      <c r="G43" s="711" t="str">
        <f>summ!H21</f>
        <v>  </v>
      </c>
      <c r="H43" s="479" t="str">
        <f>CONCATENATE("",E1," Fund Mill Rate")</f>
        <v>2014 Fund Mill Rate</v>
      </c>
      <c r="I43" s="659"/>
      <c r="J43" s="660"/>
    </row>
    <row r="44" spans="2:10" ht="15.75">
      <c r="B44" s="64"/>
      <c r="C44" s="717" t="s">
        <v>840</v>
      </c>
      <c r="D44" s="718" t="s">
        <v>841</v>
      </c>
      <c r="E44" s="174" t="s">
        <v>842</v>
      </c>
      <c r="G44" s="710" t="str">
        <f>summ!E21</f>
        <v>  </v>
      </c>
      <c r="H44" s="479" t="str">
        <f>CONCATENATE("",E1-1," Fund Mill Rate")</f>
        <v>2013 Fund Mill Rate</v>
      </c>
      <c r="I44" s="659"/>
      <c r="J44" s="660"/>
    </row>
    <row r="45" spans="2:10" ht="15.75">
      <c r="B45" s="453">
        <f>(inputPrYr!B24)</f>
        <v>0</v>
      </c>
      <c r="C45" s="333" t="str">
        <f>CONCATENATE("Actual for ",$E$1-2,"")</f>
        <v>Actual for 2012</v>
      </c>
      <c r="D45" s="415" t="str">
        <f>CONCATENATE("Estimate for ",$E$1-1,"")</f>
        <v>Estimate for 2013</v>
      </c>
      <c r="E45" s="229" t="str">
        <f>CONCATENATE("Year for ",$E$1,"")</f>
        <v>Year for 2014</v>
      </c>
      <c r="G45" s="712">
        <f>summ!H31</f>
        <v>36.922</v>
      </c>
      <c r="H45" s="479" t="str">
        <f>CONCATENATE("Total ",E1," Mill Rate")</f>
        <v>Total 2014 Mill Rate</v>
      </c>
      <c r="I45" s="659"/>
      <c r="J45" s="660"/>
    </row>
    <row r="46" spans="2:10" ht="15.75">
      <c r="B46" s="178" t="s">
        <v>284</v>
      </c>
      <c r="C46" s="448"/>
      <c r="D46" s="447">
        <f>C74</f>
        <v>0</v>
      </c>
      <c r="E46" s="189">
        <f>D74</f>
        <v>0</v>
      </c>
      <c r="G46" s="710">
        <f>summ!E31</f>
        <v>36.92046</v>
      </c>
      <c r="H46" s="647" t="str">
        <f>CONCATENATE("Total ",E1-1," Mill Rate")</f>
        <v>Total 2013 Mill Rate</v>
      </c>
      <c r="I46" s="648"/>
      <c r="J46" s="649"/>
    </row>
    <row r="47" spans="2:5" ht="15.75">
      <c r="B47" s="178" t="s">
        <v>286</v>
      </c>
      <c r="C47" s="178"/>
      <c r="D47" s="447"/>
      <c r="E47" s="189"/>
    </row>
    <row r="48" spans="2:9" ht="15.75">
      <c r="B48" s="178" t="s">
        <v>166</v>
      </c>
      <c r="C48" s="444"/>
      <c r="D48" s="447">
        <f>IF(inputPrYr!H16&gt;0,inputPrYr!G24,inputPrYr!E24)</f>
        <v>0</v>
      </c>
      <c r="E48" s="345" t="s">
        <v>153</v>
      </c>
      <c r="G48" s="765" t="s">
        <v>991</v>
      </c>
      <c r="H48" s="764"/>
      <c r="I48" s="763"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221</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172</v>
      </c>
      <c r="C57" s="444"/>
      <c r="D57" s="444"/>
      <c r="E57" s="87"/>
    </row>
    <row r="58" spans="2:5" ht="15.75">
      <c r="B58" s="178" t="s">
        <v>262</v>
      </c>
      <c r="C58" s="444"/>
      <c r="D58" s="444"/>
      <c r="E58" s="87"/>
    </row>
    <row r="59" spans="2:5" ht="15.75">
      <c r="B59" s="178" t="s">
        <v>54</v>
      </c>
      <c r="C59" s="452">
        <f>IF(C60*0.1&lt;C58,"Exceed 10% Rule","")</f>
      </c>
      <c r="D59" s="445">
        <f>IF(D60*0.1&lt;D58,"Exceed 10% Rule","")</f>
      </c>
      <c r="E59" s="455">
        <f>IF(E60*0.1+E80&lt;E58,"Exceed 10% Rule","")</f>
      </c>
    </row>
    <row r="60" spans="2:5" ht="15.75">
      <c r="B60" s="289" t="s">
        <v>173</v>
      </c>
      <c r="C60" s="446">
        <f>SUM(C48:C58)</f>
        <v>0</v>
      </c>
      <c r="D60" s="446">
        <f>SUM(D48:D58)</f>
        <v>0</v>
      </c>
      <c r="E60" s="340">
        <f>SUM(E48:E58)</f>
        <v>0</v>
      </c>
    </row>
    <row r="61" spans="2:5" ht="15.75">
      <c r="B61" s="289" t="s">
        <v>174</v>
      </c>
      <c r="C61" s="446">
        <f>C46+C60</f>
        <v>0</v>
      </c>
      <c r="D61" s="446">
        <f>D46+D60</f>
        <v>0</v>
      </c>
      <c r="E61" s="340">
        <f>E46+E60</f>
        <v>0</v>
      </c>
    </row>
    <row r="62" spans="2:5" ht="15.75">
      <c r="B62" s="178" t="s">
        <v>175</v>
      </c>
      <c r="C62" s="178"/>
      <c r="D62" s="447"/>
      <c r="E62" s="189"/>
    </row>
    <row r="63" spans="2:5" ht="15.75">
      <c r="B63" s="292"/>
      <c r="C63" s="444"/>
      <c r="D63" s="444"/>
      <c r="E63" s="87"/>
    </row>
    <row r="64" spans="2:10" ht="15.75">
      <c r="B64" s="292"/>
      <c r="C64" s="444"/>
      <c r="D64" s="444"/>
      <c r="E64" s="87"/>
      <c r="G64" s="811" t="str">
        <f>CONCATENATE("Desired Carryover Into ",E1+1,"")</f>
        <v>Desired Carryover Into 2015</v>
      </c>
      <c r="H64" s="812"/>
      <c r="I64" s="812"/>
      <c r="J64" s="813"/>
    </row>
    <row r="65" spans="2:10" ht="15.75">
      <c r="B65" s="292"/>
      <c r="C65" s="444"/>
      <c r="D65" s="444"/>
      <c r="E65" s="87"/>
      <c r="G65" s="567"/>
      <c r="H65" s="465"/>
      <c r="I65" s="481"/>
      <c r="J65" s="568"/>
    </row>
    <row r="66" spans="2:10" ht="15.75">
      <c r="B66" s="292"/>
      <c r="C66" s="444"/>
      <c r="D66" s="444"/>
      <c r="E66" s="87"/>
      <c r="G66" s="487" t="s">
        <v>666</v>
      </c>
      <c r="H66" s="481"/>
      <c r="I66" s="481"/>
      <c r="J66" s="475">
        <v>0</v>
      </c>
    </row>
    <row r="67" spans="2:10" ht="15.75">
      <c r="B67" s="292"/>
      <c r="C67" s="444"/>
      <c r="D67" s="444"/>
      <c r="E67" s="87"/>
      <c r="G67" s="567" t="s">
        <v>665</v>
      </c>
      <c r="H67" s="465"/>
      <c r="I67" s="465"/>
      <c r="J67" s="698">
        <f>IF(J66=0,"",ROUND((J66+E80-G79)/inputOth!E7*1000,3)-G84)</f>
      </c>
    </row>
    <row r="68" spans="2:10" ht="15.75">
      <c r="B68" s="292"/>
      <c r="C68" s="444"/>
      <c r="D68" s="444"/>
      <c r="E68" s="87"/>
      <c r="G68" s="664" t="str">
        <f>CONCATENATE("",E1," Tot Exp/Non-Appr Must Be:")</f>
        <v>2014 Tot Exp/Non-Appr Must Be:</v>
      </c>
      <c r="H68" s="661"/>
      <c r="I68" s="662"/>
      <c r="J68" s="658">
        <f>IF(J66&gt;0,IF(E77&lt;E61,IF(J66=G79,E77,((J66-G79)*(1-D79))+E61),E77+(J66-G79)),0)</f>
        <v>0</v>
      </c>
    </row>
    <row r="69" spans="2:10" ht="15.75">
      <c r="B69" s="292"/>
      <c r="C69" s="444"/>
      <c r="D69" s="444"/>
      <c r="E69" s="87"/>
      <c r="G69" s="696" t="s">
        <v>844</v>
      </c>
      <c r="H69" s="701"/>
      <c r="I69" s="701"/>
      <c r="J69" s="665">
        <f>IF(J66&gt;0,J68-E77,0)</f>
        <v>0</v>
      </c>
    </row>
    <row r="70" spans="2:10" ht="15.75">
      <c r="B70" s="191" t="s">
        <v>53</v>
      </c>
      <c r="C70" s="444"/>
      <c r="D70" s="444"/>
      <c r="E70" s="189">
        <f>Nhood!E13</f>
      </c>
      <c r="J70" s="2"/>
    </row>
    <row r="71" spans="2:10" ht="15.75">
      <c r="B71" s="191" t="s">
        <v>262</v>
      </c>
      <c r="C71" s="444"/>
      <c r="D71" s="444"/>
      <c r="E71" s="87"/>
      <c r="G71" s="811" t="str">
        <f>CONCATENATE("Projected Carryover Into ",E1+1,"")</f>
        <v>Projected Carryover Into 2015</v>
      </c>
      <c r="H71" s="828"/>
      <c r="I71" s="828"/>
      <c r="J71" s="827"/>
    </row>
    <row r="72" spans="2:10" ht="15.75">
      <c r="B72" s="191" t="s">
        <v>55</v>
      </c>
      <c r="C72" s="445">
        <f>IF(C73*0.1&lt;C71,"Exceed 10% Rule","")</f>
      </c>
      <c r="D72" s="445">
        <f>IF(D73*0.1&lt;D71,"Exceed 10% Rule","")</f>
      </c>
      <c r="E72" s="455">
        <f>IF(E73*0.1&lt;E71,"Exceed 10% Rule","")</f>
      </c>
      <c r="G72" s="476"/>
      <c r="H72" s="465"/>
      <c r="I72" s="465"/>
      <c r="J72" s="741"/>
    </row>
    <row r="73" spans="2:10" ht="15.75">
      <c r="B73" s="289" t="s">
        <v>176</v>
      </c>
      <c r="C73" s="446">
        <f>SUM(C63:C71)</f>
        <v>0</v>
      </c>
      <c r="D73" s="446">
        <f>SUM(D63:D71)</f>
        <v>0</v>
      </c>
      <c r="E73" s="340">
        <f>SUM(E63:E71)</f>
        <v>0</v>
      </c>
      <c r="G73" s="478">
        <f>D74</f>
        <v>0</v>
      </c>
      <c r="H73" s="479" t="str">
        <f>CONCATENATE("",E1-1," Ending Cash Balance (est.)")</f>
        <v>2013 Ending Cash Balance (est.)</v>
      </c>
      <c r="I73" s="480"/>
      <c r="J73" s="741"/>
    </row>
    <row r="74" spans="2:10" ht="15.75">
      <c r="B74" s="178" t="s">
        <v>285</v>
      </c>
      <c r="C74" s="451">
        <f>C61-C73</f>
        <v>0</v>
      </c>
      <c r="D74" s="451">
        <f>D61-D73</f>
        <v>0</v>
      </c>
      <c r="E74" s="345" t="s">
        <v>153</v>
      </c>
      <c r="G74" s="478">
        <f>E60</f>
        <v>0</v>
      </c>
      <c r="H74" s="481" t="str">
        <f>CONCATENATE("",E1," Non-AV Receipts (est.)")</f>
        <v>2014 Non-AV Receipts (est.)</v>
      </c>
      <c r="I74" s="480"/>
      <c r="J74" s="741"/>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75">
      <c r="B76" s="210"/>
      <c r="C76" s="819" t="s">
        <v>659</v>
      </c>
      <c r="D76" s="820"/>
      <c r="E76" s="87"/>
      <c r="F76" s="294">
        <f>IF(E73/0.95-E73&lt;E76,"Exceeds 5%","")</f>
      </c>
      <c r="G76" s="569">
        <f>SUM(G73:G75)</f>
        <v>0</v>
      </c>
      <c r="H76" s="481" t="str">
        <f>CONCATENATE("Total ",E1," Resources Available")</f>
        <v>Total 2014 Resources Available</v>
      </c>
      <c r="I76" s="477"/>
      <c r="J76" s="741"/>
    </row>
    <row r="77" spans="2:10" ht="15.75">
      <c r="B77" s="456" t="str">
        <f>CONCATENATE(C95,"     ",D95)</f>
        <v>     </v>
      </c>
      <c r="C77" s="821" t="s">
        <v>660</v>
      </c>
      <c r="D77" s="822"/>
      <c r="E77" s="189">
        <f>E73+E76</f>
        <v>0</v>
      </c>
      <c r="G77" s="572"/>
      <c r="H77" s="570"/>
      <c r="I77" s="465"/>
      <c r="J77" s="741"/>
    </row>
    <row r="78" spans="2:10" ht="15.75">
      <c r="B78" s="456" t="str">
        <f>CONCATENATE(C96,"     ",D96)</f>
        <v>     </v>
      </c>
      <c r="C78" s="295"/>
      <c r="D78" s="218" t="s">
        <v>177</v>
      </c>
      <c r="E78" s="94">
        <f>IF(E77-E61&gt;0,E77-E61,0)</f>
        <v>0</v>
      </c>
      <c r="G78" s="571">
        <f>ROUND(C73*0.05+C73,0)</f>
        <v>0</v>
      </c>
      <c r="H78" s="570" t="str">
        <f>CONCATENATE("Less ",E1-2," Expenditures + 5%")</f>
        <v>Less 2012 Expenditures + 5%</v>
      </c>
      <c r="I78" s="477"/>
      <c r="J78" s="741"/>
    </row>
    <row r="79" spans="2:10" ht="15.75">
      <c r="B79" s="218"/>
      <c r="C79" s="443" t="s">
        <v>661</v>
      </c>
      <c r="D79" s="707">
        <f>inputOth!E41</f>
        <v>0</v>
      </c>
      <c r="E79" s="189">
        <f>ROUND(IF(D79&gt;0,(E78*D79),0),0)</f>
        <v>0</v>
      </c>
      <c r="G79" s="581">
        <f>G76-G78</f>
        <v>0</v>
      </c>
      <c r="H79" s="582" t="str">
        <f>CONCATENATE("Projected ",E1+1," carryover (est.)")</f>
        <v>Projected 2015 carryover (est.)</v>
      </c>
      <c r="I79" s="486"/>
      <c r="J79" s="739"/>
    </row>
    <row r="80" spans="2:9" ht="16.5" thickBot="1">
      <c r="B80" s="64"/>
      <c r="C80" s="829" t="str">
        <f>CONCATENATE("Amount of  ",E1-1," Ad Valorem Tax")</f>
        <v>Amount of  2013 Ad Valorem Tax</v>
      </c>
      <c r="D80" s="830"/>
      <c r="E80" s="714">
        <f>E78+E79</f>
        <v>0</v>
      </c>
      <c r="G80" s="2"/>
      <c r="H80" s="2"/>
      <c r="I80" s="2"/>
    </row>
    <row r="81" spans="2:10" ht="16.5" thickTop="1">
      <c r="B81" s="64"/>
      <c r="C81" s="814"/>
      <c r="D81" s="815"/>
      <c r="E81" s="64"/>
      <c r="G81" s="823" t="s">
        <v>962</v>
      </c>
      <c r="H81" s="824"/>
      <c r="I81" s="824"/>
      <c r="J81" s="825"/>
    </row>
    <row r="82" spans="2:10" ht="15.75">
      <c r="B82" s="64"/>
      <c r="C82" s="64"/>
      <c r="D82" s="64"/>
      <c r="E82" s="64"/>
      <c r="G82" s="709"/>
      <c r="H82" s="479"/>
      <c r="I82" s="659"/>
      <c r="J82" s="660"/>
    </row>
    <row r="83" spans="2:10" ht="15.75">
      <c r="B83" s="218" t="s">
        <v>179</v>
      </c>
      <c r="C83" s="346"/>
      <c r="D83" s="118"/>
      <c r="E83" s="64"/>
      <c r="G83" s="711" t="str">
        <f>summ!H22</f>
        <v>  </v>
      </c>
      <c r="H83" s="479" t="str">
        <f>CONCATENATE("",E1," Fund Mill Rate")</f>
        <v>2014 Fund Mill Rate</v>
      </c>
      <c r="I83" s="659"/>
      <c r="J83" s="660"/>
    </row>
    <row r="84" spans="7:10" ht="15.75">
      <c r="G84" s="710" t="str">
        <f>summ!E22</f>
        <v>  </v>
      </c>
      <c r="H84" s="479" t="str">
        <f>CONCATENATE("",E1-1," Fund Mill Rate")</f>
        <v>2013 Fund Mill Rate</v>
      </c>
      <c r="I84" s="659"/>
      <c r="J84" s="660"/>
    </row>
    <row r="85" spans="2:10" ht="15.75">
      <c r="B85" s="126"/>
      <c r="C85" s="126"/>
      <c r="G85" s="712">
        <f>summ!H31</f>
        <v>36.922</v>
      </c>
      <c r="H85" s="479" t="str">
        <f>CONCATENATE("Total ",E1," Mill Rate")</f>
        <v>Total 2014 Mill Rate</v>
      </c>
      <c r="I85" s="659"/>
      <c r="J85" s="660"/>
    </row>
    <row r="86" spans="7:10" ht="15.75">
      <c r="G86" s="710">
        <f>summ!E31</f>
        <v>36.92046</v>
      </c>
      <c r="H86" s="647" t="str">
        <f>CONCATENATE("Total ",E1-1," Mill Rate")</f>
        <v>Total 2013 Mill Rate</v>
      </c>
      <c r="I86" s="648"/>
      <c r="J86" s="649"/>
    </row>
    <row r="88" spans="7:9" ht="15.75">
      <c r="G88" s="768" t="s">
        <v>991</v>
      </c>
      <c r="H88" s="767"/>
      <c r="I88" s="766"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3">
      <selection activeCell="E36" sqref="E36"/>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Green</v>
      </c>
      <c r="C1" s="64"/>
      <c r="D1" s="64"/>
      <c r="E1" s="161">
        <f>inputPrYr!$C$5</f>
        <v>2014</v>
      </c>
    </row>
    <row r="2" spans="2:5" ht="15.75">
      <c r="B2" s="64"/>
      <c r="C2" s="64"/>
      <c r="D2" s="64"/>
      <c r="E2" s="218"/>
    </row>
    <row r="3" spans="2:5" ht="15.75">
      <c r="B3" s="81" t="s">
        <v>226</v>
      </c>
      <c r="C3" s="331"/>
      <c r="D3" s="331"/>
      <c r="E3" s="332"/>
    </row>
    <row r="4" spans="2:5" ht="15.75">
      <c r="B4" s="69" t="s">
        <v>165</v>
      </c>
      <c r="C4" s="717" t="s">
        <v>840</v>
      </c>
      <c r="D4" s="718" t="s">
        <v>841</v>
      </c>
      <c r="E4" s="174" t="s">
        <v>842</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284</v>
      </c>
      <c r="C6" s="87">
        <v>10812.62</v>
      </c>
      <c r="D6" s="189">
        <f>C25</f>
        <v>5813.33</v>
      </c>
      <c r="E6" s="189">
        <f>D25</f>
        <v>2610.33</v>
      </c>
    </row>
    <row r="7" spans="2:5" ht="15.75">
      <c r="B7" s="278" t="s">
        <v>286</v>
      </c>
      <c r="C7" s="189"/>
      <c r="D7" s="189"/>
      <c r="E7" s="189"/>
    </row>
    <row r="8" spans="2:5" ht="15.75">
      <c r="B8" s="343" t="s">
        <v>181</v>
      </c>
      <c r="C8" s="87">
        <v>3342.29</v>
      </c>
      <c r="D8" s="189">
        <f>inputOth!E47</f>
        <v>3270</v>
      </c>
      <c r="E8" s="189">
        <f>inputOth!E45</f>
        <v>3390</v>
      </c>
    </row>
    <row r="9" spans="2:5" ht="15.75">
      <c r="B9" s="343" t="s">
        <v>329</v>
      </c>
      <c r="C9" s="87"/>
      <c r="D9" s="189">
        <f>inputOth!E48</f>
        <v>0</v>
      </c>
      <c r="E9" s="189">
        <f>inputOth!E46</f>
        <v>0</v>
      </c>
    </row>
    <row r="10" spans="2:5" ht="15.75">
      <c r="B10" s="292"/>
      <c r="C10" s="87"/>
      <c r="D10" s="87"/>
      <c r="E10" s="87"/>
    </row>
    <row r="11" spans="2:5" ht="15.75">
      <c r="B11" s="292"/>
      <c r="C11" s="87"/>
      <c r="D11" s="87"/>
      <c r="E11" s="87"/>
    </row>
    <row r="12" spans="2:5" ht="15.75">
      <c r="B12" s="337" t="s">
        <v>172</v>
      </c>
      <c r="C12" s="87"/>
      <c r="D12" s="87"/>
      <c r="E12" s="87"/>
    </row>
    <row r="13" spans="2:5" ht="15.75">
      <c r="B13" s="341" t="s">
        <v>262</v>
      </c>
      <c r="C13" s="87"/>
      <c r="D13" s="87"/>
      <c r="E13" s="87"/>
    </row>
    <row r="14" spans="2:5" ht="15.75">
      <c r="B14" s="341" t="s">
        <v>657</v>
      </c>
      <c r="C14" s="455">
        <f>IF(C15*0.1&lt;C13,"Exceed 10% Rule","")</f>
      </c>
      <c r="D14" s="338">
        <f>IF(D15*0.1&lt;D13,"Exceed 10% Rule","")</f>
      </c>
      <c r="E14" s="338">
        <f>IF(E15*0.1&lt;E13,"Exceed 10% Rule","")</f>
      </c>
    </row>
    <row r="15" spans="2:5" ht="15.75">
      <c r="B15" s="289" t="s">
        <v>173</v>
      </c>
      <c r="C15" s="340">
        <f>SUM(C8:C13)</f>
        <v>3342.29</v>
      </c>
      <c r="D15" s="340">
        <f>SUM(D8:D13)</f>
        <v>3270</v>
      </c>
      <c r="E15" s="340">
        <f>SUM(E8:E13)</f>
        <v>3390</v>
      </c>
    </row>
    <row r="16" spans="2:5" ht="15.75">
      <c r="B16" s="289" t="s">
        <v>174</v>
      </c>
      <c r="C16" s="340">
        <f>C6+C15</f>
        <v>14154.91</v>
      </c>
      <c r="D16" s="340">
        <f>D6+D15</f>
        <v>9083.33</v>
      </c>
      <c r="E16" s="340">
        <f>E6+E15</f>
        <v>6000.33</v>
      </c>
    </row>
    <row r="17" spans="2:5" ht="15.75">
      <c r="B17" s="178" t="s">
        <v>175</v>
      </c>
      <c r="C17" s="189"/>
      <c r="D17" s="189"/>
      <c r="E17" s="189"/>
    </row>
    <row r="18" spans="2:5" ht="15.75">
      <c r="B18" s="292" t="s">
        <v>182</v>
      </c>
      <c r="C18" s="87">
        <v>8341.58</v>
      </c>
      <c r="D18" s="87">
        <v>6473</v>
      </c>
      <c r="E18" s="87">
        <v>6000</v>
      </c>
    </row>
    <row r="19" spans="2:5" ht="15.75">
      <c r="B19" s="406"/>
      <c r="C19" s="87"/>
      <c r="D19" s="87"/>
      <c r="E19" s="87"/>
    </row>
    <row r="20" spans="2:5" ht="15.75">
      <c r="B20" s="292"/>
      <c r="C20" s="87"/>
      <c r="D20" s="87"/>
      <c r="E20" s="87"/>
    </row>
    <row r="21" spans="2:5" ht="15.75">
      <c r="B21" s="292"/>
      <c r="C21" s="87"/>
      <c r="D21" s="87"/>
      <c r="E21" s="87"/>
    </row>
    <row r="22" spans="2:5" ht="15.75">
      <c r="B22" s="191" t="s">
        <v>262</v>
      </c>
      <c r="C22" s="87"/>
      <c r="D22" s="87"/>
      <c r="E22" s="87"/>
    </row>
    <row r="23" spans="2:5" ht="15.75">
      <c r="B23" s="86" t="s">
        <v>656</v>
      </c>
      <c r="C23" s="455">
        <f>IF(C24*0.1&lt;C22,"Exceed 10% Rule","")</f>
      </c>
      <c r="D23" s="338">
        <f>IF(D24*0.1&lt;D22,"Exceed 10% Rule","")</f>
      </c>
      <c r="E23" s="338">
        <f>IF(E24*0.1&lt;E22,"Exceed 10% Rule","")</f>
      </c>
    </row>
    <row r="24" spans="2:5" ht="15.75">
      <c r="B24" s="289" t="s">
        <v>176</v>
      </c>
      <c r="C24" s="340">
        <f>SUM(C18:C22)</f>
        <v>8341.58</v>
      </c>
      <c r="D24" s="340">
        <f>SUM(D18:D22)</f>
        <v>6473</v>
      </c>
      <c r="E24" s="340">
        <f>SUM(E18:E22)</f>
        <v>6000</v>
      </c>
    </row>
    <row r="25" spans="2:5" ht="15.75">
      <c r="B25" s="178" t="s">
        <v>285</v>
      </c>
      <c r="C25" s="94">
        <f>C16-C24</f>
        <v>5813.33</v>
      </c>
      <c r="D25" s="94">
        <f>D16-D24</f>
        <v>2610.33</v>
      </c>
      <c r="E25" s="94">
        <f>E16-E24</f>
        <v>0.32999999999992724</v>
      </c>
    </row>
    <row r="26" spans="2:5" ht="15.75">
      <c r="B26" s="210" t="str">
        <f>CONCATENATE("",E1-2,"/",E1-1," Budget Authority Amount:")</f>
        <v>2012/2013 Budget Authority Amount:</v>
      </c>
      <c r="C26" s="221">
        <f>inputOth!B62</f>
        <v>11978</v>
      </c>
      <c r="D26" s="221">
        <f>inputPrYr!D28</f>
        <v>12453</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17" t="s">
        <v>840</v>
      </c>
      <c r="D30" s="718" t="s">
        <v>841</v>
      </c>
      <c r="E30" s="174" t="s">
        <v>842</v>
      </c>
    </row>
    <row r="31" spans="2:5" ht="15.75">
      <c r="B31" s="453" t="str">
        <f>(inputPrYr!B29)</f>
        <v>Water</v>
      </c>
      <c r="C31" s="333" t="str">
        <f>CONCATENATE("Actual for ",$E$1-2,"")</f>
        <v>Actual for 2012</v>
      </c>
      <c r="D31" s="415" t="str">
        <f>CONCATENATE("Estimate for ",$E$1-1,"")</f>
        <v>Estimate for 2013</v>
      </c>
      <c r="E31" s="229" t="str">
        <f>CONCATENATE("Year for ",$E$1,"")</f>
        <v>Year for 2014</v>
      </c>
    </row>
    <row r="32" spans="2:5" ht="15.75">
      <c r="B32" s="178" t="s">
        <v>284</v>
      </c>
      <c r="C32" s="87">
        <v>4151.83</v>
      </c>
      <c r="D32" s="189">
        <f>C61</f>
        <v>10169.74099999998</v>
      </c>
      <c r="E32" s="189">
        <f>D61</f>
        <v>16369.74099999998</v>
      </c>
    </row>
    <row r="33" spans="2:5" ht="15.75">
      <c r="B33" s="178" t="s">
        <v>286</v>
      </c>
      <c r="C33" s="189"/>
      <c r="D33" s="189"/>
      <c r="E33" s="189"/>
    </row>
    <row r="34" spans="2:5" ht="15.75">
      <c r="B34" s="292"/>
      <c r="C34" s="87"/>
      <c r="D34" s="87"/>
      <c r="E34" s="87"/>
    </row>
    <row r="35" spans="2:5" ht="15.75">
      <c r="B35" s="292" t="s">
        <v>183</v>
      </c>
      <c r="C35" s="87">
        <v>28931.03</v>
      </c>
      <c r="D35" s="87">
        <v>30000</v>
      </c>
      <c r="E35" s="87">
        <v>35000</v>
      </c>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172</v>
      </c>
      <c r="C40" s="87"/>
      <c r="D40" s="87"/>
      <c r="E40" s="87"/>
    </row>
    <row r="41" spans="2:5" ht="15.75">
      <c r="B41" s="341" t="s">
        <v>262</v>
      </c>
      <c r="C41" s="87"/>
      <c r="D41" s="87"/>
      <c r="E41" s="87"/>
    </row>
    <row r="42" spans="2:5" ht="15.75">
      <c r="B42" s="341" t="s">
        <v>54</v>
      </c>
      <c r="C42" s="455">
        <f>IF(C43*0.1&lt;C41,"Exceed 10% Rule","")</f>
      </c>
      <c r="D42" s="338">
        <f>IF(D43*0.1&lt;D41,"Exceed 10% Rule","")</f>
      </c>
      <c r="E42" s="338">
        <f>IF(E43*0.1&lt;E41,"Exceed 10% Rule","")</f>
      </c>
    </row>
    <row r="43" spans="2:5" ht="15.75">
      <c r="B43" s="289" t="s">
        <v>173</v>
      </c>
      <c r="C43" s="340">
        <f>SUM(C34:C41)</f>
        <v>28931.03</v>
      </c>
      <c r="D43" s="340">
        <f>SUM(D34:D41)</f>
        <v>30000</v>
      </c>
      <c r="E43" s="340">
        <f>SUM(E34:E41)</f>
        <v>35000</v>
      </c>
    </row>
    <row r="44" spans="2:5" ht="15.75">
      <c r="B44" s="289" t="s">
        <v>174</v>
      </c>
      <c r="C44" s="340">
        <f>C32+C43</f>
        <v>33082.86</v>
      </c>
      <c r="D44" s="340">
        <f>D32+D43</f>
        <v>40169.74099999998</v>
      </c>
      <c r="E44" s="340">
        <f>E32+E43</f>
        <v>51369.74099999998</v>
      </c>
    </row>
    <row r="45" spans="2:5" ht="15.75">
      <c r="B45" s="178" t="s">
        <v>175</v>
      </c>
      <c r="C45" s="189"/>
      <c r="D45" s="189"/>
      <c r="E45" s="189"/>
    </row>
    <row r="46" spans="2:5" ht="15.75">
      <c r="B46" s="292" t="s">
        <v>1020</v>
      </c>
      <c r="C46" s="87">
        <v>6165.57</v>
      </c>
      <c r="D46" s="87">
        <v>6500</v>
      </c>
      <c r="E46" s="87">
        <v>6500</v>
      </c>
    </row>
    <row r="47" spans="2:5" ht="15.75">
      <c r="B47" s="627" t="s">
        <v>1015</v>
      </c>
      <c r="C47" s="87">
        <v>2390.34</v>
      </c>
      <c r="D47" s="87">
        <v>2500</v>
      </c>
      <c r="E47" s="87">
        <v>20145</v>
      </c>
    </row>
    <row r="48" spans="2:5" ht="15.75">
      <c r="B48" s="627" t="s">
        <v>1021</v>
      </c>
      <c r="C48" s="87">
        <v>12327.5</v>
      </c>
      <c r="D48" s="87">
        <v>400000</v>
      </c>
      <c r="E48" s="87">
        <v>10000</v>
      </c>
    </row>
    <row r="49" spans="2:5" ht="15.75">
      <c r="B49" s="627" t="s">
        <v>1023</v>
      </c>
      <c r="C49" s="87">
        <v>100000</v>
      </c>
      <c r="D49" s="87">
        <v>2550</v>
      </c>
      <c r="E49" s="87">
        <v>2550</v>
      </c>
    </row>
    <row r="50" spans="2:5" ht="15.75">
      <c r="B50" s="627" t="s">
        <v>172</v>
      </c>
      <c r="C50" s="87">
        <v>4126.88</v>
      </c>
      <c r="D50" s="87">
        <v>5500</v>
      </c>
      <c r="E50" s="87">
        <v>5500</v>
      </c>
    </row>
    <row r="51" spans="2:5" ht="15.75">
      <c r="B51" s="627" t="s">
        <v>262</v>
      </c>
      <c r="C51" s="87">
        <v>450</v>
      </c>
      <c r="D51" s="87">
        <v>500</v>
      </c>
      <c r="E51" s="87">
        <v>600</v>
      </c>
    </row>
    <row r="52" spans="2:5" ht="15.75">
      <c r="B52" s="627" t="s">
        <v>1022</v>
      </c>
      <c r="C52" s="87">
        <v>5822.29</v>
      </c>
      <c r="D52" s="87">
        <v>2500</v>
      </c>
      <c r="E52" s="87">
        <v>2000</v>
      </c>
    </row>
    <row r="53" spans="2:5" ht="15.75">
      <c r="B53" s="627" t="s">
        <v>1014</v>
      </c>
      <c r="C53" s="87">
        <v>203.79</v>
      </c>
      <c r="D53" s="87">
        <v>250</v>
      </c>
      <c r="E53" s="87">
        <v>274</v>
      </c>
    </row>
    <row r="54" spans="2:5" ht="15.75">
      <c r="B54" s="627" t="s">
        <v>1016</v>
      </c>
      <c r="C54" s="87">
        <v>1596.45</v>
      </c>
      <c r="D54" s="87">
        <v>1000</v>
      </c>
      <c r="E54" s="87">
        <v>1000</v>
      </c>
    </row>
    <row r="55" spans="2:5" ht="15.75">
      <c r="B55" s="627" t="s">
        <v>1019</v>
      </c>
      <c r="C55" s="87">
        <v>2355.61</v>
      </c>
      <c r="D55" s="87">
        <v>2500</v>
      </c>
      <c r="E55" s="87">
        <v>2800</v>
      </c>
    </row>
    <row r="56" spans="2:5" ht="15.75">
      <c r="B56" s="627" t="s">
        <v>1024</v>
      </c>
      <c r="C56" s="87">
        <v>-100000</v>
      </c>
      <c r="D56" s="87"/>
      <c r="E56" s="87"/>
    </row>
    <row r="57" spans="2:5" ht="15.75">
      <c r="B57" s="407" t="s">
        <v>1025</v>
      </c>
      <c r="C57" s="87">
        <v>-12525.311</v>
      </c>
      <c r="D57" s="87">
        <v>-400000</v>
      </c>
      <c r="E57" s="87"/>
    </row>
    <row r="58" spans="2:5" ht="15.75">
      <c r="B58" s="191" t="s">
        <v>262</v>
      </c>
      <c r="C58" s="87"/>
      <c r="D58" s="87"/>
      <c r="E58" s="87"/>
    </row>
    <row r="59" spans="2:5" ht="15.75">
      <c r="B59" s="191" t="s">
        <v>55</v>
      </c>
      <c r="C59" s="455">
        <f>IF(C60*0.1&lt;C58,"Exceed 10% Rule","")</f>
      </c>
      <c r="D59" s="338">
        <f>IF(D60*0.1&lt;D58,"Exceed 10% Rule","")</f>
      </c>
      <c r="E59" s="338">
        <f>IF(E60*0.1&lt;E58,"Exceed 10% Rule","")</f>
      </c>
    </row>
    <row r="60" spans="2:5" ht="15.75">
      <c r="B60" s="289" t="s">
        <v>176</v>
      </c>
      <c r="C60" s="340">
        <f>SUM(C46:C58)</f>
        <v>22913.11900000002</v>
      </c>
      <c r="D60" s="340">
        <f>SUM(D46:D58)</f>
        <v>23800</v>
      </c>
      <c r="E60" s="340">
        <f>SUM(E46:E58)</f>
        <v>51369</v>
      </c>
    </row>
    <row r="61" spans="2:5" ht="15.75">
      <c r="B61" s="178" t="s">
        <v>285</v>
      </c>
      <c r="C61" s="94">
        <f>C44-C60</f>
        <v>10169.74099999998</v>
      </c>
      <c r="D61" s="94">
        <f>D44-D60</f>
        <v>16369.74099999998</v>
      </c>
      <c r="E61" s="94">
        <f>E44-E60</f>
        <v>0.7409999999799766</v>
      </c>
    </row>
    <row r="62" spans="2:5" ht="15.75">
      <c r="B62" s="210" t="str">
        <f>CONCATENATE("",E1-2,"/",E1-1," Budget Authority Amount:")</f>
        <v>2012/2013 Budget Authority Amount:</v>
      </c>
      <c r="C62" s="221">
        <f>inputOth!B63</f>
        <v>37007</v>
      </c>
      <c r="D62" s="221">
        <f>inputPrYr!D29</f>
        <v>43119</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179</v>
      </c>
      <c r="C66" s="297"/>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6">
      <selection activeCell="E36" sqref="E36"/>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Green</v>
      </c>
      <c r="C1" s="64"/>
      <c r="D1" s="64"/>
      <c r="E1" s="161">
        <f>inputPrYr!$C$5</f>
        <v>2014</v>
      </c>
    </row>
    <row r="2" spans="2:5" ht="15.75">
      <c r="B2" s="64"/>
      <c r="C2" s="64"/>
      <c r="D2" s="64"/>
      <c r="E2" s="218"/>
    </row>
    <row r="3" spans="2:5" ht="15.75">
      <c r="B3" s="81" t="s">
        <v>226</v>
      </c>
      <c r="C3" s="172"/>
      <c r="D3" s="172"/>
      <c r="E3" s="163"/>
    </row>
    <row r="4" spans="2:5" ht="15.75">
      <c r="B4" s="69" t="s">
        <v>165</v>
      </c>
      <c r="C4" s="717" t="s">
        <v>840</v>
      </c>
      <c r="D4" s="718" t="s">
        <v>841</v>
      </c>
      <c r="E4" s="174" t="s">
        <v>842</v>
      </c>
    </row>
    <row r="5" spans="2:5" ht="15.75">
      <c r="B5" s="454" t="str">
        <f>(inputPrYr!B30)</f>
        <v>Sewer</v>
      </c>
      <c r="C5" s="333" t="str">
        <f>CONCATENATE("Actual for ",$E$1-2,"")</f>
        <v>Actual for 2012</v>
      </c>
      <c r="D5" s="415" t="str">
        <f>CONCATENATE("Estimate for ",$E$1-1,"")</f>
        <v>Estimate for 2013</v>
      </c>
      <c r="E5" s="229" t="str">
        <f>CONCATENATE("Year for ",$E$1,"")</f>
        <v>Year for 2014</v>
      </c>
    </row>
    <row r="6" spans="2:5" ht="15.75">
      <c r="B6" s="178" t="s">
        <v>284</v>
      </c>
      <c r="C6" s="87">
        <v>3788.45</v>
      </c>
      <c r="D6" s="189">
        <f>C31</f>
        <v>3901.8899999999994</v>
      </c>
      <c r="E6" s="189">
        <f>D31</f>
        <v>3176.8899999999994</v>
      </c>
    </row>
    <row r="7" spans="2:5" ht="15.75">
      <c r="B7" s="278" t="s">
        <v>286</v>
      </c>
      <c r="C7" s="189"/>
      <c r="D7" s="189"/>
      <c r="E7" s="189"/>
    </row>
    <row r="8" spans="2:5" ht="15.75">
      <c r="B8" s="292"/>
      <c r="C8" s="87"/>
      <c r="D8" s="87"/>
      <c r="E8" s="87"/>
    </row>
    <row r="9" spans="2:5" ht="15.75">
      <c r="B9" s="292" t="s">
        <v>183</v>
      </c>
      <c r="C9" s="87">
        <v>8701.46</v>
      </c>
      <c r="D9" s="87">
        <v>8800</v>
      </c>
      <c r="E9" s="87">
        <v>9000</v>
      </c>
    </row>
    <row r="10" spans="2:5" ht="15.75">
      <c r="B10" s="292"/>
      <c r="C10" s="87"/>
      <c r="D10" s="87"/>
      <c r="E10" s="87"/>
    </row>
    <row r="11" spans="2:5" ht="15.75">
      <c r="B11" s="292"/>
      <c r="C11" s="87"/>
      <c r="D11" s="87"/>
      <c r="E11" s="87"/>
    </row>
    <row r="12" spans="2:5" ht="15.75">
      <c r="B12" s="337" t="s">
        <v>172</v>
      </c>
      <c r="C12" s="87"/>
      <c r="D12" s="87"/>
      <c r="E12" s="87"/>
    </row>
    <row r="13" spans="2:5" ht="15.75">
      <c r="B13" s="341" t="s">
        <v>262</v>
      </c>
      <c r="C13" s="87"/>
      <c r="D13" s="87"/>
      <c r="E13" s="87"/>
    </row>
    <row r="14" spans="2:5" ht="15.75">
      <c r="B14" s="341" t="s">
        <v>657</v>
      </c>
      <c r="C14" s="455">
        <f>IF(C15*0.1&lt;C13,"Exceed 10% Rule","")</f>
      </c>
      <c r="D14" s="338">
        <f>IF(D15*0.1&lt;D13,"Exceed 10% Rule","")</f>
      </c>
      <c r="E14" s="338">
        <f>IF(E15*0.1&lt;E13,"Exceed 10% Rule","")</f>
      </c>
    </row>
    <row r="15" spans="2:5" ht="15.75">
      <c r="B15" s="289" t="s">
        <v>173</v>
      </c>
      <c r="C15" s="340">
        <f>SUM(C8:C13)</f>
        <v>8701.46</v>
      </c>
      <c r="D15" s="340">
        <f>SUM(D8:D13)</f>
        <v>8800</v>
      </c>
      <c r="E15" s="340">
        <f>SUM(E8:E13)</f>
        <v>9000</v>
      </c>
    </row>
    <row r="16" spans="2:5" ht="15.75">
      <c r="B16" s="289" t="s">
        <v>174</v>
      </c>
      <c r="C16" s="340">
        <f>C6+C15</f>
        <v>12489.91</v>
      </c>
      <c r="D16" s="340">
        <f>D6+D15</f>
        <v>12701.89</v>
      </c>
      <c r="E16" s="340">
        <f>E6+E15</f>
        <v>12176.89</v>
      </c>
    </row>
    <row r="17" spans="2:5" ht="15.75">
      <c r="B17" s="178" t="s">
        <v>175</v>
      </c>
      <c r="C17" s="189"/>
      <c r="D17" s="189"/>
      <c r="E17" s="189"/>
    </row>
    <row r="18" spans="2:5" ht="15.75">
      <c r="B18" s="408" t="s">
        <v>1020</v>
      </c>
      <c r="C18" s="87">
        <v>5245.44</v>
      </c>
      <c r="D18" s="409">
        <v>3500</v>
      </c>
      <c r="E18" s="87">
        <v>0</v>
      </c>
    </row>
    <row r="19" spans="2:5" ht="15.75">
      <c r="B19" s="408" t="s">
        <v>1015</v>
      </c>
      <c r="C19" s="87">
        <v>2365</v>
      </c>
      <c r="D19" s="409">
        <v>5000</v>
      </c>
      <c r="E19" s="87">
        <v>5650</v>
      </c>
    </row>
    <row r="20" spans="2:5" ht="15.75">
      <c r="B20" s="408" t="s">
        <v>1019</v>
      </c>
      <c r="C20" s="87">
        <v>953.8</v>
      </c>
      <c r="D20" s="409">
        <v>1000</v>
      </c>
      <c r="E20" s="87">
        <v>1000</v>
      </c>
    </row>
    <row r="21" spans="2:5" ht="15.75">
      <c r="B21" s="408" t="s">
        <v>1022</v>
      </c>
      <c r="C21" s="87">
        <v>23.78</v>
      </c>
      <c r="D21" s="409">
        <v>25</v>
      </c>
      <c r="E21" s="87">
        <v>26</v>
      </c>
    </row>
    <row r="22" spans="2:5" ht="15.75">
      <c r="B22" s="408" t="s">
        <v>1035</v>
      </c>
      <c r="C22" s="87"/>
      <c r="D22" s="409"/>
      <c r="E22" s="87">
        <v>5500</v>
      </c>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262</v>
      </c>
      <c r="C28" s="87"/>
      <c r="D28" s="409"/>
      <c r="E28" s="87"/>
    </row>
    <row r="29" spans="2:5" ht="15.75">
      <c r="B29" s="191" t="s">
        <v>656</v>
      </c>
      <c r="C29" s="455">
        <f>IF(C30*0.1&lt;C28,"Exceed 10% Rule","")</f>
      </c>
      <c r="D29" s="338">
        <f>IF(D30*0.1&lt;D28,"Exceed 10% Rule","")</f>
      </c>
      <c r="E29" s="338">
        <f>IF(E30*0.1&lt;E28,"Exceed 10% Rule","")</f>
      </c>
    </row>
    <row r="30" spans="2:5" ht="15.75">
      <c r="B30" s="289" t="s">
        <v>176</v>
      </c>
      <c r="C30" s="340">
        <f>SUM(C18:C28)</f>
        <v>8588.02</v>
      </c>
      <c r="D30" s="340">
        <f>SUM(D18:D28)</f>
        <v>9525</v>
      </c>
      <c r="E30" s="340">
        <f>SUM(E18:E28)</f>
        <v>12176</v>
      </c>
    </row>
    <row r="31" spans="2:5" ht="15.75">
      <c r="B31" s="178" t="s">
        <v>285</v>
      </c>
      <c r="C31" s="94">
        <f>C16-C30</f>
        <v>3901.8899999999994</v>
      </c>
      <c r="D31" s="94">
        <f>D16-D30</f>
        <v>3176.8899999999994</v>
      </c>
      <c r="E31" s="94">
        <f>E16-E30</f>
        <v>0.8899999999994179</v>
      </c>
    </row>
    <row r="32" spans="2:5" ht="15.75">
      <c r="B32" s="210" t="str">
        <f>CONCATENATE("",E1-2,"/",E1-1," Budget Authority Amount:")</f>
        <v>2012/2013 Budget Authority Amount:</v>
      </c>
      <c r="C32" s="221">
        <f>inputOth!B64</f>
        <v>13231</v>
      </c>
      <c r="D32" s="221">
        <f>inputPrYr!D30</f>
        <v>11972</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7" t="s">
        <v>840</v>
      </c>
      <c r="D37" s="718" t="s">
        <v>841</v>
      </c>
      <c r="E37" s="174" t="s">
        <v>842</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284</v>
      </c>
      <c r="C39" s="87">
        <v>0</v>
      </c>
      <c r="D39" s="189">
        <f>C63</f>
        <v>0</v>
      </c>
      <c r="E39" s="189">
        <f>D63</f>
        <v>0</v>
      </c>
    </row>
    <row r="40" spans="2:5" ht="15.75">
      <c r="B40" s="278" t="s">
        <v>286</v>
      </c>
      <c r="C40" s="189"/>
      <c r="D40" s="189"/>
      <c r="E40" s="189"/>
    </row>
    <row r="41" spans="2:5" ht="15.75">
      <c r="B41" s="292"/>
      <c r="C41" s="87"/>
      <c r="D41" s="87"/>
      <c r="E41" s="87"/>
    </row>
    <row r="42" spans="2:5" ht="15.75">
      <c r="B42" s="292" t="s">
        <v>183</v>
      </c>
      <c r="C42" s="87"/>
      <c r="D42" s="87"/>
      <c r="E42" s="87"/>
    </row>
    <row r="43" spans="2:5" ht="15.75">
      <c r="B43" s="292"/>
      <c r="C43" s="87"/>
      <c r="D43" s="87"/>
      <c r="E43" s="87"/>
    </row>
    <row r="44" spans="2:5" ht="15.75">
      <c r="B44" s="292"/>
      <c r="C44" s="87"/>
      <c r="D44" s="87"/>
      <c r="E44" s="87"/>
    </row>
    <row r="45" spans="2:5" ht="15.75">
      <c r="B45" s="337" t="s">
        <v>172</v>
      </c>
      <c r="C45" s="87"/>
      <c r="D45" s="87"/>
      <c r="E45" s="87"/>
    </row>
    <row r="46" spans="2:5" ht="15.75">
      <c r="B46" s="341" t="s">
        <v>262</v>
      </c>
      <c r="C46" s="87"/>
      <c r="D46" s="87"/>
      <c r="E46" s="87"/>
    </row>
    <row r="47" spans="2:5" ht="15.75">
      <c r="B47" s="341" t="s">
        <v>657</v>
      </c>
      <c r="C47" s="455">
        <f>IF(C48*0.1&lt;C46,"Exceed 10% Rule","")</f>
      </c>
      <c r="D47" s="338">
        <f>IF(D48*0.1&lt;D46,"Exceed 10% Rule","")</f>
      </c>
      <c r="E47" s="338">
        <f>IF(E48*0.1&lt;E46,"Exceed 10% Rule","")</f>
      </c>
    </row>
    <row r="48" spans="2:5" ht="15.75">
      <c r="B48" s="289" t="s">
        <v>173</v>
      </c>
      <c r="C48" s="340">
        <f>SUM(C41:C46)</f>
        <v>0</v>
      </c>
      <c r="D48" s="340">
        <f>SUM(D41:D46)</f>
        <v>0</v>
      </c>
      <c r="E48" s="340">
        <f>SUM(E41:E46)</f>
        <v>0</v>
      </c>
    </row>
    <row r="49" spans="2:5" ht="15.75">
      <c r="B49" s="289" t="s">
        <v>174</v>
      </c>
      <c r="C49" s="340">
        <f>C39+C48</f>
        <v>0</v>
      </c>
      <c r="D49" s="340">
        <f>D39+D48</f>
        <v>0</v>
      </c>
      <c r="E49" s="340">
        <f>E39+E48</f>
        <v>0</v>
      </c>
    </row>
    <row r="50" spans="2:5" ht="15.75">
      <c r="B50" s="178" t="s">
        <v>175</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262</v>
      </c>
      <c r="C60" s="87"/>
      <c r="D60" s="334"/>
      <c r="E60" s="334"/>
    </row>
    <row r="61" spans="2:5" ht="15.75">
      <c r="B61" s="191" t="s">
        <v>656</v>
      </c>
      <c r="C61" s="455">
        <f>IF(C62*0.1&lt;C60,"Exceed 10% Rule","")</f>
      </c>
      <c r="D61" s="338">
        <f>IF(D62*0.1&lt;D60,"Exceed 10% Rule","")</f>
      </c>
      <c r="E61" s="338">
        <f>IF(E62*0.1&lt;E60,"Exceed 10% Rule","")</f>
      </c>
    </row>
    <row r="62" spans="2:5" ht="15.75">
      <c r="B62" s="289" t="s">
        <v>176</v>
      </c>
      <c r="C62" s="340">
        <f>SUM(C51:C60)</f>
        <v>0</v>
      </c>
      <c r="D62" s="340">
        <f>SUM(D51:D60)</f>
        <v>0</v>
      </c>
      <c r="E62" s="340">
        <f>SUM(E51:E60)</f>
        <v>0</v>
      </c>
    </row>
    <row r="63" spans="2:5" ht="15.75">
      <c r="B63" s="178" t="s">
        <v>285</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4">
      <selection activeCell="E63" sqref="E63"/>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5" t="s">
        <v>999</v>
      </c>
      <c r="E2" s="67"/>
    </row>
    <row r="3" spans="1:5" ht="15.75">
      <c r="A3" s="66" t="s">
        <v>74</v>
      </c>
      <c r="B3" s="64"/>
      <c r="C3" s="64"/>
      <c r="D3" s="626" t="s">
        <v>1000</v>
      </c>
      <c r="E3" s="68"/>
    </row>
    <row r="4" spans="1:5" ht="15.75">
      <c r="A4" s="69"/>
      <c r="B4" s="64"/>
      <c r="C4" s="64"/>
      <c r="D4" s="70"/>
      <c r="E4" s="64"/>
    </row>
    <row r="5" spans="1:5" ht="15.75">
      <c r="A5" s="66" t="s">
        <v>314</v>
      </c>
      <c r="B5" s="64"/>
      <c r="C5" s="71">
        <v>2014</v>
      </c>
      <c r="D5" s="70"/>
      <c r="E5" s="64"/>
    </row>
    <row r="6" spans="1:5" ht="15.75">
      <c r="A6" s="64"/>
      <c r="B6" s="64"/>
      <c r="C6" s="64"/>
      <c r="D6" s="64"/>
      <c r="E6" s="64"/>
    </row>
    <row r="7" spans="1:5" ht="15.75">
      <c r="A7" s="72" t="s">
        <v>350</v>
      </c>
      <c r="B7" s="73"/>
      <c r="C7" s="73"/>
      <c r="D7" s="73"/>
      <c r="E7" s="73"/>
    </row>
    <row r="8" spans="1:8" ht="15.75">
      <c r="A8" s="72" t="s">
        <v>349</v>
      </c>
      <c r="B8" s="73"/>
      <c r="C8" s="73"/>
      <c r="D8" s="73"/>
      <c r="E8" s="73"/>
      <c r="F8" s="64"/>
      <c r="G8" s="771" t="s">
        <v>926</v>
      </c>
      <c r="H8" s="772"/>
    </row>
    <row r="9" spans="1:8" ht="15.75" customHeight="1">
      <c r="A9" s="74"/>
      <c r="B9" s="73"/>
      <c r="C9" s="73"/>
      <c r="D9" s="73"/>
      <c r="E9" s="73"/>
      <c r="F9" s="64"/>
      <c r="G9" s="773"/>
      <c r="H9" s="772"/>
    </row>
    <row r="10" spans="1:8" ht="15.75">
      <c r="A10" s="769" t="s">
        <v>22</v>
      </c>
      <c r="B10" s="770"/>
      <c r="C10" s="770"/>
      <c r="D10" s="770"/>
      <c r="E10" s="770"/>
      <c r="F10" s="64"/>
      <c r="G10" s="773"/>
      <c r="H10" s="772"/>
    </row>
    <row r="11" spans="1:8" ht="15.75">
      <c r="A11" s="74"/>
      <c r="B11" s="73"/>
      <c r="C11" s="73"/>
      <c r="D11" s="73"/>
      <c r="E11" s="73"/>
      <c r="F11" s="64"/>
      <c r="G11" s="773"/>
      <c r="H11" s="772"/>
    </row>
    <row r="12" spans="1:8" ht="15.75">
      <c r="A12" s="76" t="s">
        <v>23</v>
      </c>
      <c r="B12" s="77"/>
      <c r="C12" s="64"/>
      <c r="D12" s="64"/>
      <c r="E12" s="64"/>
      <c r="F12" s="64"/>
      <c r="G12" s="773"/>
      <c r="H12" s="772"/>
    </row>
    <row r="13" spans="1:8" ht="15.75">
      <c r="A13" s="78" t="str">
        <f>CONCATENATE("the ",C5-1," Budget, Certificate Page:")</f>
        <v>the 2013 Budget, Certificate Page:</v>
      </c>
      <c r="B13" s="79"/>
      <c r="C13" s="80"/>
      <c r="D13" s="64"/>
      <c r="E13" s="64"/>
      <c r="F13" s="64"/>
      <c r="G13" s="773"/>
      <c r="H13" s="772"/>
    </row>
    <row r="14" spans="1:8" ht="15.75">
      <c r="A14" s="78" t="s">
        <v>348</v>
      </c>
      <c r="B14" s="79"/>
      <c r="C14" s="80"/>
      <c r="D14" s="64"/>
      <c r="E14" s="64"/>
      <c r="F14" s="64"/>
      <c r="G14" s="96"/>
      <c r="H14" s="705"/>
    </row>
    <row r="15" spans="1:8" ht="15.75">
      <c r="A15" s="81"/>
      <c r="B15" s="64"/>
      <c r="C15" s="64"/>
      <c r="D15" s="82">
        <f>$C$5-1</f>
        <v>2013</v>
      </c>
      <c r="E15" s="82">
        <f>$C$5-2</f>
        <v>2012</v>
      </c>
      <c r="G15" s="219" t="s">
        <v>829</v>
      </c>
      <c r="H15" s="187" t="s">
        <v>178</v>
      </c>
    </row>
    <row r="16" spans="1:8" ht="15.75">
      <c r="A16" s="69" t="s">
        <v>129</v>
      </c>
      <c r="B16" s="64"/>
      <c r="C16" s="83" t="s">
        <v>130</v>
      </c>
      <c r="D16" s="84" t="s">
        <v>347</v>
      </c>
      <c r="E16" s="84" t="s">
        <v>113</v>
      </c>
      <c r="G16" s="246" t="str">
        <f>CONCATENATE("",E15," Ad Valorem Tax")</f>
        <v>2012 Ad Valorem Tax</v>
      </c>
      <c r="H16" s="704">
        <v>0</v>
      </c>
    </row>
    <row r="17" spans="1:7" ht="15.75">
      <c r="A17" s="64"/>
      <c r="B17" s="85" t="s">
        <v>131</v>
      </c>
      <c r="C17" s="187" t="s">
        <v>289</v>
      </c>
      <c r="D17" s="87">
        <v>100279</v>
      </c>
      <c r="E17" s="87">
        <v>27354</v>
      </c>
      <c r="G17" s="189">
        <f>IF(H16&gt;0,ROUND(E17-(E17*H16),0),0)</f>
        <v>0</v>
      </c>
    </row>
    <row r="18" spans="1:7" ht="15.75">
      <c r="A18" s="64"/>
      <c r="B18" s="85" t="s">
        <v>108</v>
      </c>
      <c r="C18" s="187" t="s">
        <v>315</v>
      </c>
      <c r="D18" s="87"/>
      <c r="E18" s="87"/>
      <c r="G18" s="189">
        <f>IF(H16&gt;0,ROUND(E18-(E18*H16),0),0)</f>
        <v>0</v>
      </c>
    </row>
    <row r="19" spans="1:7" ht="15.75">
      <c r="A19" s="64"/>
      <c r="B19" s="85" t="s">
        <v>846</v>
      </c>
      <c r="C19" s="187" t="s">
        <v>847</v>
      </c>
      <c r="D19" s="87"/>
      <c r="E19" s="87"/>
      <c r="G19" s="189">
        <f>IF(H16&gt;0,ROUND(E19-(E19*H16),0),0)</f>
        <v>0</v>
      </c>
    </row>
    <row r="20" spans="1:5" ht="15.75">
      <c r="A20" s="69" t="s">
        <v>132</v>
      </c>
      <c r="B20" s="64"/>
      <c r="C20" s="64"/>
      <c r="D20" s="88"/>
      <c r="E20" s="88"/>
    </row>
    <row r="21" spans="1:7" ht="15.75">
      <c r="A21" s="64"/>
      <c r="B21" s="89"/>
      <c r="C21" s="585"/>
      <c r="D21" s="87"/>
      <c r="E21" s="87"/>
      <c r="G21" s="189">
        <f>IF(H16&gt;0,ROUND(E21-(E21*H16),0),0)</f>
        <v>0</v>
      </c>
    </row>
    <row r="22" spans="1:7" ht="15.75">
      <c r="A22" s="64"/>
      <c r="B22" s="90"/>
      <c r="C22" s="586"/>
      <c r="D22" s="87"/>
      <c r="E22" s="87"/>
      <c r="G22" s="189">
        <f>IF(H16&gt;0,ROUND(E22-(E22*H16),0),0)</f>
        <v>0</v>
      </c>
    </row>
    <row r="23" spans="1:7" ht="15.75">
      <c r="A23" s="64"/>
      <c r="B23" s="90"/>
      <c r="C23" s="585"/>
      <c r="D23" s="87"/>
      <c r="E23" s="87"/>
      <c r="G23" s="189">
        <f>IF(H16&gt;0,ROUND(E23-(E23*H16),0),0)</f>
        <v>0</v>
      </c>
    </row>
    <row r="24" spans="1:7" ht="15.75">
      <c r="A24" s="64"/>
      <c r="B24" s="90"/>
      <c r="C24" s="585"/>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27354</v>
      </c>
    </row>
    <row r="26" spans="1:5" ht="15.75">
      <c r="A26" s="99"/>
      <c r="B26" s="96"/>
      <c r="C26" s="96"/>
      <c r="D26" s="208"/>
      <c r="E26" s="96"/>
    </row>
    <row r="27" spans="1:5" ht="15.75">
      <c r="A27" s="69" t="s">
        <v>133</v>
      </c>
      <c r="B27" s="64"/>
      <c r="C27" s="64"/>
      <c r="D27" s="64"/>
      <c r="E27" s="64"/>
    </row>
    <row r="28" spans="1:5" ht="15.75">
      <c r="A28" s="64"/>
      <c r="B28" s="95" t="s">
        <v>134</v>
      </c>
      <c r="C28" s="96"/>
      <c r="D28" s="87">
        <v>12453</v>
      </c>
      <c r="E28" s="96"/>
    </row>
    <row r="29" spans="1:5" ht="15.75">
      <c r="A29" s="64"/>
      <c r="B29" s="412" t="s">
        <v>1001</v>
      </c>
      <c r="C29" s="96"/>
      <c r="D29" s="87">
        <v>43119</v>
      </c>
      <c r="E29" s="96"/>
    </row>
    <row r="30" spans="1:5" ht="15.75">
      <c r="A30" s="64"/>
      <c r="B30" s="412" t="s">
        <v>1002</v>
      </c>
      <c r="C30" s="96"/>
      <c r="D30" s="87">
        <v>11972</v>
      </c>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167823</v>
      </c>
      <c r="E36" s="101"/>
    </row>
    <row r="37" spans="1:5" ht="15.75">
      <c r="A37" s="99" t="s">
        <v>35</v>
      </c>
      <c r="B37" s="96"/>
      <c r="C37" s="96"/>
      <c r="D37" s="96"/>
      <c r="E37" s="64"/>
    </row>
    <row r="38" spans="1:5" ht="15.75">
      <c r="A38" s="104">
        <v>1</v>
      </c>
      <c r="B38" s="89" t="s">
        <v>1003</v>
      </c>
      <c r="C38" s="96"/>
      <c r="D38" s="96"/>
      <c r="E38" s="64"/>
    </row>
    <row r="39" spans="1:5" ht="15.75">
      <c r="A39" s="104">
        <v>2</v>
      </c>
      <c r="B39" s="89" t="s">
        <v>1004</v>
      </c>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36.922</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36.922</v>
      </c>
      <c r="E54" s="64"/>
    </row>
    <row r="55" spans="1:5" ht="15.75">
      <c r="A55" s="64"/>
      <c r="B55" s="64"/>
      <c r="C55" s="64"/>
      <c r="D55" s="64"/>
      <c r="E55" s="64"/>
    </row>
    <row r="56" spans="1:5" ht="15.75">
      <c r="A56" s="112" t="str">
        <f>CONCATENATE("Total Tax Levied (",C5-2," budget column)")</f>
        <v>Total Tax Levied (2012 budget column)</v>
      </c>
      <c r="B56" s="113"/>
      <c r="C56" s="92"/>
      <c r="D56" s="103"/>
      <c r="E56" s="87">
        <v>26411</v>
      </c>
    </row>
    <row r="57" spans="1:5" ht="15.75">
      <c r="A57" s="112" t="str">
        <f>CONCATENATE("Assessed Valuation  (",C5-2," budget column)")</f>
        <v>Assessed Valuation  (2012 budget column)</v>
      </c>
      <c r="B57" s="114"/>
      <c r="C57" s="115"/>
      <c r="D57" s="116"/>
      <c r="E57" s="87">
        <v>715316</v>
      </c>
    </row>
    <row r="58" spans="1:5" ht="15.75">
      <c r="A58" s="64"/>
      <c r="B58" s="64"/>
      <c r="C58" s="64"/>
      <c r="D58" s="80"/>
      <c r="E58" s="88"/>
    </row>
    <row r="59" spans="1:5" ht="15.75">
      <c r="A59" s="117" t="s">
        <v>45</v>
      </c>
      <c r="B59" s="117"/>
      <c r="C59" s="118"/>
      <c r="D59" s="119">
        <f>C5-3</f>
        <v>2011</v>
      </c>
      <c r="E59" s="120">
        <f>C5-2</f>
        <v>2012</v>
      </c>
    </row>
    <row r="60" spans="1:5" ht="15.75">
      <c r="A60" s="121" t="s">
        <v>325</v>
      </c>
      <c r="B60" s="121"/>
      <c r="C60" s="122"/>
      <c r="D60" s="123"/>
      <c r="E60" s="123"/>
    </row>
    <row r="61" spans="1:5" ht="15.75">
      <c r="A61" s="124" t="s">
        <v>326</v>
      </c>
      <c r="B61" s="124"/>
      <c r="C61" s="125"/>
      <c r="D61" s="123"/>
      <c r="E61" s="123"/>
    </row>
    <row r="62" spans="1:5" ht="15.75">
      <c r="A62" s="124" t="s">
        <v>327</v>
      </c>
      <c r="B62" s="124"/>
      <c r="C62" s="125"/>
      <c r="D62" s="123">
        <v>100000</v>
      </c>
      <c r="E62" s="123">
        <v>100000</v>
      </c>
    </row>
    <row r="63" spans="1:5" ht="15.75">
      <c r="A63" s="124" t="s">
        <v>328</v>
      </c>
      <c r="B63" s="124"/>
      <c r="C63" s="125"/>
      <c r="D63" s="123"/>
      <c r="E63" s="123"/>
    </row>
    <row r="70" spans="1:6" s="126" customFormat="1" ht="15.75">
      <c r="A70" s="65"/>
      <c r="B70" s="65"/>
      <c r="C70" s="65"/>
      <c r="D70" s="65"/>
      <c r="E70" s="65"/>
      <c r="F70" s="643"/>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Green</v>
      </c>
      <c r="C1" s="64"/>
      <c r="D1" s="64"/>
      <c r="E1" s="161">
        <f>inputPrYr!$C$5</f>
        <v>2014</v>
      </c>
    </row>
    <row r="2" spans="2:5" ht="15.75">
      <c r="B2" s="64"/>
      <c r="C2" s="64"/>
      <c r="D2" s="64"/>
      <c r="E2" s="218"/>
    </row>
    <row r="3" spans="2:5" ht="15.75">
      <c r="B3" s="81" t="s">
        <v>226</v>
      </c>
      <c r="C3" s="331"/>
      <c r="D3" s="331"/>
      <c r="E3" s="332"/>
    </row>
    <row r="4" spans="2:5" ht="15.75">
      <c r="B4" s="69" t="s">
        <v>165</v>
      </c>
      <c r="C4" s="717" t="s">
        <v>840</v>
      </c>
      <c r="D4" s="718" t="s">
        <v>841</v>
      </c>
      <c r="E4" s="174" t="s">
        <v>842</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284</v>
      </c>
      <c r="C6" s="87"/>
      <c r="D6" s="189">
        <f>C31</f>
        <v>0</v>
      </c>
      <c r="E6" s="189">
        <f>D31</f>
        <v>0</v>
      </c>
    </row>
    <row r="7" spans="2:5" ht="15.75">
      <c r="B7" s="278" t="s">
        <v>286</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172</v>
      </c>
      <c r="C12" s="335"/>
      <c r="D12" s="335"/>
      <c r="E12" s="335"/>
    </row>
    <row r="13" spans="2:5" ht="15.75">
      <c r="B13" s="341" t="s">
        <v>262</v>
      </c>
      <c r="C13" s="335"/>
      <c r="D13" s="335"/>
      <c r="E13" s="335"/>
    </row>
    <row r="14" spans="2:5" ht="15.75">
      <c r="B14" s="341" t="s">
        <v>657</v>
      </c>
      <c r="C14" s="455">
        <f>IF(C15*0.1&lt;C13,"Exceed 10% Rule","")</f>
      </c>
      <c r="D14" s="338">
        <f>IF(D15*0.1&lt;D13,"Exceed 10% Rule","")</f>
      </c>
      <c r="E14" s="338">
        <f>IF(E15*0.1&lt;E13,"Exceed 10% Rule","")</f>
      </c>
    </row>
    <row r="15" spans="2:5" ht="15.75">
      <c r="B15" s="289" t="s">
        <v>173</v>
      </c>
      <c r="C15" s="340">
        <f>SUM(C8:C13)</f>
        <v>0</v>
      </c>
      <c r="D15" s="340">
        <f>SUM(D8:D13)</f>
        <v>0</v>
      </c>
      <c r="E15" s="340">
        <f>SUM(E8:E13)</f>
        <v>0</v>
      </c>
    </row>
    <row r="16" spans="2:5" ht="15.75">
      <c r="B16" s="289" t="s">
        <v>174</v>
      </c>
      <c r="C16" s="340">
        <f>C6+C15</f>
        <v>0</v>
      </c>
      <c r="D16" s="340">
        <f>D6+D15</f>
        <v>0</v>
      </c>
      <c r="E16" s="340">
        <f>E6+E15</f>
        <v>0</v>
      </c>
    </row>
    <row r="17" spans="2:5" ht="15.75">
      <c r="B17" s="178" t="s">
        <v>175</v>
      </c>
      <c r="C17" s="108"/>
      <c r="D17" s="108"/>
      <c r="E17" s="108"/>
    </row>
    <row r="18" spans="2:5" ht="15.75">
      <c r="B18" s="292" t="s">
        <v>296</v>
      </c>
      <c r="C18" s="335"/>
      <c r="D18" s="335"/>
      <c r="E18" s="335"/>
    </row>
    <row r="19" spans="2:5" ht="15.75">
      <c r="B19" s="292" t="s">
        <v>299</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262</v>
      </c>
      <c r="C28" s="335"/>
      <c r="D28" s="335"/>
      <c r="E28" s="335"/>
    </row>
    <row r="29" spans="2:5" ht="15.75">
      <c r="B29" s="191" t="s">
        <v>656</v>
      </c>
      <c r="C29" s="455">
        <f>IF(C30*0.1&lt;C28,"Exceed 10% Rule","")</f>
      </c>
      <c r="D29" s="338">
        <f>IF(D30*0.1&lt;D28,"Exceed 10% Rule","")</f>
      </c>
      <c r="E29" s="338">
        <f>IF(E30*0.1&lt;E28,"Exceed 10% Rule","")</f>
      </c>
    </row>
    <row r="30" spans="2:5" ht="15.75">
      <c r="B30" s="289" t="s">
        <v>176</v>
      </c>
      <c r="C30" s="340">
        <f>SUM(C18:C28)</f>
        <v>0</v>
      </c>
      <c r="D30" s="340">
        <f>SUM(D18:D28)</f>
        <v>0</v>
      </c>
      <c r="E30" s="340">
        <f>SUM(E18:E28)</f>
        <v>0</v>
      </c>
    </row>
    <row r="31" spans="2:5" ht="15.75">
      <c r="B31" s="178" t="s">
        <v>285</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7" t="s">
        <v>840</v>
      </c>
      <c r="D37" s="718" t="s">
        <v>841</v>
      </c>
      <c r="E37" s="174" t="s">
        <v>842</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284</v>
      </c>
      <c r="C39" s="87">
        <v>0</v>
      </c>
      <c r="D39" s="189">
        <f>C63</f>
        <v>0</v>
      </c>
      <c r="E39" s="189">
        <f>D63</f>
        <v>0</v>
      </c>
    </row>
    <row r="40" spans="2:5" ht="15.75">
      <c r="B40" s="178" t="s">
        <v>286</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172</v>
      </c>
      <c r="C45" s="335"/>
      <c r="D45" s="335"/>
      <c r="E45" s="335"/>
    </row>
    <row r="46" spans="2:5" ht="15.75">
      <c r="B46" s="341" t="s">
        <v>262</v>
      </c>
      <c r="C46" s="335"/>
      <c r="D46" s="335"/>
      <c r="E46" s="335"/>
    </row>
    <row r="47" spans="2:5" ht="15.75">
      <c r="B47" s="341" t="s">
        <v>657</v>
      </c>
      <c r="C47" s="455">
        <f>IF(C48*0.1&lt;C46,"Exceed 10% Rule","")</f>
      </c>
      <c r="D47" s="338">
        <f>IF(D48*0.1&lt;D46,"Exceed 10% Rule","")</f>
      </c>
      <c r="E47" s="338">
        <f>IF(E48*0.1&lt;E46,"Exceed 10% Rule","")</f>
      </c>
    </row>
    <row r="48" spans="2:5" ht="15.75">
      <c r="B48" s="289" t="s">
        <v>173</v>
      </c>
      <c r="C48" s="340">
        <f>SUM(C41:C46)</f>
        <v>0</v>
      </c>
      <c r="D48" s="340">
        <f>SUM(D41:D46)</f>
        <v>0</v>
      </c>
      <c r="E48" s="340">
        <f>SUM(E41:E46)</f>
        <v>0</v>
      </c>
    </row>
    <row r="49" spans="2:5" ht="15.75">
      <c r="B49" s="289" t="s">
        <v>174</v>
      </c>
      <c r="C49" s="340">
        <f>C39+C48</f>
        <v>0</v>
      </c>
      <c r="D49" s="340">
        <f>D39+D48</f>
        <v>0</v>
      </c>
      <c r="E49" s="340">
        <f>E39+E48</f>
        <v>0</v>
      </c>
    </row>
    <row r="50" spans="2:5" ht="15.75">
      <c r="B50" s="178" t="s">
        <v>175</v>
      </c>
      <c r="C50" s="108"/>
      <c r="D50" s="108"/>
      <c r="E50" s="108"/>
    </row>
    <row r="51" spans="2:5" ht="15.75">
      <c r="B51" s="292" t="s">
        <v>296</v>
      </c>
      <c r="C51" s="335"/>
      <c r="D51" s="335"/>
      <c r="E51" s="335"/>
    </row>
    <row r="52" spans="2:5" ht="15.75">
      <c r="B52" s="292" t="s">
        <v>297</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262</v>
      </c>
      <c r="C60" s="335"/>
      <c r="D60" s="131"/>
      <c r="E60" s="131"/>
    </row>
    <row r="61" spans="2:5" ht="15.75">
      <c r="B61" s="191" t="s">
        <v>656</v>
      </c>
      <c r="C61" s="455">
        <f>IF(C62*0.1&lt;C60,"Exceed 10% Rule","")</f>
      </c>
      <c r="D61" s="338">
        <f>IF(D62*0.1&lt;D60,"Exceed 10% Rule","")</f>
      </c>
      <c r="E61" s="338">
        <f>IF(E62*0.1&lt;E60,"Exceed 10% Rule","")</f>
      </c>
    </row>
    <row r="62" spans="2:5" ht="15.75">
      <c r="B62" s="289" t="s">
        <v>176</v>
      </c>
      <c r="C62" s="340">
        <f>SUM(C51:C60)</f>
        <v>0</v>
      </c>
      <c r="D62" s="340">
        <f>SUM(D51:D60)</f>
        <v>0</v>
      </c>
      <c r="E62" s="340">
        <f>SUM(E51:E60)</f>
        <v>0</v>
      </c>
    </row>
    <row r="63" spans="2:5" ht="15.75">
      <c r="B63" s="178" t="s">
        <v>285</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Green</v>
      </c>
      <c r="C1" s="64"/>
      <c r="D1" s="64"/>
      <c r="E1" s="161">
        <f>inputPrYr!$C$5</f>
        <v>2014</v>
      </c>
    </row>
    <row r="2" spans="2:5" ht="15.75">
      <c r="B2" s="64"/>
      <c r="C2" s="64"/>
      <c r="D2" s="64"/>
      <c r="E2" s="218"/>
    </row>
    <row r="3" spans="2:5" ht="15.75">
      <c r="B3" s="81" t="s">
        <v>226</v>
      </c>
      <c r="C3" s="331"/>
      <c r="D3" s="331"/>
      <c r="E3" s="332"/>
    </row>
    <row r="4" spans="2:5" ht="15.75">
      <c r="B4" s="69" t="s">
        <v>165</v>
      </c>
      <c r="C4" s="717" t="s">
        <v>840</v>
      </c>
      <c r="D4" s="718" t="s">
        <v>841</v>
      </c>
      <c r="E4" s="174" t="s">
        <v>842</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284</v>
      </c>
      <c r="C6" s="87">
        <v>0</v>
      </c>
      <c r="D6" s="189">
        <f>C52</f>
        <v>0</v>
      </c>
      <c r="E6" s="189">
        <f>D52</f>
        <v>0</v>
      </c>
    </row>
    <row r="7" spans="2:5" ht="15.75">
      <c r="B7" s="278" t="s">
        <v>286</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172</v>
      </c>
      <c r="C18" s="335"/>
      <c r="D18" s="335"/>
      <c r="E18" s="335"/>
    </row>
    <row r="19" spans="2:5" ht="15.75">
      <c r="B19" s="178" t="s">
        <v>262</v>
      </c>
      <c r="C19" s="335"/>
      <c r="D19" s="335"/>
      <c r="E19" s="335"/>
    </row>
    <row r="20" spans="2:5" ht="15.75">
      <c r="B20" s="178" t="s">
        <v>799</v>
      </c>
      <c r="C20" s="455">
        <f>IF(C21*0.1&lt;C19,"Exceed 10% Rule","")</f>
      </c>
      <c r="D20" s="338">
        <f>IF(D21*0.1&lt;D19,"Exceed 10% Rule","")</f>
      </c>
      <c r="E20" s="338">
        <f>IF(E21*0.1&lt;E19,"Exceed 10% Rule","")</f>
      </c>
    </row>
    <row r="21" spans="2:5" ht="15.75">
      <c r="B21" s="289" t="s">
        <v>173</v>
      </c>
      <c r="C21" s="340">
        <f>SUM(C8:C19)</f>
        <v>0</v>
      </c>
      <c r="D21" s="340">
        <f>SUM(D8:D19)</f>
        <v>0</v>
      </c>
      <c r="E21" s="340">
        <f>SUM(E8:E19)</f>
        <v>0</v>
      </c>
    </row>
    <row r="22" spans="2:5" ht="15.75">
      <c r="B22" s="289" t="s">
        <v>174</v>
      </c>
      <c r="C22" s="340">
        <f>C6+C21</f>
        <v>0</v>
      </c>
      <c r="D22" s="340">
        <f>D6+D21</f>
        <v>0</v>
      </c>
      <c r="E22" s="340">
        <f>E6+E21</f>
        <v>0</v>
      </c>
    </row>
    <row r="23" spans="2:5" ht="15.75">
      <c r="B23" s="178" t="s">
        <v>175</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262</v>
      </c>
      <c r="C49" s="335"/>
      <c r="D49" s="335"/>
      <c r="E49" s="335"/>
    </row>
    <row r="50" spans="2:5" ht="15.75">
      <c r="B50" s="191" t="s">
        <v>798</v>
      </c>
      <c r="C50" s="455">
        <f>IF(C51*0.1&lt;C49,"Exceed 10% Rule","")</f>
      </c>
      <c r="D50" s="338">
        <f>IF(D51*0.1&lt;D49,"Exceed 10% Rule","")</f>
      </c>
      <c r="E50" s="338">
        <f>IF(E51*0.1&lt;E49,"Exceed 10% Rule","")</f>
      </c>
    </row>
    <row r="51" spans="2:5" ht="15.75">
      <c r="B51" s="289" t="s">
        <v>176</v>
      </c>
      <c r="C51" s="340">
        <f>SUM(C24:C49)</f>
        <v>0</v>
      </c>
      <c r="D51" s="340">
        <f>SUM(D24:D49)</f>
        <v>0</v>
      </c>
      <c r="E51" s="340">
        <f>SUM(E24:E49)</f>
        <v>0</v>
      </c>
    </row>
    <row r="52" spans="2:5" ht="15.75">
      <c r="B52" s="178" t="s">
        <v>285</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179</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C23" sqref="C2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Green</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31" t="str">
        <f>inputPrYr!B38</f>
        <v>Capital Improvement</v>
      </c>
      <c r="B5" s="832"/>
      <c r="C5" s="831" t="str">
        <f>inputPrYr!B39</f>
        <v>Park Renovation</v>
      </c>
      <c r="D5" s="832"/>
      <c r="E5" s="831">
        <f>inputPrYr!B40</f>
        <v>0</v>
      </c>
      <c r="F5" s="832"/>
      <c r="G5" s="831">
        <f>inputPrYr!B41</f>
        <v>0</v>
      </c>
      <c r="H5" s="832"/>
      <c r="I5" s="831">
        <f>inputPrYr!B42</f>
        <v>0</v>
      </c>
      <c r="J5" s="832"/>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v>5000</v>
      </c>
      <c r="C7" s="309" t="s">
        <v>75</v>
      </c>
      <c r="D7" s="308">
        <v>733.86</v>
      </c>
      <c r="E7" s="309" t="s">
        <v>75</v>
      </c>
      <c r="F7" s="308"/>
      <c r="G7" s="309" t="s">
        <v>75</v>
      </c>
      <c r="H7" s="308"/>
      <c r="I7" s="309" t="s">
        <v>75</v>
      </c>
      <c r="J7" s="308"/>
      <c r="K7" s="310">
        <f>SUM(B7+D7+F7+H7+J7)</f>
        <v>5733.86</v>
      </c>
    </row>
    <row r="8" spans="1:11" ht="15.75">
      <c r="A8" s="311" t="s">
        <v>286</v>
      </c>
      <c r="B8" s="312"/>
      <c r="C8" s="311" t="s">
        <v>286</v>
      </c>
      <c r="D8" s="313"/>
      <c r="E8" s="311" t="s">
        <v>286</v>
      </c>
      <c r="F8" s="217"/>
      <c r="G8" s="311" t="s">
        <v>286</v>
      </c>
      <c r="H8" s="129"/>
      <c r="I8" s="311" t="s">
        <v>286</v>
      </c>
      <c r="J8" s="129"/>
      <c r="K8" s="217"/>
    </row>
    <row r="9" spans="1:11" ht="15.75">
      <c r="A9" s="314" t="s">
        <v>212</v>
      </c>
      <c r="B9" s="308">
        <v>157.52</v>
      </c>
      <c r="C9" s="314" t="s">
        <v>1027</v>
      </c>
      <c r="D9" s="308">
        <v>2675</v>
      </c>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173</v>
      </c>
      <c r="B17" s="310">
        <f>SUM(B9:B16)</f>
        <v>157.52</v>
      </c>
      <c r="C17" s="311" t="s">
        <v>173</v>
      </c>
      <c r="D17" s="310">
        <f>SUM(D9:D16)</f>
        <v>2675</v>
      </c>
      <c r="E17" s="311" t="s">
        <v>173</v>
      </c>
      <c r="F17" s="324">
        <f>SUM(F9:F16)</f>
        <v>0</v>
      </c>
      <c r="G17" s="311" t="s">
        <v>173</v>
      </c>
      <c r="H17" s="310">
        <f>SUM(H9:H16)</f>
        <v>0</v>
      </c>
      <c r="I17" s="311" t="s">
        <v>173</v>
      </c>
      <c r="J17" s="310">
        <f>SUM(J9:J16)</f>
        <v>0</v>
      </c>
      <c r="K17" s="310">
        <f>SUM(B17+D17+F17+H17+J17)</f>
        <v>2832.52</v>
      </c>
    </row>
    <row r="18" spans="1:11" ht="15.75">
      <c r="A18" s="311" t="s">
        <v>174</v>
      </c>
      <c r="B18" s="310">
        <f>SUM(B7+B17)</f>
        <v>5157.52</v>
      </c>
      <c r="C18" s="311" t="s">
        <v>174</v>
      </c>
      <c r="D18" s="310">
        <f>SUM(D7+D17)</f>
        <v>3408.86</v>
      </c>
      <c r="E18" s="311" t="s">
        <v>174</v>
      </c>
      <c r="F18" s="310">
        <f>SUM(F7+F17)</f>
        <v>0</v>
      </c>
      <c r="G18" s="311" t="s">
        <v>174</v>
      </c>
      <c r="H18" s="310">
        <f>SUM(H7+H17)</f>
        <v>0</v>
      </c>
      <c r="I18" s="311" t="s">
        <v>174</v>
      </c>
      <c r="J18" s="310">
        <f>SUM(J7+J17)</f>
        <v>0</v>
      </c>
      <c r="K18" s="310">
        <f>SUM(B18+D18+F18+H18+J18)</f>
        <v>8566.380000000001</v>
      </c>
    </row>
    <row r="19" spans="1:11" ht="15.75">
      <c r="A19" s="311" t="s">
        <v>175</v>
      </c>
      <c r="B19" s="312"/>
      <c r="C19" s="311" t="s">
        <v>175</v>
      </c>
      <c r="D19" s="313"/>
      <c r="E19" s="311" t="s">
        <v>175</v>
      </c>
      <c r="F19" s="217"/>
      <c r="G19" s="311" t="s">
        <v>175</v>
      </c>
      <c r="H19" s="129"/>
      <c r="I19" s="311" t="s">
        <v>175</v>
      </c>
      <c r="J19" s="129"/>
      <c r="K19" s="217"/>
    </row>
    <row r="20" spans="1:11" ht="15.75">
      <c r="A20" s="314" t="s">
        <v>1026</v>
      </c>
      <c r="B20" s="308">
        <v>2981.75</v>
      </c>
      <c r="C20" s="320" t="s">
        <v>1028</v>
      </c>
      <c r="D20" s="308">
        <v>599.29</v>
      </c>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176</v>
      </c>
      <c r="B28" s="310">
        <f>SUM(B20:B27)</f>
        <v>2981.75</v>
      </c>
      <c r="C28" s="311" t="s">
        <v>176</v>
      </c>
      <c r="D28" s="310">
        <f>SUM(D20:D27)</f>
        <v>599.29</v>
      </c>
      <c r="E28" s="311" t="s">
        <v>176</v>
      </c>
      <c r="F28" s="324">
        <f>SUM(F20:F27)</f>
        <v>0</v>
      </c>
      <c r="G28" s="311" t="s">
        <v>176</v>
      </c>
      <c r="H28" s="324">
        <f>SUM(H20:H27)</f>
        <v>0</v>
      </c>
      <c r="I28" s="311" t="s">
        <v>176</v>
      </c>
      <c r="J28" s="310">
        <f>SUM(J20:J27)</f>
        <v>0</v>
      </c>
      <c r="K28" s="310">
        <f>SUM(B28+D28+F28+H28+J28)</f>
        <v>3581.04</v>
      </c>
    </row>
    <row r="29" spans="1:12" ht="15.75">
      <c r="A29" s="311" t="s">
        <v>32</v>
      </c>
      <c r="B29" s="310">
        <f>SUM(B18-B28)</f>
        <v>2175.7700000000004</v>
      </c>
      <c r="C29" s="311" t="s">
        <v>32</v>
      </c>
      <c r="D29" s="310">
        <f>SUM(D18-D28)</f>
        <v>2809.57</v>
      </c>
      <c r="E29" s="311" t="s">
        <v>32</v>
      </c>
      <c r="F29" s="310">
        <f>SUM(F18-F28)</f>
        <v>0</v>
      </c>
      <c r="G29" s="311" t="s">
        <v>32</v>
      </c>
      <c r="H29" s="310">
        <f>SUM(H18-H28)</f>
        <v>0</v>
      </c>
      <c r="I29" s="311" t="s">
        <v>32</v>
      </c>
      <c r="J29" s="310">
        <f>SUM(J18-J28)</f>
        <v>0</v>
      </c>
      <c r="K29" s="325">
        <f>SUM(B29+D29+F29+H29+J29)</f>
        <v>4985.34</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4985.339999999999</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179</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355</v>
      </c>
    </row>
    <row r="2" ht="15.75">
      <c r="A2" s="1"/>
    </row>
    <row r="3" ht="57" customHeight="1">
      <c r="A3" s="356" t="s">
        <v>356</v>
      </c>
    </row>
    <row r="4" ht="15.75">
      <c r="A4" s="354"/>
    </row>
    <row r="5" ht="15.75">
      <c r="A5" s="1"/>
    </row>
    <row r="6" ht="44.25" customHeight="1">
      <c r="A6" s="356" t="s">
        <v>357</v>
      </c>
    </row>
    <row r="7" ht="15.75">
      <c r="A7" s="1"/>
    </row>
    <row r="8" ht="15.75">
      <c r="A8" s="354"/>
    </row>
    <row r="9" ht="46.5" customHeight="1">
      <c r="A9" s="356" t="s">
        <v>358</v>
      </c>
    </row>
    <row r="10" ht="15.75">
      <c r="A10" s="1"/>
    </row>
    <row r="11" ht="15.75">
      <c r="A11" s="354"/>
    </row>
    <row r="12" ht="60" customHeight="1">
      <c r="A12" s="356" t="s">
        <v>359</v>
      </c>
    </row>
    <row r="13" ht="15.75">
      <c r="A13" s="1"/>
    </row>
    <row r="14" ht="15.75">
      <c r="A14" s="1"/>
    </row>
    <row r="15" ht="61.5" customHeight="1">
      <c r="A15" s="356" t="s">
        <v>360</v>
      </c>
    </row>
    <row r="16" ht="15.75">
      <c r="A16" s="1"/>
    </row>
    <row r="17" ht="15.75">
      <c r="A17" s="1"/>
    </row>
    <row r="18" ht="59.25" customHeight="1">
      <c r="A18" s="356" t="s">
        <v>361</v>
      </c>
    </row>
    <row r="19" ht="15.75">
      <c r="A19" s="1"/>
    </row>
    <row r="20" ht="15.75">
      <c r="A20" s="1"/>
    </row>
    <row r="21" ht="61.5" customHeight="1">
      <c r="A21" s="356" t="s">
        <v>362</v>
      </c>
    </row>
    <row r="22" ht="15.75">
      <c r="A22" s="354"/>
    </row>
    <row r="23" ht="15.75">
      <c r="A23" s="354"/>
    </row>
    <row r="24" ht="63" customHeight="1">
      <c r="A24" s="356" t="s">
        <v>363</v>
      </c>
    </row>
    <row r="25" ht="15.75">
      <c r="A25" s="1"/>
    </row>
    <row r="26" ht="15.75">
      <c r="A26" s="1"/>
    </row>
    <row r="27" ht="52.5" customHeight="1">
      <c r="A27" s="502" t="s">
        <v>677</v>
      </c>
    </row>
    <row r="28" ht="15.75">
      <c r="A28" s="1"/>
    </row>
    <row r="29" ht="15.75">
      <c r="A29" s="1"/>
    </row>
    <row r="30" ht="44.25" customHeight="1">
      <c r="A30" s="356" t="s">
        <v>364</v>
      </c>
    </row>
    <row r="31" ht="15.75">
      <c r="A31" s="1"/>
    </row>
    <row r="32" ht="15.75">
      <c r="A32" s="1"/>
    </row>
    <row r="33" ht="42.75" customHeight="1">
      <c r="A33" s="356" t="s">
        <v>365</v>
      </c>
    </row>
    <row r="34" ht="15.75">
      <c r="A34" s="354"/>
    </row>
    <row r="35" ht="15.75">
      <c r="A35" s="354"/>
    </row>
    <row r="36" ht="38.25" customHeight="1">
      <c r="A36" s="356" t="s">
        <v>366</v>
      </c>
    </row>
    <row r="37" ht="15.75">
      <c r="A37" s="354"/>
    </row>
    <row r="38" ht="15.75">
      <c r="A38" s="1"/>
    </row>
    <row r="39" ht="75.75" customHeight="1">
      <c r="A39" s="356" t="s">
        <v>367</v>
      </c>
    </row>
    <row r="40" ht="15.75">
      <c r="A40" s="1"/>
    </row>
    <row r="41" ht="15.75">
      <c r="A41" s="1"/>
    </row>
    <row r="42" ht="57.75" customHeight="1">
      <c r="A42" s="356" t="s">
        <v>368</v>
      </c>
    </row>
    <row r="43" ht="15.75">
      <c r="A43" s="354"/>
    </row>
    <row r="44" ht="15.75">
      <c r="A44" s="1"/>
    </row>
    <row r="45" ht="57.75" customHeight="1">
      <c r="A45" s="356" t="s">
        <v>369</v>
      </c>
    </row>
    <row r="46" ht="15.75">
      <c r="A46" s="1"/>
    </row>
    <row r="47" ht="15.75">
      <c r="A47" s="1"/>
    </row>
    <row r="48" ht="41.25" customHeight="1">
      <c r="A48" s="356" t="s">
        <v>370</v>
      </c>
    </row>
    <row r="49" ht="15.75">
      <c r="A49" s="1"/>
    </row>
    <row r="50" ht="15.75">
      <c r="A50" s="1"/>
    </row>
    <row r="51" ht="75" customHeight="1">
      <c r="A51" s="356" t="s">
        <v>371</v>
      </c>
    </row>
    <row r="52" ht="15.75">
      <c r="A52" s="354"/>
    </row>
    <row r="53" ht="15.75">
      <c r="A53" s="354"/>
    </row>
    <row r="54" ht="57.75" customHeight="1">
      <c r="A54" s="356" t="s">
        <v>372</v>
      </c>
    </row>
    <row r="55" ht="15.75">
      <c r="A55" s="1"/>
    </row>
    <row r="56" ht="15.75">
      <c r="A56" s="1"/>
    </row>
    <row r="57" ht="44.25" customHeight="1">
      <c r="A57" s="356" t="s">
        <v>373</v>
      </c>
    </row>
    <row r="58" ht="15.75">
      <c r="A58" s="1"/>
    </row>
    <row r="59" ht="15.75">
      <c r="A59" s="1"/>
    </row>
    <row r="60" ht="60" customHeight="1">
      <c r="A60" s="356" t="s">
        <v>374</v>
      </c>
    </row>
    <row r="61" ht="15.75">
      <c r="A61" s="354"/>
    </row>
    <row r="62" ht="15.75">
      <c r="A62" s="354"/>
    </row>
    <row r="63" ht="57.75" customHeight="1">
      <c r="A63" s="356" t="s">
        <v>375</v>
      </c>
    </row>
    <row r="64" ht="15.75">
      <c r="A64" s="1"/>
    </row>
    <row r="65" ht="15.75">
      <c r="A65" s="1"/>
    </row>
    <row r="66" ht="60" customHeight="1">
      <c r="A66" s="356" t="s">
        <v>376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7">
      <selection activeCell="C23" sqref="C2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3" t="s">
        <v>223</v>
      </c>
      <c r="B2" s="833"/>
      <c r="C2" s="833"/>
      <c r="D2" s="833"/>
      <c r="E2" s="833"/>
      <c r="F2" s="833"/>
      <c r="G2" s="833"/>
      <c r="H2" s="833"/>
    </row>
    <row r="3" spans="1:8" ht="15.75">
      <c r="A3" s="7"/>
      <c r="B3" s="7"/>
      <c r="C3" s="7"/>
      <c r="D3" s="7"/>
      <c r="E3" s="7"/>
      <c r="F3" s="7"/>
      <c r="G3" s="7"/>
      <c r="H3" s="7"/>
    </row>
    <row r="4" spans="1:8" ht="15.75">
      <c r="A4" s="834" t="s">
        <v>184</v>
      </c>
      <c r="B4" s="834"/>
      <c r="C4" s="834"/>
      <c r="D4" s="834"/>
      <c r="E4" s="834"/>
      <c r="F4" s="834"/>
      <c r="G4" s="834"/>
      <c r="H4" s="834"/>
    </row>
    <row r="5" spans="1:8" ht="15.75">
      <c r="A5" s="835" t="str">
        <f>inputPrYr!D2</f>
        <v>City of Green</v>
      </c>
      <c r="B5" s="835"/>
      <c r="C5" s="835"/>
      <c r="D5" s="835"/>
      <c r="E5" s="835"/>
      <c r="F5" s="835"/>
      <c r="G5" s="835"/>
      <c r="H5" s="835"/>
    </row>
    <row r="6" spans="1:8" ht="15.75">
      <c r="A6" s="836" t="str">
        <f>CONCATENATE("will meet on ",inputBudSum!B7," at ",inputBudSum!B9," at ",inputBudSum!B11," for the purpose of hearing and")</f>
        <v>will meet on August 5,  2013 at 6:00 p.m. at Green City Hall for the purpose of hearing and</v>
      </c>
      <c r="B6" s="836"/>
      <c r="C6" s="836"/>
      <c r="D6" s="836"/>
      <c r="E6" s="836"/>
      <c r="F6" s="836"/>
      <c r="G6" s="836"/>
      <c r="H6" s="836"/>
    </row>
    <row r="7" spans="1:8" ht="15.75">
      <c r="A7" s="834" t="s">
        <v>633</v>
      </c>
      <c r="B7" s="834"/>
      <c r="C7" s="834"/>
      <c r="D7" s="834"/>
      <c r="E7" s="834"/>
      <c r="F7" s="834"/>
      <c r="G7" s="834"/>
      <c r="H7" s="834"/>
    </row>
    <row r="8" spans="1:8" ht="15.75">
      <c r="A8" s="834" t="str">
        <f>CONCATENATE("Detailed budget information is available at ",inputBudSum!B14," and will be available at this hearing.")</f>
        <v>Detailed budget information is available at Green City Hall and will be available at this hearing.</v>
      </c>
      <c r="B8" s="834"/>
      <c r="C8" s="834"/>
      <c r="D8" s="834"/>
      <c r="E8" s="834"/>
      <c r="F8" s="834"/>
      <c r="G8" s="834"/>
      <c r="H8" s="834"/>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180</v>
      </c>
      <c r="D14" s="11"/>
      <c r="E14" s="11" t="s">
        <v>180</v>
      </c>
      <c r="F14" s="11" t="s">
        <v>51</v>
      </c>
      <c r="G14" s="27" t="str">
        <f>CONCATENATE("Amount of ",H1-1,"")</f>
        <v>Amount of 2013</v>
      </c>
      <c r="H14" s="11" t="s">
        <v>7</v>
      </c>
    </row>
    <row r="15" spans="1:8" ht="17.25" customHeight="1">
      <c r="A15" s="21" t="s">
        <v>185</v>
      </c>
      <c r="B15" s="12" t="s">
        <v>147</v>
      </c>
      <c r="C15" s="12" t="s">
        <v>186</v>
      </c>
      <c r="D15" s="12" t="s">
        <v>5</v>
      </c>
      <c r="E15" s="12" t="s">
        <v>186</v>
      </c>
      <c r="F15" s="12" t="s">
        <v>664</v>
      </c>
      <c r="G15" s="16" t="s">
        <v>166</v>
      </c>
      <c r="H15" s="12" t="s">
        <v>186</v>
      </c>
    </row>
    <row r="16" spans="1:8" ht="15.75">
      <c r="A16" s="85" t="s">
        <v>131</v>
      </c>
      <c r="B16" s="221">
        <f>IF((general!$C$61)&lt;&gt;0,general!$C$61,"  ")</f>
        <v>38145.6</v>
      </c>
      <c r="C16" s="722">
        <f>IF(inputPrYr!D47&gt;0,inputPrYr!D47,"  ")</f>
        <v>36.922</v>
      </c>
      <c r="D16" s="221">
        <f>IF((general!$D$61)&lt;&gt;0,general!$D$61,"  ")</f>
        <v>67550</v>
      </c>
      <c r="E16" s="722">
        <f>IF(inputOth!D21&gt;0,inputOth!D21,"  ")</f>
        <v>36.92046</v>
      </c>
      <c r="F16" s="221">
        <f>IF((general!$E$61)&lt;&gt;0,general!$E$61,"  ")</f>
        <v>107160</v>
      </c>
      <c r="G16" s="221">
        <f>IF((general!$E$68)&lt;&gt;0,(general!$E$68),"  ")</f>
        <v>22209.650000000023</v>
      </c>
      <c r="H16" s="722">
        <f>IF((general!E68&gt;0),ROUND(G16/$F$35*1000,3),"  ")</f>
        <v>36.922</v>
      </c>
    </row>
    <row r="17" spans="1:8" ht="15.75">
      <c r="A17" s="85" t="s">
        <v>108</v>
      </c>
      <c r="B17" s="221" t="str">
        <f>IF(('DebtSvs-Library'!$C$33)&lt;&gt;0,('DebtSvs-Library'!$C$33),"  ")</f>
        <v>  </v>
      </c>
      <c r="C17" s="722" t="str">
        <f>IF(inputPrYr!D48&gt;0,inputPrYr!D48,"  ")</f>
        <v>  </v>
      </c>
      <c r="D17" s="221" t="str">
        <f>IF(('DebtSvs-Library'!$D$33)&lt;&gt;0,('DebtSvs-Library'!$D$33),"  ")</f>
        <v>  </v>
      </c>
      <c r="E17" s="722" t="str">
        <f>IF(inputOth!D22&gt;0,inputOth!D22,"  ")</f>
        <v>  </v>
      </c>
      <c r="F17" s="221" t="str">
        <f>IF(('DebtSvs-Library'!$E$33)&lt;&gt;0,('DebtSvs-Library'!$E$33),"  ")</f>
        <v>  </v>
      </c>
      <c r="G17" s="221" t="str">
        <f>IF(('DebtSvs-Library'!$E$40)&lt;&gt;0,('DebtSvs-Library'!$E$40),"  ")</f>
        <v>  </v>
      </c>
      <c r="H17" s="722" t="str">
        <f>IF(('DebtSvs-Library'!E40&gt;0),ROUND(G17/$F$35*1000,3),"  ")</f>
        <v>  </v>
      </c>
    </row>
    <row r="18" spans="1:8" ht="15.75">
      <c r="A18" s="108" t="str">
        <f>IF((inputPrYr!$B19&gt;"  "),(inputPrYr!$B19),"  ")</f>
        <v>Library</v>
      </c>
      <c r="B18" s="221" t="str">
        <f>IF(('DebtSvs-Library'!$C$73)&lt;&gt;0,('DebtSvs-Library'!$C$73),"  ")</f>
        <v>  </v>
      </c>
      <c r="C18" s="722" t="str">
        <f>IF(inputPrYr!D49&gt;0,inputPrYr!D49,"  ")</f>
        <v>  </v>
      </c>
      <c r="D18" s="221" t="str">
        <f>IF(('DebtSvs-Library'!$D$73)&lt;&gt;0,('DebtSvs-Library'!$D$73),"  ")</f>
        <v>  </v>
      </c>
      <c r="E18" s="722" t="str">
        <f>IF(inputOth!D23&gt;0,inputOth!D23,"  ")</f>
        <v>  </v>
      </c>
      <c r="F18" s="221" t="str">
        <f>IF(('DebtSvs-Library'!$E$73)&lt;&gt;0,('DebtSvs-Library'!$E$73),"  ")</f>
        <v>  </v>
      </c>
      <c r="G18" s="221" t="str">
        <f>IF(('DebtSvs-Library'!$E$80)&lt;&gt;0,('DebtSvs-Library'!$E$80),"  ")</f>
        <v>  </v>
      </c>
      <c r="H18" s="722">
        <f>IF(('DebtSvs-Library'!E80&gt;0),ROUND(G18/$F$35*1000,3),"")</f>
      </c>
    </row>
    <row r="19" spans="1:8" ht="15.75">
      <c r="A19" s="108" t="str">
        <f>IF((inputPrYr!$B21&gt;"  "),(inputPrYr!$B21),"  ")</f>
        <v>  </v>
      </c>
      <c r="B19" s="221" t="str">
        <f>IF(('levy page9'!$C$33)&lt;&gt;0,('levy page9'!$C$33),"  ")</f>
        <v>  </v>
      </c>
      <c r="C19" s="722" t="str">
        <f>IF(inputPrYr!D50&gt;0,inputPrYr!D50,"  ")</f>
        <v>  </v>
      </c>
      <c r="D19" s="221" t="str">
        <f>IF(('levy page9'!$D$33)&lt;&gt;0,('levy page9'!$D$33),"  ")</f>
        <v>  </v>
      </c>
      <c r="E19" s="722" t="str">
        <f>IF(inputOth!D24&gt;0,inputOth!D24,"  ")</f>
        <v>  </v>
      </c>
      <c r="F19" s="221" t="str">
        <f>IF(('levy page9'!$E$33)&lt;&gt;0,('levy page9'!$E$33),"  ")</f>
        <v>  </v>
      </c>
      <c r="G19" s="221" t="str">
        <f>IF(('levy page9'!$E$40)&lt;&gt;0,('levy page9'!$E$40),"  ")</f>
        <v>  </v>
      </c>
      <c r="H19" s="722" t="str">
        <f>IF('levy page9'!E40&gt;0,ROUND(G19/$F$35*1000,3),"  ")</f>
        <v>  </v>
      </c>
    </row>
    <row r="20" spans="1:13" ht="15.75">
      <c r="A20" s="108" t="str">
        <f>IF((inputPrYr!$B22&gt;"  "),(inputPrYr!$B22),"  ")</f>
        <v>  </v>
      </c>
      <c r="B20" s="221" t="str">
        <f>IF(('levy page9'!$C$73)&lt;&gt;0,('levy page9'!$C$73),"  ")</f>
        <v>  </v>
      </c>
      <c r="C20" s="722" t="str">
        <f>IF(inputPrYr!D51&gt;0,inputPrYr!D51,"  ")</f>
        <v>  </v>
      </c>
      <c r="D20" s="221" t="str">
        <f>IF(('levy page9'!$D$73)&lt;&gt;0,('levy page9'!$D$73),"  ")</f>
        <v>  </v>
      </c>
      <c r="E20" s="722" t="str">
        <f>IF(inputOth!D25&gt;0,inputOth!D25,"  ")</f>
        <v>  </v>
      </c>
      <c r="F20" s="221" t="str">
        <f>IF(('levy page9'!$E$73)&lt;&gt;0,('levy page9'!$E$73),"  ")</f>
        <v>  </v>
      </c>
      <c r="G20" s="221" t="str">
        <f>IF(('levy page9'!$E$80)&lt;&gt;0,('levy page9'!$E$80),"  ")</f>
        <v>  </v>
      </c>
      <c r="H20" s="722" t="str">
        <f>IF('levy page9'!E80&gt;0,ROUND(G20/$F$35*1000,3),"  ")</f>
        <v>  </v>
      </c>
      <c r="J20" s="837" t="str">
        <f>CONCATENATE("Estimated Value Of One Mill For ",H1,"")</f>
        <v>Estimated Value Of One Mill For 2014</v>
      </c>
      <c r="K20" s="840"/>
      <c r="L20" s="840"/>
      <c r="M20" s="841"/>
    </row>
    <row r="21" spans="1:13" ht="15.75">
      <c r="A21" s="108" t="str">
        <f>IF((inputPrYr!$B23&gt;"  "),(inputPrYr!$B23),"  ")</f>
        <v>  </v>
      </c>
      <c r="B21" s="221" t="str">
        <f>IF(('levy page10'!$C$33)&lt;&gt;0,('levy page10'!$C$33),"  ")</f>
        <v>  </v>
      </c>
      <c r="C21" s="722" t="str">
        <f>IF(inputPrYr!D52&gt;0,inputPrYr!D52,"  ")</f>
        <v>  </v>
      </c>
      <c r="D21" s="221" t="str">
        <f>IF(('levy page10'!$D$33)&lt;&gt;0,('levy page10'!$D$33),"  ")</f>
        <v>  </v>
      </c>
      <c r="E21" s="722" t="str">
        <f>IF(inputOth!D26&gt;0,inputOth!D26,"  ")</f>
        <v>  </v>
      </c>
      <c r="F21" s="221" t="str">
        <f>IF(('levy page10'!$E$33)&lt;&gt;0,('levy page10'!$E$33),"  ")</f>
        <v>  </v>
      </c>
      <c r="G21" s="221" t="str">
        <f>IF(('levy page10'!$E$40)&lt;&gt;0,('levy page10'!$E$40),"  ")</f>
        <v>  </v>
      </c>
      <c r="H21" s="722" t="str">
        <f>IF('levy page10'!E40&gt;0,ROUND(G21/$F$35*1000,3),"  ")</f>
        <v>  </v>
      </c>
      <c r="J21" s="505"/>
      <c r="K21" s="506"/>
      <c r="L21" s="506"/>
      <c r="M21" s="507"/>
    </row>
    <row r="22" spans="1:13" ht="15.7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676</v>
      </c>
      <c r="K22" s="509"/>
      <c r="L22" s="509"/>
      <c r="M22" s="510">
        <f>ROUND(F35/1000,0)</f>
        <v>602</v>
      </c>
    </row>
    <row r="23" spans="1:8" ht="15.75">
      <c r="A23" s="108" t="str">
        <f>IF((inputPrYr!$B28&gt;"  "),(inputPrYr!$B28),"  ")</f>
        <v>Special Highway</v>
      </c>
      <c r="B23" s="221">
        <f>IF((SpecHwy!$C$24)&lt;&gt;0,(SpecHwy!$C$24),"  ")</f>
        <v>8341.58</v>
      </c>
      <c r="C23" s="187"/>
      <c r="D23" s="221">
        <f>IF((SpecHwy!$D$24)&lt;&gt;0,(SpecHwy!$D$24),"  ")</f>
        <v>6473</v>
      </c>
      <c r="E23" s="187"/>
      <c r="F23" s="221">
        <f>IF((SpecHwy!$E$24)&lt;&gt;0,(SpecHwy!$E$24),"  ")</f>
        <v>6000</v>
      </c>
      <c r="G23" s="187"/>
      <c r="H23" s="187"/>
    </row>
    <row r="24" spans="1:13" ht="15.75">
      <c r="A24" s="108" t="str">
        <f>IF((inputPrYr!$B29&gt;"  "),(inputPrYr!$B29),"  ")</f>
        <v>Water</v>
      </c>
      <c r="B24" s="221">
        <f>IF((SpecHwy!$C$60)&lt;&gt;0,(SpecHwy!$C$60),"  ")</f>
        <v>22913.11900000002</v>
      </c>
      <c r="C24" s="187"/>
      <c r="D24" s="221">
        <f>IF((SpecHwy!$D$60)&lt;&gt;0,(SpecHwy!$D$60),"  ")</f>
        <v>23800</v>
      </c>
      <c r="E24" s="187"/>
      <c r="F24" s="221">
        <f>IF((SpecHwy!$E$60)&lt;&gt;0,(SpecHwy!$E$60),"  ")</f>
        <v>51369</v>
      </c>
      <c r="G24" s="187"/>
      <c r="H24" s="187"/>
      <c r="J24" s="837" t="str">
        <f>CONCATENATE("Want The Mill Rate The Same As For ",H1-1,"?")</f>
        <v>Want The Mill Rate The Same As For 2013?</v>
      </c>
      <c r="K24" s="842"/>
      <c r="L24" s="842"/>
      <c r="M24" s="843"/>
    </row>
    <row r="25" spans="1:13" ht="15.75">
      <c r="A25" s="108" t="str">
        <f>IF((inputPrYr!$B30&gt;"  "),(inputPrYr!$B30),"  ")</f>
        <v>Sewer</v>
      </c>
      <c r="B25" s="221">
        <f>IF(('no levy page12'!$C$30)&lt;&gt;0,('no levy page12'!$C$30),"")</f>
        <v>8588.02</v>
      </c>
      <c r="C25" s="187"/>
      <c r="D25" s="221">
        <f>IF(('no levy page12'!$D$30)&lt;&gt;0,('no levy page12'!$D$30),"")</f>
        <v>9525</v>
      </c>
      <c r="E25" s="187"/>
      <c r="F25" s="221">
        <f>IF(('no levy page12'!$E$30)&lt;&gt;0,('no levy page12'!$E$30),"")</f>
        <v>12176</v>
      </c>
      <c r="G25" s="187"/>
      <c r="H25" s="187"/>
      <c r="J25" s="512"/>
      <c r="K25" s="506"/>
      <c r="L25" s="506"/>
      <c r="M25" s="513"/>
    </row>
    <row r="26" spans="1:13" ht="15.7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2" t="str">
        <f>CONCATENATE("",H1-1," Mill Rate Was:")</f>
        <v>2013 Mill Rate Was:</v>
      </c>
      <c r="K26" s="506"/>
      <c r="L26" s="506"/>
      <c r="M26" s="514">
        <f>E31</f>
        <v>36.92046</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5" t="str">
        <f>CONCATENATE("",H1," Tax Levy Fund Expenditures Must Be ")</f>
        <v>2014 Tax Levy Fund Expenditures Must Be </v>
      </c>
      <c r="K27" s="516"/>
      <c r="L27" s="516"/>
      <c r="M27" s="513"/>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5">
        <f>IF(M35&lt;0,"Increased By:","")</f>
      </c>
      <c r="K28" s="516"/>
      <c r="L28" s="516"/>
      <c r="M28" s="621">
        <f>IF(M35&lt;0,M35*-1,0)</f>
        <v>0</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7" t="str">
        <f>IF(M35&gt;0,"Reduced By:","")</f>
        <v>Reduced By:</v>
      </c>
      <c r="K29" s="518"/>
      <c r="L29" s="518"/>
      <c r="M29" s="622">
        <f>IF(M35&gt;0,M35*-1,0)</f>
        <v>-0.6500000000232831</v>
      </c>
    </row>
    <row r="30" spans="1:13" ht="15.75">
      <c r="A30" s="108" t="str">
        <f>IF((inputPrYr!$B38&gt;"  "),(nonbud!$A3),"  ")</f>
        <v>Non-Budgeted Funds</v>
      </c>
      <c r="B30" s="723">
        <f>IF((nonbud!$K$28)&lt;&gt;0,(nonbud!$K$28),"  ")</f>
        <v>3581.04</v>
      </c>
      <c r="C30" s="219"/>
      <c r="D30" s="723"/>
      <c r="E30" s="219"/>
      <c r="F30" s="723"/>
      <c r="G30" s="219"/>
      <c r="H30" s="219"/>
      <c r="J30" s="519"/>
      <c r="K30" s="519"/>
      <c r="L30" s="519"/>
      <c r="M30" s="519"/>
    </row>
    <row r="31" spans="1:13" ht="15.75">
      <c r="A31" s="5" t="s">
        <v>762</v>
      </c>
      <c r="B31" s="724">
        <f>SUM(B16:B30)</f>
        <v>81569.35900000003</v>
      </c>
      <c r="C31" s="725">
        <f>SUM(C16:C22)</f>
        <v>36.922</v>
      </c>
      <c r="D31" s="724">
        <f>SUM(D16:D30)</f>
        <v>107348</v>
      </c>
      <c r="E31" s="725">
        <f>SUM(E16:E22)</f>
        <v>36.92046</v>
      </c>
      <c r="F31" s="724">
        <f>SUM(F16:F30)</f>
        <v>176705</v>
      </c>
      <c r="G31" s="724">
        <f>SUM(G16:G22)</f>
        <v>22209.650000000023</v>
      </c>
      <c r="H31" s="725">
        <f>SUM(H16:H30)</f>
        <v>36.922</v>
      </c>
      <c r="J31" s="837" t="str">
        <f>CONCATENATE("Impact On Keeping The Same Mill Rate As For ",H1-1,"")</f>
        <v>Impact On Keeping The Same Mill Rate As For 2013</v>
      </c>
      <c r="K31" s="840"/>
      <c r="L31" s="840"/>
      <c r="M31" s="841"/>
    </row>
    <row r="32" spans="1:13" ht="15.75">
      <c r="A32" s="8" t="s">
        <v>187</v>
      </c>
      <c r="B32" s="726">
        <f>Transfers!$C$15</f>
        <v>0</v>
      </c>
      <c r="C32" s="727"/>
      <c r="D32" s="726">
        <f>Transfers!$D$15</f>
        <v>0</v>
      </c>
      <c r="E32" s="728"/>
      <c r="F32" s="726">
        <f>Transfers!$E$15</f>
        <v>0</v>
      </c>
      <c r="G32" s="645"/>
      <c r="H32" s="729"/>
      <c r="I32" s="464"/>
      <c r="J32" s="512"/>
      <c r="K32" s="506"/>
      <c r="L32" s="506"/>
      <c r="M32" s="513"/>
    </row>
    <row r="33" spans="1:13" ht="16.5" thickBot="1">
      <c r="A33" s="49" t="s">
        <v>188</v>
      </c>
      <c r="B33" s="730">
        <f>B31-B32</f>
        <v>81569.35900000003</v>
      </c>
      <c r="C33" s="64"/>
      <c r="D33" s="730">
        <f>D31-D32</f>
        <v>107348</v>
      </c>
      <c r="E33" s="64"/>
      <c r="F33" s="730">
        <f>F31-F32</f>
        <v>176705</v>
      </c>
      <c r="G33" s="64"/>
      <c r="H33" s="64"/>
      <c r="J33" s="512" t="str">
        <f>CONCATENATE("",H1," Ad Valorem Tax Revenue:")</f>
        <v>2014 Ad Valorem Tax Revenue:</v>
      </c>
      <c r="K33" s="506"/>
      <c r="L33" s="506"/>
      <c r="M33" s="507">
        <f>G31</f>
        <v>22209.650000000023</v>
      </c>
    </row>
    <row r="34" spans="1:13" ht="16.5" thickTop="1">
      <c r="A34" s="8" t="s">
        <v>189</v>
      </c>
      <c r="B34" s="726">
        <f>inputPrYr!E56</f>
        <v>26411</v>
      </c>
      <c r="C34" s="731"/>
      <c r="D34" s="726">
        <f>inputPrYr!E25</f>
        <v>27354</v>
      </c>
      <c r="E34" s="732"/>
      <c r="F34" s="733" t="s">
        <v>153</v>
      </c>
      <c r="G34" s="734"/>
      <c r="H34" s="734"/>
      <c r="J34" s="512" t="str">
        <f>CONCATENATE("",H1-1," Ad Valorem Tax Revenue:")</f>
        <v>2013 Ad Valorem Tax Revenue:</v>
      </c>
      <c r="K34" s="506"/>
      <c r="L34" s="506"/>
      <c r="M34" s="520">
        <f>ROUND(F35*M26/1000,0)</f>
        <v>22209</v>
      </c>
    </row>
    <row r="35" spans="1:13" ht="15.75">
      <c r="A35" s="8" t="s">
        <v>190</v>
      </c>
      <c r="B35" s="221">
        <f>inputPrYr!E57</f>
        <v>715316</v>
      </c>
      <c r="C35" s="243"/>
      <c r="D35" s="221">
        <f>inputOth!E30</f>
        <v>0</v>
      </c>
      <c r="E35" s="220"/>
      <c r="F35" s="221">
        <f>inputOth!E7</f>
        <v>601528</v>
      </c>
      <c r="G35" s="734"/>
      <c r="H35" s="734"/>
      <c r="J35" s="517" t="s">
        <v>678</v>
      </c>
      <c r="K35" s="518"/>
      <c r="L35" s="518"/>
      <c r="M35" s="510">
        <f>M33-M34</f>
        <v>0.6500000000232831</v>
      </c>
    </row>
    <row r="36" spans="1:13" ht="15.75">
      <c r="A36" s="588"/>
      <c r="B36" s="645"/>
      <c r="C36" s="644"/>
      <c r="D36" s="645"/>
      <c r="E36" s="644"/>
      <c r="F36" s="342"/>
      <c r="G36" s="644"/>
      <c r="H36" s="735"/>
      <c r="I36" s="503"/>
      <c r="J36" s="511"/>
      <c r="K36" s="511"/>
      <c r="L36" s="511"/>
      <c r="M36" s="519"/>
    </row>
    <row r="37" spans="1:13" ht="15.75">
      <c r="A37" s="8" t="s">
        <v>191</v>
      </c>
      <c r="B37" s="645"/>
      <c r="C37" s="644"/>
      <c r="D37" s="645"/>
      <c r="E37" s="644"/>
      <c r="F37" s="645"/>
      <c r="G37" s="734"/>
      <c r="H37" s="734"/>
      <c r="J37" s="837" t="s">
        <v>738</v>
      </c>
      <c r="K37" s="838"/>
      <c r="L37" s="838"/>
      <c r="M37" s="839"/>
    </row>
    <row r="38" spans="1:13" ht="15.75">
      <c r="A38" s="8" t="s">
        <v>192</v>
      </c>
      <c r="B38" s="736">
        <f>$H$1-3</f>
        <v>2011</v>
      </c>
      <c r="C38" s="64"/>
      <c r="D38" s="736">
        <f>$H$1-2</f>
        <v>2012</v>
      </c>
      <c r="E38" s="64"/>
      <c r="F38" s="736">
        <f>$H$1-1</f>
        <v>2013</v>
      </c>
      <c r="G38" s="64"/>
      <c r="H38" s="64"/>
      <c r="J38" s="512"/>
      <c r="K38" s="506"/>
      <c r="L38" s="506"/>
      <c r="M38" s="513"/>
    </row>
    <row r="39" spans="1:13" ht="15.75">
      <c r="A39" s="8" t="s">
        <v>193</v>
      </c>
      <c r="B39" s="221">
        <f>inputPrYr!D60</f>
        <v>0</v>
      </c>
      <c r="C39" s="64"/>
      <c r="D39" s="221">
        <f>inputPrYr!E60</f>
        <v>0</v>
      </c>
      <c r="E39" s="64"/>
      <c r="F39" s="221">
        <f>debt!G15</f>
        <v>201000</v>
      </c>
      <c r="G39" s="64"/>
      <c r="H39" s="64"/>
      <c r="J39" s="512" t="str">
        <f>CONCATENATE("Current ",H1," Estimated Mill Rate:")</f>
        <v>Current 2014 Estimated Mill Rate:</v>
      </c>
      <c r="K39" s="506"/>
      <c r="L39" s="506"/>
      <c r="M39" s="514">
        <f>H31</f>
        <v>36.922</v>
      </c>
    </row>
    <row r="40" spans="1:13" ht="15.75">
      <c r="A40" s="8" t="s">
        <v>194</v>
      </c>
      <c r="B40" s="221">
        <f>inputPrYr!D61</f>
        <v>0</v>
      </c>
      <c r="C40" s="64"/>
      <c r="D40" s="221">
        <f>inputPrYr!E61</f>
        <v>0</v>
      </c>
      <c r="E40" s="64"/>
      <c r="F40" s="221">
        <f>debt!G22</f>
        <v>0</v>
      </c>
      <c r="G40" s="64"/>
      <c r="H40" s="64"/>
      <c r="J40" s="512" t="str">
        <f>CONCATENATE("Desired ",H1," Mill Rate:")</f>
        <v>Desired 2014 Mill Rate:</v>
      </c>
      <c r="K40" s="506"/>
      <c r="L40" s="506"/>
      <c r="M40" s="504">
        <v>36.922</v>
      </c>
    </row>
    <row r="41" spans="1:13" ht="15.75">
      <c r="A41" s="24" t="s">
        <v>213</v>
      </c>
      <c r="B41" s="221">
        <f>inputPrYr!D62</f>
        <v>100000</v>
      </c>
      <c r="C41" s="64"/>
      <c r="D41" s="221">
        <f>inputPrYr!E62</f>
        <v>100000</v>
      </c>
      <c r="E41" s="64"/>
      <c r="F41" s="737">
        <f>debt!G30</f>
        <v>0</v>
      </c>
      <c r="G41" s="64"/>
      <c r="H41" s="64"/>
      <c r="J41" s="512" t="str">
        <f>CONCATENATE("",H1," Ad Valorem Tax:")</f>
        <v>2014 Ad Valorem Tax:</v>
      </c>
      <c r="K41" s="506"/>
      <c r="L41" s="506"/>
      <c r="M41" s="520">
        <f>ROUND(F35*M40/1000,0)</f>
        <v>22210</v>
      </c>
    </row>
    <row r="42" spans="1:13" ht="15.75">
      <c r="A42" s="8" t="s">
        <v>294</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0.34999999997671694</v>
      </c>
    </row>
    <row r="43" spans="1:8" ht="16.5" thickBot="1">
      <c r="A43" s="8" t="s">
        <v>195</v>
      </c>
      <c r="B43" s="730">
        <f>SUM(B39:B42)</f>
        <v>100000</v>
      </c>
      <c r="C43" s="64"/>
      <c r="D43" s="730">
        <f>SUM(D39:D42)</f>
        <v>100000</v>
      </c>
      <c r="E43" s="64"/>
      <c r="F43" s="730">
        <f>SUM(F39:F42)</f>
        <v>201000</v>
      </c>
      <c r="G43" s="64"/>
      <c r="H43" s="64"/>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44" t="str">
        <f>inputBudSum!B3</f>
        <v>Carla Wiedmer</v>
      </c>
      <c r="B47" s="845"/>
      <c r="C47" s="491"/>
      <c r="D47" s="7"/>
      <c r="E47" s="7"/>
      <c r="F47" s="7"/>
      <c r="G47" s="7"/>
      <c r="H47" s="7"/>
    </row>
    <row r="48" spans="1:8" ht="15.75">
      <c r="A48" s="69" t="str">
        <f>CONCATENATE("City Official Title: ",inputBudSum!B5,"")</f>
        <v>City Official Title: Green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197</v>
      </c>
      <c r="D51" s="297"/>
      <c r="E51" s="7"/>
      <c r="F51" s="7"/>
      <c r="G51" s="7"/>
      <c r="H51" s="7"/>
    </row>
    <row r="52" spans="1:8" ht="15.75">
      <c r="A52" s="1"/>
      <c r="B52" s="1"/>
      <c r="C52" s="1"/>
      <c r="D52" s="1"/>
      <c r="E52" s="1"/>
      <c r="F52" s="1"/>
      <c r="G52" s="1"/>
      <c r="H52" s="1"/>
    </row>
    <row r="53" spans="9:13" ht="15.75">
      <c r="I53" s="1"/>
      <c r="J53" s="1"/>
      <c r="K53" s="1"/>
      <c r="L53" s="1"/>
      <c r="M53" s="1"/>
    </row>
    <row r="57" ht="15.75">
      <c r="K57" s="70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Green</v>
      </c>
      <c r="B1" s="4"/>
      <c r="C1" s="4"/>
      <c r="D1" s="4"/>
      <c r="E1" s="4"/>
      <c r="F1" s="4">
        <f>inputPrYr!C5</f>
        <v>2014</v>
      </c>
    </row>
    <row r="2" spans="1:6" ht="15.75">
      <c r="A2" s="42"/>
      <c r="B2" s="4"/>
      <c r="C2" s="4"/>
      <c r="D2" s="4"/>
      <c r="E2" s="4"/>
      <c r="F2" s="4"/>
    </row>
    <row r="3" spans="1:6" ht="15.75">
      <c r="A3" s="4"/>
      <c r="B3" s="4"/>
      <c r="C3" s="4"/>
      <c r="D3" s="4"/>
      <c r="E3" s="4"/>
      <c r="F3" s="4"/>
    </row>
    <row r="4" spans="1:6" ht="15.75">
      <c r="A4" s="7"/>
      <c r="B4" s="846" t="str">
        <f>CONCATENATE("",F1," Neighborhood Revitalization Rebate")</f>
        <v>2014 Neighborhood Revitalization Rebate</v>
      </c>
      <c r="C4" s="847"/>
      <c r="D4" s="847"/>
      <c r="E4" s="848"/>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1" t="str">
        <f>CONCATENATE("",F1-1," July 1 Valuation:")</f>
        <v>2013 July 1 Valuation:</v>
      </c>
      <c r="B17" s="850"/>
      <c r="C17" s="851"/>
      <c r="D17" s="37">
        <f>inputOth!E7</f>
        <v>601528</v>
      </c>
      <c r="E17" s="7"/>
      <c r="F17" s="4"/>
    </row>
    <row r="18" spans="1:6" ht="15.75">
      <c r="A18" s="7"/>
      <c r="B18" s="7"/>
      <c r="C18" s="7"/>
      <c r="D18" s="7"/>
      <c r="E18" s="7"/>
      <c r="F18" s="4"/>
    </row>
    <row r="19" spans="1:6" ht="15.75">
      <c r="A19" s="7"/>
      <c r="B19" s="851" t="s">
        <v>351</v>
      </c>
      <c r="C19" s="851"/>
      <c r="D19" s="43">
        <f>IF(D17&gt;0,(D17*0.001),"")</f>
        <v>601.528</v>
      </c>
      <c r="E19" s="7"/>
      <c r="F19" s="4"/>
    </row>
    <row r="20" spans="1:6" ht="15.75">
      <c r="A20" s="7"/>
      <c r="B20" s="15"/>
      <c r="C20" s="15"/>
      <c r="D20" s="44"/>
      <c r="E20" s="7"/>
      <c r="F20" s="4"/>
    </row>
    <row r="21" spans="1:6" ht="15.75">
      <c r="A21" s="849" t="s">
        <v>352</v>
      </c>
      <c r="B21" s="848"/>
      <c r="C21" s="848"/>
      <c r="D21" s="45">
        <f>inputOth!E17</f>
        <v>75428</v>
      </c>
      <c r="E21" s="26"/>
      <c r="F21" s="26"/>
    </row>
    <row r="22" spans="1:6" ht="15">
      <c r="A22" s="26"/>
      <c r="B22" s="26"/>
      <c r="C22" s="26"/>
      <c r="D22" s="46"/>
      <c r="E22" s="26"/>
      <c r="F22" s="26"/>
    </row>
    <row r="23" spans="1:6" ht="15.75">
      <c r="A23" s="26"/>
      <c r="B23" s="849" t="s">
        <v>353</v>
      </c>
      <c r="C23" s="850"/>
      <c r="D23" s="47">
        <f>IF(D21&gt;0,(D21*0.001),"")</f>
        <v>75.428</v>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635</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2" t="s">
        <v>300</v>
      </c>
      <c r="B1" s="852"/>
      <c r="C1" s="852"/>
      <c r="D1" s="852"/>
      <c r="E1" s="852"/>
      <c r="F1" s="852"/>
      <c r="G1" s="852"/>
    </row>
    <row r="2" spans="1:7" ht="16.5" customHeight="1">
      <c r="A2" s="852"/>
      <c r="B2" s="852"/>
      <c r="C2" s="852"/>
      <c r="D2" s="852"/>
      <c r="E2" s="852"/>
      <c r="F2" s="852"/>
      <c r="G2" s="852"/>
    </row>
    <row r="3" spans="1:7" ht="16.5" customHeight="1">
      <c r="A3" s="853"/>
      <c r="B3" s="853"/>
      <c r="C3" s="853"/>
      <c r="D3" s="853"/>
      <c r="E3" s="853"/>
      <c r="F3" s="853"/>
      <c r="G3" s="853"/>
    </row>
    <row r="4" spans="1:7" ht="16.5" customHeight="1">
      <c r="A4" s="854" t="str">
        <f>CONCATENATE("AN ORDINANCE ATTESTING TO AN INCREASE IN TAX REVENUES FOR BUDGET YEAR ",(inputPrYr!$C$5)," FOR THE ",(inputPrYr!$D$2))</f>
        <v>AN ORDINANCE ATTESTING TO AN INCREASE IN TAX REVENUES FOR BUDGET YEAR 2014 FOR THE City of Green</v>
      </c>
      <c r="B4" s="854"/>
      <c r="C4" s="854"/>
      <c r="D4" s="854"/>
      <c r="E4" s="854"/>
      <c r="F4" s="854"/>
      <c r="G4" s="854"/>
    </row>
    <row r="5" spans="1:7" ht="16.5" customHeight="1">
      <c r="A5" s="854"/>
      <c r="B5" s="854"/>
      <c r="C5" s="854"/>
      <c r="D5" s="854"/>
      <c r="E5" s="854"/>
      <c r="F5" s="854"/>
      <c r="G5" s="854"/>
    </row>
    <row r="6" spans="1:7" ht="16.5" customHeight="1">
      <c r="A6" s="852"/>
      <c r="B6" s="852"/>
      <c r="C6" s="852"/>
      <c r="D6" s="852"/>
      <c r="E6" s="852"/>
      <c r="F6" s="852"/>
      <c r="G6" s="852"/>
    </row>
    <row r="7" spans="1:14" ht="16.5" customHeight="1">
      <c r="A7" s="854" t="str">
        <f>CONCATENATE("WHEREAS, the  ",(inputPrYr!$D$2)," must continue to provide services to protect the health, safety, and welfare of the citizens of this community; and")</f>
        <v>WHEREAS, the  City of Green must continue to provide services to protect the health, safety, and welfare of the citizens of this community; and</v>
      </c>
      <c r="B7" s="854"/>
      <c r="C7" s="854"/>
      <c r="D7" s="854"/>
      <c r="E7" s="854"/>
      <c r="F7" s="854"/>
      <c r="G7" s="854"/>
      <c r="H7" s="22"/>
      <c r="I7" s="22"/>
      <c r="J7" s="22"/>
      <c r="K7" s="22"/>
      <c r="L7" s="22"/>
      <c r="M7" s="22"/>
      <c r="N7" s="22"/>
    </row>
    <row r="8" spans="1:14" ht="16.5" customHeight="1">
      <c r="A8" s="854"/>
      <c r="B8" s="854"/>
      <c r="C8" s="854"/>
      <c r="D8" s="854"/>
      <c r="E8" s="854"/>
      <c r="F8" s="854"/>
      <c r="G8" s="854"/>
      <c r="H8" s="22"/>
      <c r="I8" s="22"/>
      <c r="J8" s="22"/>
      <c r="K8" s="22"/>
      <c r="L8" s="22"/>
      <c r="M8" s="22"/>
      <c r="N8" s="22"/>
    </row>
    <row r="9" spans="1:7" ht="16.5" customHeight="1">
      <c r="A9" s="31"/>
      <c r="B9" s="31"/>
      <c r="C9" s="31"/>
      <c r="D9" s="31"/>
      <c r="E9" s="31"/>
      <c r="F9" s="31"/>
      <c r="G9" s="31"/>
    </row>
    <row r="10" spans="1:7" ht="16.5" customHeight="1">
      <c r="A10" s="854" t="s">
        <v>301</v>
      </c>
      <c r="B10" s="854"/>
      <c r="C10" s="854"/>
      <c r="D10" s="854"/>
      <c r="E10" s="854"/>
      <c r="F10" s="854"/>
      <c r="G10" s="854"/>
    </row>
    <row r="11" spans="1:7" ht="16.5" customHeight="1">
      <c r="A11" s="854"/>
      <c r="B11" s="854"/>
      <c r="C11" s="854"/>
      <c r="D11" s="854"/>
      <c r="E11" s="854"/>
      <c r="F11" s="854"/>
      <c r="G11" s="854"/>
    </row>
    <row r="12" spans="1:7" ht="16.5" customHeight="1">
      <c r="A12" s="31"/>
      <c r="B12" s="31"/>
      <c r="C12" s="31"/>
      <c r="D12" s="31"/>
      <c r="E12" s="31"/>
      <c r="F12" s="31"/>
      <c r="G12" s="31"/>
    </row>
    <row r="13" spans="1:14" ht="16.5" customHeight="1">
      <c r="A13" s="854" t="str">
        <f>CONCATENATE("NOW THEREFORE, be it ordained by the Governing Body of the ",(inputPrYr!$D$2),":")</f>
        <v>NOW THEREFORE, be it ordained by the Governing Body of the City of Green:</v>
      </c>
      <c r="B13" s="854"/>
      <c r="C13" s="854"/>
      <c r="D13" s="854"/>
      <c r="E13" s="854"/>
      <c r="F13" s="854"/>
      <c r="G13" s="854"/>
      <c r="H13" s="22"/>
      <c r="I13" s="22"/>
      <c r="J13" s="22"/>
      <c r="K13" s="22"/>
      <c r="L13" s="22"/>
      <c r="M13" s="22"/>
      <c r="N13" s="22"/>
    </row>
    <row r="14" spans="1:14" ht="16.5" customHeight="1">
      <c r="A14" s="854"/>
      <c r="B14" s="854"/>
      <c r="C14" s="854"/>
      <c r="D14" s="854"/>
      <c r="E14" s="854"/>
      <c r="F14" s="854"/>
      <c r="G14" s="854"/>
      <c r="H14" s="22"/>
      <c r="I14" s="22"/>
      <c r="J14" s="22"/>
      <c r="K14" s="22"/>
      <c r="L14" s="22"/>
      <c r="M14" s="22"/>
      <c r="N14" s="22"/>
    </row>
    <row r="15" spans="1:14" ht="16.5" customHeight="1">
      <c r="A15" s="85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Green  has scheduled a public hearing and has prepared the proposed budget necessary to fund city services from January 1, 2014 until December 31, 2014.</v>
      </c>
      <c r="B15" s="854"/>
      <c r="C15" s="854"/>
      <c r="D15" s="854"/>
      <c r="E15" s="854"/>
      <c r="F15" s="854"/>
      <c r="G15" s="854"/>
      <c r="H15" s="22"/>
      <c r="I15" s="22"/>
      <c r="J15" s="22"/>
      <c r="K15" s="22"/>
      <c r="L15" s="22"/>
      <c r="M15" s="22"/>
      <c r="N15" s="22"/>
    </row>
    <row r="16" spans="1:14" ht="16.5" customHeight="1">
      <c r="A16" s="854"/>
      <c r="B16" s="854"/>
      <c r="C16" s="854"/>
      <c r="D16" s="854"/>
      <c r="E16" s="854"/>
      <c r="F16" s="854"/>
      <c r="G16" s="854"/>
      <c r="H16" s="22"/>
      <c r="I16" s="22"/>
      <c r="J16" s="22"/>
      <c r="K16" s="22"/>
      <c r="L16" s="22"/>
      <c r="M16" s="22"/>
      <c r="N16" s="22"/>
    </row>
    <row r="17" spans="1:14" ht="16.5" customHeight="1">
      <c r="A17" s="854"/>
      <c r="B17" s="854"/>
      <c r="C17" s="854"/>
      <c r="D17" s="854"/>
      <c r="E17" s="854"/>
      <c r="F17" s="854"/>
      <c r="G17" s="854"/>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4" t="s">
        <v>302</v>
      </c>
      <c r="B24" s="854"/>
      <c r="C24" s="854"/>
      <c r="D24" s="854"/>
      <c r="E24" s="854"/>
      <c r="F24" s="854"/>
      <c r="G24" s="854"/>
    </row>
    <row r="25" spans="1:7" ht="16.5" customHeight="1">
      <c r="A25" s="854"/>
      <c r="B25" s="854"/>
      <c r="C25" s="854"/>
      <c r="D25" s="854"/>
      <c r="E25" s="854"/>
      <c r="F25" s="854"/>
      <c r="G25" s="854"/>
    </row>
    <row r="26" spans="1:7" ht="16.5" customHeight="1">
      <c r="A26" s="32"/>
      <c r="B26" s="32"/>
      <c r="C26" s="32"/>
      <c r="D26" s="32"/>
      <c r="E26" s="32"/>
      <c r="F26" s="32"/>
      <c r="G26" s="32"/>
    </row>
    <row r="27" spans="1:7" ht="16.5" customHeight="1">
      <c r="A27" s="854" t="str">
        <f>CONCATENATE("Passed and approved by the Governing Body on this ______ day of __________, ",(inputPrYr!$C$5-1),".")</f>
        <v>Passed and approved by the Governing Body on this ______ day of __________, 2013.</v>
      </c>
      <c r="B27" s="854"/>
      <c r="C27" s="854"/>
      <c r="D27" s="854"/>
      <c r="E27" s="854"/>
      <c r="F27" s="854"/>
      <c r="G27" s="854"/>
    </row>
    <row r="28" spans="1:7" ht="16.5" customHeight="1">
      <c r="A28" s="854"/>
      <c r="B28" s="854"/>
      <c r="C28" s="854"/>
      <c r="D28" s="854"/>
      <c r="E28" s="854"/>
      <c r="F28" s="854"/>
      <c r="G28" s="854"/>
    </row>
    <row r="29" spans="1:7" ht="16.5" customHeight="1">
      <c r="A29" s="34"/>
      <c r="B29" s="1"/>
      <c r="C29" s="1"/>
      <c r="D29" s="1"/>
      <c r="E29" s="1"/>
      <c r="F29" s="1"/>
      <c r="G29" s="1"/>
    </row>
    <row r="30" spans="1:7" ht="16.5" customHeight="1">
      <c r="A30" s="855" t="s">
        <v>303</v>
      </c>
      <c r="B30" s="855"/>
      <c r="C30" s="855"/>
      <c r="D30" s="855"/>
      <c r="E30" s="855"/>
      <c r="F30" s="855"/>
      <c r="G30" s="855"/>
    </row>
    <row r="31" spans="1:7" ht="16.5" customHeight="1">
      <c r="A31" s="855" t="s">
        <v>304</v>
      </c>
      <c r="B31" s="855"/>
      <c r="C31" s="855"/>
      <c r="D31" s="855"/>
      <c r="E31" s="855"/>
      <c r="F31" s="855"/>
      <c r="G31" s="855"/>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21">
      <selection activeCell="A77" sqref="A77"/>
    </sheetView>
  </sheetViews>
  <sheetFormatPr defaultColWidth="8.796875" defaultRowHeight="15"/>
  <cols>
    <col min="1" max="1" width="71.296875" style="0" customWidth="1"/>
  </cols>
  <sheetData>
    <row r="3" spans="1:12" ht="15">
      <c r="A3" s="385" t="s">
        <v>469</v>
      </c>
      <c r="B3" s="385"/>
      <c r="C3" s="385"/>
      <c r="D3" s="385"/>
      <c r="E3" s="385"/>
      <c r="F3" s="385"/>
      <c r="G3" s="385"/>
      <c r="H3" s="385"/>
      <c r="I3" s="385"/>
      <c r="J3" s="385"/>
      <c r="K3" s="385"/>
      <c r="L3" s="385"/>
    </row>
    <row r="5" ht="15">
      <c r="A5" s="384" t="s">
        <v>470</v>
      </c>
    </row>
    <row r="6" ht="15">
      <c r="A6" s="384" t="str">
        <f>CONCATENATE(inputPrYr!C5-2," 'total expenditures' exceed your ",inputPrYr!C5-2," 'budget authority.'")</f>
        <v>2012 'total expenditures' exceed your 2012 'budget authority.'</v>
      </c>
    </row>
    <row r="7" ht="15">
      <c r="A7" s="384"/>
    </row>
    <row r="8" ht="15">
      <c r="A8" s="384" t="s">
        <v>471</v>
      </c>
    </row>
    <row r="9" ht="15">
      <c r="A9" s="384" t="s">
        <v>472</v>
      </c>
    </row>
    <row r="10" ht="15">
      <c r="A10" s="384" t="s">
        <v>473</v>
      </c>
    </row>
    <row r="11" ht="15">
      <c r="A11" s="384"/>
    </row>
    <row r="12" ht="15">
      <c r="A12" s="384"/>
    </row>
    <row r="13" ht="15">
      <c r="A13" s="383" t="s">
        <v>474</v>
      </c>
    </row>
    <row r="15" ht="15">
      <c r="A15" s="384" t="s">
        <v>475</v>
      </c>
    </row>
    <row r="16" ht="15">
      <c r="A16" s="384" t="str">
        <f>CONCATENATE("(i.e. an audit has not been completed, or the ",inputPrYr!C5," adopted")</f>
        <v>(i.e. an audit has not been completed, or the 2014 adopted</v>
      </c>
    </row>
    <row r="17" ht="15">
      <c r="A17" s="384" t="s">
        <v>476</v>
      </c>
    </row>
    <row r="18" ht="15">
      <c r="A18" s="384" t="s">
        <v>477</v>
      </c>
    </row>
    <row r="19" ht="15">
      <c r="A19" s="384" t="s">
        <v>478</v>
      </c>
    </row>
    <row r="21" ht="15">
      <c r="A21" s="383" t="s">
        <v>479</v>
      </c>
    </row>
    <row r="22" ht="15">
      <c r="A22" s="383"/>
    </row>
    <row r="23" ht="15">
      <c r="A23" s="384" t="s">
        <v>480</v>
      </c>
    </row>
    <row r="24" ht="15">
      <c r="A24" s="384" t="s">
        <v>481</v>
      </c>
    </row>
    <row r="25" ht="15">
      <c r="A25" s="384" t="str">
        <f>CONCATENATE("particular fund.  If your ",inputPrYr!C5-2," budget was amended, did you")</f>
        <v>particular fund.  If your 2012 budget was amended, did you</v>
      </c>
    </row>
    <row r="26" ht="15">
      <c r="A26" s="384" t="s">
        <v>482</v>
      </c>
    </row>
    <row r="27" ht="15">
      <c r="A27" s="384"/>
    </row>
    <row r="28" ht="15">
      <c r="A28" s="384" t="str">
        <f>CONCATENATE("Next, look to see if any of your ",inputPrYr!C5-2," expenditures can be")</f>
        <v>Next, look to see if any of your 2012 expenditures can be</v>
      </c>
    </row>
    <row r="29" ht="15">
      <c r="A29" s="384" t="s">
        <v>483</v>
      </c>
    </row>
    <row r="30" ht="15">
      <c r="A30" s="384" t="s">
        <v>484</v>
      </c>
    </row>
    <row r="31" ht="15">
      <c r="A31" s="384" t="s">
        <v>485</v>
      </c>
    </row>
    <row r="32" ht="15">
      <c r="A32" s="384"/>
    </row>
    <row r="33" ht="15">
      <c r="A33" s="384" t="str">
        <f>CONCATENATE("Additionally, do your ",inputPrYr!C5-2," receipts contain a reimbursement")</f>
        <v>Additionally, do your 2012 receipts contain a reimbursement</v>
      </c>
    </row>
    <row r="34" ht="15">
      <c r="A34" s="384" t="s">
        <v>486</v>
      </c>
    </row>
    <row r="35" ht="15">
      <c r="A35" s="384" t="s">
        <v>487</v>
      </c>
    </row>
    <row r="36" ht="15">
      <c r="A36" s="384"/>
    </row>
    <row r="37" ht="15">
      <c r="A37" s="384" t="s">
        <v>488</v>
      </c>
    </row>
    <row r="38" ht="15">
      <c r="A38" s="384" t="s">
        <v>489</v>
      </c>
    </row>
    <row r="39" ht="15">
      <c r="A39" s="384" t="s">
        <v>490</v>
      </c>
    </row>
    <row r="40" ht="15">
      <c r="A40" s="384" t="s">
        <v>491</v>
      </c>
    </row>
    <row r="41" ht="15">
      <c r="A41" s="384" t="s">
        <v>492</v>
      </c>
    </row>
    <row r="42" ht="15">
      <c r="A42" s="384" t="s">
        <v>493</v>
      </c>
    </row>
    <row r="43" ht="15">
      <c r="A43" s="384" t="s">
        <v>494</v>
      </c>
    </row>
    <row r="44" ht="15">
      <c r="A44" s="384" t="s">
        <v>495</v>
      </c>
    </row>
    <row r="45" ht="15">
      <c r="A45" s="384"/>
    </row>
    <row r="46" ht="15">
      <c r="A46" s="384" t="s">
        <v>496</v>
      </c>
    </row>
    <row r="47" ht="15">
      <c r="A47" s="384" t="s">
        <v>497</v>
      </c>
    </row>
    <row r="48" ht="15">
      <c r="A48" s="384" t="s">
        <v>498</v>
      </c>
    </row>
    <row r="49" ht="15">
      <c r="A49" s="384"/>
    </row>
    <row r="50" ht="15">
      <c r="A50" s="384" t="s">
        <v>499</v>
      </c>
    </row>
    <row r="51" ht="15">
      <c r="A51" s="384" t="s">
        <v>500</v>
      </c>
    </row>
    <row r="52" ht="15">
      <c r="A52" s="384" t="s">
        <v>501</v>
      </c>
    </row>
    <row r="53" ht="15">
      <c r="A53" s="384"/>
    </row>
    <row r="54" ht="15">
      <c r="A54" s="383" t="s">
        <v>502</v>
      </c>
    </row>
    <row r="55" ht="15">
      <c r="A55" s="384"/>
    </row>
    <row r="56" ht="15">
      <c r="A56" s="384" t="s">
        <v>503</v>
      </c>
    </row>
    <row r="57" ht="15">
      <c r="A57" s="384" t="s">
        <v>504</v>
      </c>
    </row>
    <row r="58" ht="15">
      <c r="A58" s="384" t="s">
        <v>505</v>
      </c>
    </row>
    <row r="59" ht="15">
      <c r="A59" s="384" t="s">
        <v>506</v>
      </c>
    </row>
    <row r="60" ht="15">
      <c r="A60" s="384" t="s">
        <v>507</v>
      </c>
    </row>
    <row r="61" ht="15">
      <c r="A61" s="384" t="s">
        <v>508</v>
      </c>
    </row>
    <row r="62" ht="15">
      <c r="A62" s="384" t="s">
        <v>509</v>
      </c>
    </row>
    <row r="63" ht="15">
      <c r="A63" s="384" t="s">
        <v>510</v>
      </c>
    </row>
    <row r="64" ht="15">
      <c r="A64" s="384" t="s">
        <v>511</v>
      </c>
    </row>
    <row r="65" ht="15">
      <c r="A65" s="384" t="s">
        <v>512</v>
      </c>
    </row>
    <row r="66" ht="15">
      <c r="A66" s="384" t="s">
        <v>513</v>
      </c>
    </row>
    <row r="67" ht="15">
      <c r="A67" s="384" t="s">
        <v>514</v>
      </c>
    </row>
    <row r="68" ht="15">
      <c r="A68" s="384" t="s">
        <v>515</v>
      </c>
    </row>
    <row r="69" ht="15">
      <c r="A69" s="384"/>
    </row>
    <row r="70" ht="15">
      <c r="A70" s="384" t="s">
        <v>516</v>
      </c>
    </row>
    <row r="71" ht="15">
      <c r="A71" s="384" t="s">
        <v>517</v>
      </c>
    </row>
    <row r="72" ht="15">
      <c r="A72" s="384" t="s">
        <v>518</v>
      </c>
    </row>
    <row r="73" ht="15">
      <c r="A73" s="384"/>
    </row>
    <row r="74" ht="15">
      <c r="A74" s="383" t="str">
        <f>CONCATENATE("What if the ",inputPrYr!C5-2," financial records have been closed?")</f>
        <v>What if the 2012 financial records have been closed?</v>
      </c>
    </row>
    <row r="76" ht="15">
      <c r="A76" s="384" t="s">
        <v>519</v>
      </c>
    </row>
    <row r="77" ht="15">
      <c r="A77" s="384" t="str">
        <f>CONCATENATE("(i.e. an audit for ",inputPrYr!C5-2," has been completed, or the ",inputPrYr!C5)</f>
        <v>(i.e. an audit for 2012 has been completed, or the 2014</v>
      </c>
    </row>
    <row r="78" ht="15">
      <c r="A78" s="384" t="s">
        <v>520</v>
      </c>
    </row>
    <row r="79" ht="15">
      <c r="A79" s="384" t="s">
        <v>521</v>
      </c>
    </row>
    <row r="80" ht="15">
      <c r="A80" s="384"/>
    </row>
    <row r="81" ht="15">
      <c r="A81" s="384" t="s">
        <v>522</v>
      </c>
    </row>
    <row r="82" ht="15">
      <c r="A82" s="384" t="s">
        <v>523</v>
      </c>
    </row>
    <row r="83" ht="15">
      <c r="A83" s="384" t="s">
        <v>524</v>
      </c>
    </row>
    <row r="84" ht="15">
      <c r="A84" s="384"/>
    </row>
    <row r="85" ht="15">
      <c r="A85" s="384" t="s">
        <v>468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413</v>
      </c>
      <c r="B3" s="385"/>
      <c r="C3" s="385"/>
      <c r="D3" s="385"/>
      <c r="E3" s="385"/>
      <c r="F3" s="385"/>
      <c r="G3" s="385"/>
      <c r="H3" s="386"/>
      <c r="I3" s="386"/>
      <c r="J3" s="386"/>
    </row>
    <row r="5" ht="15">
      <c r="A5" s="384" t="s">
        <v>414</v>
      </c>
    </row>
    <row r="6" ht="15">
      <c r="A6" t="str">
        <f>CONCATENATE(inputPrYr!C5-2," expenditures show that you finished the year with a ")</f>
        <v>2012 expenditures show that you finished the year with a </v>
      </c>
    </row>
    <row r="7" ht="15">
      <c r="A7" t="s">
        <v>415</v>
      </c>
    </row>
    <row r="9" ht="15">
      <c r="A9" t="s">
        <v>416</v>
      </c>
    </row>
    <row r="10" ht="15">
      <c r="A10" t="s">
        <v>417</v>
      </c>
    </row>
    <row r="11" ht="15">
      <c r="A11" t="s">
        <v>418</v>
      </c>
    </row>
    <row r="13" ht="15">
      <c r="A13" s="383" t="s">
        <v>419</v>
      </c>
    </row>
    <row r="14" ht="15">
      <c r="A14" s="383"/>
    </row>
    <row r="15" ht="15">
      <c r="A15" s="384" t="s">
        <v>420</v>
      </c>
    </row>
    <row r="16" ht="15">
      <c r="A16" s="384" t="s">
        <v>421</v>
      </c>
    </row>
    <row r="17" ht="15">
      <c r="A17" s="384" t="s">
        <v>422</v>
      </c>
    </row>
    <row r="18" ht="15">
      <c r="A18" s="384"/>
    </row>
    <row r="19" ht="15">
      <c r="A19" s="383" t="s">
        <v>423</v>
      </c>
    </row>
    <row r="20" ht="15">
      <c r="A20" s="383"/>
    </row>
    <row r="21" ht="15">
      <c r="A21" s="384" t="s">
        <v>424</v>
      </c>
    </row>
    <row r="22" ht="15">
      <c r="A22" s="384" t="s">
        <v>425</v>
      </c>
    </row>
    <row r="23" ht="15">
      <c r="A23" s="384" t="s">
        <v>426</v>
      </c>
    </row>
    <row r="24" ht="15">
      <c r="A24" s="384"/>
    </row>
    <row r="25" ht="15">
      <c r="A25" s="383" t="s">
        <v>427</v>
      </c>
    </row>
    <row r="26" ht="15">
      <c r="A26" s="383"/>
    </row>
    <row r="27" ht="15">
      <c r="A27" s="384" t="s">
        <v>428</v>
      </c>
    </row>
    <row r="28" ht="15">
      <c r="A28" s="384" t="s">
        <v>429</v>
      </c>
    </row>
    <row r="29" ht="15">
      <c r="A29" s="384" t="s">
        <v>430</v>
      </c>
    </row>
    <row r="30" ht="15">
      <c r="A30" s="384"/>
    </row>
    <row r="31" ht="15">
      <c r="A31" s="383" t="s">
        <v>431</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432</v>
      </c>
      <c r="B35" s="384"/>
      <c r="C35" s="384"/>
      <c r="D35" s="384"/>
      <c r="E35" s="384"/>
      <c r="F35" s="384"/>
      <c r="G35" s="384"/>
      <c r="H35" s="384"/>
    </row>
    <row r="36" spans="1:8" ht="15">
      <c r="A36" s="384" t="s">
        <v>433</v>
      </c>
      <c r="B36" s="384"/>
      <c r="C36" s="384"/>
      <c r="D36" s="384"/>
      <c r="E36" s="384"/>
      <c r="F36" s="384"/>
      <c r="G36" s="384"/>
      <c r="H36" s="384"/>
    </row>
    <row r="37" spans="1:8" ht="15">
      <c r="A37" s="384" t="s">
        <v>434</v>
      </c>
      <c r="B37" s="384"/>
      <c r="C37" s="384"/>
      <c r="D37" s="384"/>
      <c r="E37" s="384"/>
      <c r="F37" s="384"/>
      <c r="G37" s="384"/>
      <c r="H37" s="384"/>
    </row>
    <row r="38" spans="1:8" ht="15">
      <c r="A38" s="384" t="s">
        <v>435</v>
      </c>
      <c r="B38" s="384"/>
      <c r="C38" s="384"/>
      <c r="D38" s="384"/>
      <c r="E38" s="384"/>
      <c r="F38" s="384"/>
      <c r="G38" s="384"/>
      <c r="H38" s="384"/>
    </row>
    <row r="39" spans="1:8" ht="15">
      <c r="A39" s="384" t="s">
        <v>436</v>
      </c>
      <c r="B39" s="384"/>
      <c r="C39" s="384"/>
      <c r="D39" s="384"/>
      <c r="E39" s="384"/>
      <c r="F39" s="384"/>
      <c r="G39" s="384"/>
      <c r="H39" s="384"/>
    </row>
    <row r="40" spans="1:8" ht="15">
      <c r="A40" s="384"/>
      <c r="B40" s="384"/>
      <c r="C40" s="384"/>
      <c r="D40" s="384"/>
      <c r="E40" s="384"/>
      <c r="F40" s="384"/>
      <c r="G40" s="384"/>
      <c r="H40" s="384"/>
    </row>
    <row r="41" spans="1:8" ht="15">
      <c r="A41" s="384" t="s">
        <v>437</v>
      </c>
      <c r="B41" s="384"/>
      <c r="C41" s="384"/>
      <c r="D41" s="384"/>
      <c r="E41" s="384"/>
      <c r="F41" s="384"/>
      <c r="G41" s="384"/>
      <c r="H41" s="384"/>
    </row>
    <row r="42" spans="1:8" ht="15">
      <c r="A42" s="384" t="s">
        <v>438</v>
      </c>
      <c r="B42" s="384"/>
      <c r="C42" s="384"/>
      <c r="D42" s="384"/>
      <c r="E42" s="384"/>
      <c r="F42" s="384"/>
      <c r="G42" s="384"/>
      <c r="H42" s="384"/>
    </row>
    <row r="43" spans="1:8" ht="15">
      <c r="A43" s="384" t="s">
        <v>439</v>
      </c>
      <c r="B43" s="384"/>
      <c r="C43" s="384"/>
      <c r="D43" s="384"/>
      <c r="E43" s="384"/>
      <c r="F43" s="384"/>
      <c r="G43" s="384"/>
      <c r="H43" s="384"/>
    </row>
    <row r="44" spans="1:8" ht="15">
      <c r="A44" s="384" t="s">
        <v>440</v>
      </c>
      <c r="B44" s="384"/>
      <c r="C44" s="384"/>
      <c r="D44" s="384"/>
      <c r="E44" s="384"/>
      <c r="F44" s="384"/>
      <c r="G44" s="384"/>
      <c r="H44" s="384"/>
    </row>
    <row r="45" spans="1:8" ht="15">
      <c r="A45" s="384"/>
      <c r="B45" s="384"/>
      <c r="C45" s="384"/>
      <c r="D45" s="384"/>
      <c r="E45" s="384"/>
      <c r="F45" s="384"/>
      <c r="G45" s="384"/>
      <c r="H45" s="384"/>
    </row>
    <row r="46" spans="1:8" ht="15">
      <c r="A46" s="384" t="s">
        <v>441</v>
      </c>
      <c r="B46" s="384"/>
      <c r="C46" s="384"/>
      <c r="D46" s="384"/>
      <c r="E46" s="384"/>
      <c r="F46" s="384"/>
      <c r="G46" s="384"/>
      <c r="H46" s="384"/>
    </row>
    <row r="47" spans="1:8" ht="15">
      <c r="A47" s="384" t="s">
        <v>442</v>
      </c>
      <c r="B47" s="384"/>
      <c r="C47" s="384"/>
      <c r="D47" s="384"/>
      <c r="E47" s="384"/>
      <c r="F47" s="384"/>
      <c r="G47" s="384"/>
      <c r="H47" s="384"/>
    </row>
    <row r="48" spans="1:8" ht="15">
      <c r="A48" s="384" t="s">
        <v>443</v>
      </c>
      <c r="B48" s="384"/>
      <c r="C48" s="384"/>
      <c r="D48" s="384"/>
      <c r="E48" s="384"/>
      <c r="F48" s="384"/>
      <c r="G48" s="384"/>
      <c r="H48" s="384"/>
    </row>
    <row r="49" spans="1:8" ht="15">
      <c r="A49" s="384" t="s">
        <v>444</v>
      </c>
      <c r="B49" s="384"/>
      <c r="C49" s="384"/>
      <c r="D49" s="384"/>
      <c r="E49" s="384"/>
      <c r="F49" s="384"/>
      <c r="G49" s="384"/>
      <c r="H49" s="384"/>
    </row>
    <row r="50" spans="1:8" ht="15">
      <c r="A50" s="384" t="s">
        <v>445</v>
      </c>
      <c r="B50" s="384"/>
      <c r="C50" s="384"/>
      <c r="D50" s="384"/>
      <c r="E50" s="384"/>
      <c r="F50" s="384"/>
      <c r="G50" s="384"/>
      <c r="H50" s="384"/>
    </row>
    <row r="51" spans="1:8" ht="15">
      <c r="A51" s="384"/>
      <c r="B51" s="384"/>
      <c r="C51" s="384"/>
      <c r="D51" s="384"/>
      <c r="E51" s="384"/>
      <c r="F51" s="384"/>
      <c r="G51" s="384"/>
      <c r="H51" s="384"/>
    </row>
    <row r="52" spans="1:8" ht="15">
      <c r="A52" s="383" t="s">
        <v>446</v>
      </c>
      <c r="B52" s="383"/>
      <c r="C52" s="383"/>
      <c r="D52" s="383"/>
      <c r="E52" s="383"/>
      <c r="F52" s="383"/>
      <c r="G52" s="383"/>
      <c r="H52" s="384"/>
    </row>
    <row r="53" spans="1:8" ht="15">
      <c r="A53" s="383" t="s">
        <v>447</v>
      </c>
      <c r="B53" s="383"/>
      <c r="C53" s="383"/>
      <c r="D53" s="383"/>
      <c r="E53" s="383"/>
      <c r="F53" s="383"/>
      <c r="G53" s="383"/>
      <c r="H53" s="384"/>
    </row>
    <row r="54" spans="1:8" ht="15">
      <c r="A54" s="384"/>
      <c r="B54" s="384"/>
      <c r="C54" s="384"/>
      <c r="D54" s="384"/>
      <c r="E54" s="384"/>
      <c r="F54" s="384"/>
      <c r="G54" s="384"/>
      <c r="H54" s="384"/>
    </row>
    <row r="55" spans="1:8" ht="15">
      <c r="A55" s="384" t="s">
        <v>448</v>
      </c>
      <c r="B55" s="384"/>
      <c r="C55" s="384"/>
      <c r="D55" s="384"/>
      <c r="E55" s="384"/>
      <c r="F55" s="384"/>
      <c r="G55" s="384"/>
      <c r="H55" s="384"/>
    </row>
    <row r="56" spans="1:8" ht="15">
      <c r="A56" s="384" t="s">
        <v>449</v>
      </c>
      <c r="B56" s="384"/>
      <c r="C56" s="384"/>
      <c r="D56" s="384"/>
      <c r="E56" s="384"/>
      <c r="F56" s="384"/>
      <c r="G56" s="384"/>
      <c r="H56" s="384"/>
    </row>
    <row r="57" spans="1:8" ht="15">
      <c r="A57" s="384" t="s">
        <v>450</v>
      </c>
      <c r="B57" s="384"/>
      <c r="C57" s="384"/>
      <c r="D57" s="384"/>
      <c r="E57" s="384"/>
      <c r="F57" s="384"/>
      <c r="G57" s="384"/>
      <c r="H57" s="384"/>
    </row>
    <row r="58" spans="1:8" ht="15">
      <c r="A58" s="384" t="s">
        <v>451</v>
      </c>
      <c r="B58" s="384"/>
      <c r="C58" s="384"/>
      <c r="D58" s="384"/>
      <c r="E58" s="384"/>
      <c r="F58" s="384"/>
      <c r="G58" s="384"/>
      <c r="H58" s="384"/>
    </row>
    <row r="59" spans="1:8" ht="15">
      <c r="A59" s="384"/>
      <c r="B59" s="384"/>
      <c r="C59" s="384"/>
      <c r="D59" s="384"/>
      <c r="E59" s="384"/>
      <c r="F59" s="384"/>
      <c r="G59" s="384"/>
      <c r="H59" s="384"/>
    </row>
    <row r="60" spans="1:8" ht="15">
      <c r="A60" s="384" t="s">
        <v>452</v>
      </c>
      <c r="B60" s="384"/>
      <c r="C60" s="384"/>
      <c r="D60" s="384"/>
      <c r="E60" s="384"/>
      <c r="F60" s="384"/>
      <c r="G60" s="384"/>
      <c r="H60" s="384"/>
    </row>
    <row r="61" spans="1:8" ht="15">
      <c r="A61" s="384" t="s">
        <v>453</v>
      </c>
      <c r="B61" s="384"/>
      <c r="C61" s="384"/>
      <c r="D61" s="384"/>
      <c r="E61" s="384"/>
      <c r="F61" s="384"/>
      <c r="G61" s="384"/>
      <c r="H61" s="384"/>
    </row>
    <row r="62" spans="1:8" ht="15">
      <c r="A62" s="384" t="s">
        <v>454</v>
      </c>
      <c r="B62" s="384"/>
      <c r="C62" s="384"/>
      <c r="D62" s="384"/>
      <c r="E62" s="384"/>
      <c r="F62" s="384"/>
      <c r="G62" s="384"/>
      <c r="H62" s="384"/>
    </row>
    <row r="63" spans="1:8" ht="15">
      <c r="A63" s="384" t="s">
        <v>455</v>
      </c>
      <c r="B63" s="384"/>
      <c r="C63" s="384"/>
      <c r="D63" s="384"/>
      <c r="E63" s="384"/>
      <c r="F63" s="384"/>
      <c r="G63" s="384"/>
      <c r="H63" s="384"/>
    </row>
    <row r="64" spans="1:8" ht="15">
      <c r="A64" s="384" t="s">
        <v>456</v>
      </c>
      <c r="B64" s="384"/>
      <c r="C64" s="384"/>
      <c r="D64" s="384"/>
      <c r="E64" s="384"/>
      <c r="F64" s="384"/>
      <c r="G64" s="384"/>
      <c r="H64" s="384"/>
    </row>
    <row r="65" spans="1:8" ht="15">
      <c r="A65" s="384" t="s">
        <v>457</v>
      </c>
      <c r="B65" s="384"/>
      <c r="C65" s="384"/>
      <c r="D65" s="384"/>
      <c r="E65" s="384"/>
      <c r="F65" s="384"/>
      <c r="G65" s="384"/>
      <c r="H65" s="384"/>
    </row>
    <row r="66" spans="1:8" ht="15">
      <c r="A66" s="384"/>
      <c r="B66" s="384"/>
      <c r="C66" s="384"/>
      <c r="D66" s="384"/>
      <c r="E66" s="384"/>
      <c r="F66" s="384"/>
      <c r="G66" s="384"/>
      <c r="H66" s="384"/>
    </row>
    <row r="67" spans="1:8" ht="15">
      <c r="A67" s="384" t="s">
        <v>458</v>
      </c>
      <c r="B67" s="384"/>
      <c r="C67" s="384"/>
      <c r="D67" s="384"/>
      <c r="E67" s="384"/>
      <c r="F67" s="384"/>
      <c r="G67" s="384"/>
      <c r="H67" s="384"/>
    </row>
    <row r="68" spans="1:8" ht="15">
      <c r="A68" s="384" t="s">
        <v>459</v>
      </c>
      <c r="B68" s="384"/>
      <c r="C68" s="384"/>
      <c r="D68" s="384"/>
      <c r="E68" s="384"/>
      <c r="F68" s="384"/>
      <c r="G68" s="384"/>
      <c r="H68" s="384"/>
    </row>
    <row r="69" spans="1:8" ht="15">
      <c r="A69" s="384" t="s">
        <v>460</v>
      </c>
      <c r="B69" s="384"/>
      <c r="C69" s="384"/>
      <c r="D69" s="384"/>
      <c r="E69" s="384"/>
      <c r="F69" s="384"/>
      <c r="G69" s="384"/>
      <c r="H69" s="384"/>
    </row>
    <row r="70" spans="1:8" ht="15">
      <c r="A70" s="384" t="s">
        <v>461</v>
      </c>
      <c r="B70" s="384"/>
      <c r="C70" s="384"/>
      <c r="D70" s="384"/>
      <c r="E70" s="384"/>
      <c r="F70" s="384"/>
      <c r="G70" s="384"/>
      <c r="H70" s="384"/>
    </row>
    <row r="71" spans="1:8" ht="15">
      <c r="A71" s="384" t="s">
        <v>462</v>
      </c>
      <c r="B71" s="384"/>
      <c r="C71" s="384"/>
      <c r="D71" s="384"/>
      <c r="E71" s="384"/>
      <c r="F71" s="384"/>
      <c r="G71" s="384"/>
      <c r="H71" s="384"/>
    </row>
    <row r="72" spans="1:8" ht="15">
      <c r="A72" s="384" t="s">
        <v>463</v>
      </c>
      <c r="B72" s="384"/>
      <c r="C72" s="384"/>
      <c r="D72" s="384"/>
      <c r="E72" s="384"/>
      <c r="F72" s="384"/>
      <c r="G72" s="384"/>
      <c r="H72" s="384"/>
    </row>
    <row r="73" spans="1:8" ht="15">
      <c r="A73" s="384" t="s">
        <v>464</v>
      </c>
      <c r="B73" s="384"/>
      <c r="C73" s="384"/>
      <c r="D73" s="384"/>
      <c r="E73" s="384"/>
      <c r="F73" s="384"/>
      <c r="G73" s="384"/>
      <c r="H73" s="384"/>
    </row>
    <row r="74" spans="1:8" ht="15">
      <c r="A74" s="384"/>
      <c r="B74" s="384"/>
      <c r="C74" s="384"/>
      <c r="D74" s="384"/>
      <c r="E74" s="384"/>
      <c r="F74" s="384"/>
      <c r="G74" s="384"/>
      <c r="H74" s="384"/>
    </row>
    <row r="75" spans="1:8" ht="15">
      <c r="A75" s="384" t="s">
        <v>465</v>
      </c>
      <c r="B75" s="384"/>
      <c r="C75" s="384"/>
      <c r="D75" s="384"/>
      <c r="E75" s="384"/>
      <c r="F75" s="384"/>
      <c r="G75" s="384"/>
      <c r="H75" s="384"/>
    </row>
    <row r="76" spans="1:8" ht="15">
      <c r="A76" s="384" t="s">
        <v>466</v>
      </c>
      <c r="B76" s="384"/>
      <c r="C76" s="384"/>
      <c r="D76" s="384"/>
      <c r="E76" s="384"/>
      <c r="F76" s="384"/>
      <c r="G76" s="384"/>
      <c r="H76" s="384"/>
    </row>
    <row r="77" spans="1:8" ht="15">
      <c r="A77" s="384" t="s">
        <v>467</v>
      </c>
      <c r="B77" s="384"/>
      <c r="C77" s="384"/>
      <c r="D77" s="384"/>
      <c r="E77" s="384"/>
      <c r="F77" s="384"/>
      <c r="G77" s="384"/>
      <c r="H77" s="384"/>
    </row>
    <row r="78" spans="1:8" ht="15">
      <c r="A78" s="384"/>
      <c r="B78" s="384"/>
      <c r="C78" s="384"/>
      <c r="D78" s="384"/>
      <c r="E78" s="384"/>
      <c r="F78" s="384"/>
      <c r="G78" s="384"/>
      <c r="H78" s="384"/>
    </row>
    <row r="79" ht="15">
      <c r="A79" s="384" t="s">
        <v>468</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525</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470</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526</v>
      </c>
      <c r="I7" s="385"/>
      <c r="J7" s="385"/>
      <c r="K7" s="385"/>
      <c r="L7" s="385"/>
    </row>
    <row r="8" spans="1:12" ht="15">
      <c r="A8" s="384"/>
      <c r="I8" s="385"/>
      <c r="J8" s="385"/>
      <c r="K8" s="385"/>
      <c r="L8" s="385"/>
    </row>
    <row r="9" spans="1:12" ht="15">
      <c r="A9" s="384" t="s">
        <v>527</v>
      </c>
      <c r="I9" s="385"/>
      <c r="J9" s="385"/>
      <c r="K9" s="385"/>
      <c r="L9" s="385"/>
    </row>
    <row r="10" spans="1:12" ht="15">
      <c r="A10" s="384" t="s">
        <v>528</v>
      </c>
      <c r="I10" s="385"/>
      <c r="J10" s="385"/>
      <c r="K10" s="385"/>
      <c r="L10" s="385"/>
    </row>
    <row r="11" spans="1:12" ht="15">
      <c r="A11" s="384" t="s">
        <v>529</v>
      </c>
      <c r="I11" s="385"/>
      <c r="J11" s="385"/>
      <c r="K11" s="385"/>
      <c r="L11" s="385"/>
    </row>
    <row r="12" spans="1:12" ht="15">
      <c r="A12" s="384" t="s">
        <v>530</v>
      </c>
      <c r="I12" s="385"/>
      <c r="J12" s="385"/>
      <c r="K12" s="385"/>
      <c r="L12" s="385"/>
    </row>
    <row r="13" spans="1:12" ht="15">
      <c r="A13" s="384" t="s">
        <v>531</v>
      </c>
      <c r="I13" s="385"/>
      <c r="J13" s="385"/>
      <c r="K13" s="385"/>
      <c r="L13" s="385"/>
    </row>
    <row r="14" spans="1:12" ht="15">
      <c r="A14" s="385"/>
      <c r="B14" s="385"/>
      <c r="C14" s="385"/>
      <c r="D14" s="385"/>
      <c r="E14" s="385"/>
      <c r="F14" s="385"/>
      <c r="G14" s="385"/>
      <c r="H14" s="385"/>
      <c r="I14" s="385"/>
      <c r="J14" s="385"/>
      <c r="K14" s="385"/>
      <c r="L14" s="385"/>
    </row>
    <row r="15" ht="15">
      <c r="A15" s="383" t="s">
        <v>532</v>
      </c>
    </row>
    <row r="16" ht="15">
      <c r="A16" s="383" t="s">
        <v>533</v>
      </c>
    </row>
    <row r="17" ht="15">
      <c r="A17" s="383"/>
    </row>
    <row r="18" spans="1:7" ht="15">
      <c r="A18" s="384" t="s">
        <v>534</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535</v>
      </c>
      <c r="B20" s="384"/>
      <c r="C20" s="384"/>
      <c r="D20" s="384"/>
      <c r="E20" s="384"/>
      <c r="F20" s="384"/>
      <c r="G20" s="384"/>
    </row>
    <row r="21" spans="1:7" ht="15">
      <c r="A21" s="384" t="s">
        <v>536</v>
      </c>
      <c r="B21" s="384"/>
      <c r="C21" s="384"/>
      <c r="D21" s="384"/>
      <c r="E21" s="384"/>
      <c r="F21" s="384"/>
      <c r="G21" s="384"/>
    </row>
    <row r="22" ht="15">
      <c r="A22" s="384"/>
    </row>
    <row r="23" ht="15">
      <c r="A23" s="383" t="s">
        <v>537</v>
      </c>
    </row>
    <row r="24" ht="15">
      <c r="A24" s="383"/>
    </row>
    <row r="25" ht="15">
      <c r="A25" s="384" t="s">
        <v>538</v>
      </c>
    </row>
    <row r="26" spans="1:6" ht="15">
      <c r="A26" s="384" t="s">
        <v>539</v>
      </c>
      <c r="B26" s="384"/>
      <c r="C26" s="384"/>
      <c r="D26" s="384"/>
      <c r="E26" s="384"/>
      <c r="F26" s="384"/>
    </row>
    <row r="27" spans="1:6" ht="15">
      <c r="A27" s="384" t="s">
        <v>540</v>
      </c>
      <c r="B27" s="384"/>
      <c r="C27" s="384"/>
      <c r="D27" s="384"/>
      <c r="E27" s="384"/>
      <c r="F27" s="384"/>
    </row>
    <row r="28" spans="1:6" ht="15">
      <c r="A28" s="384" t="s">
        <v>541</v>
      </c>
      <c r="B28" s="384"/>
      <c r="C28" s="384"/>
      <c r="D28" s="384"/>
      <c r="E28" s="384"/>
      <c r="F28" s="384"/>
    </row>
    <row r="29" spans="1:6" ht="15">
      <c r="A29" s="384"/>
      <c r="B29" s="384"/>
      <c r="C29" s="384"/>
      <c r="D29" s="384"/>
      <c r="E29" s="384"/>
      <c r="F29" s="384"/>
    </row>
    <row r="30" spans="1:7" ht="15">
      <c r="A30" s="383" t="s">
        <v>542</v>
      </c>
      <c r="B30" s="383"/>
      <c r="C30" s="383"/>
      <c r="D30" s="383"/>
      <c r="E30" s="383"/>
      <c r="F30" s="383"/>
      <c r="G30" s="383"/>
    </row>
    <row r="31" spans="1:7" ht="15">
      <c r="A31" s="383" t="s">
        <v>543</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544</v>
      </c>
      <c r="B34" s="384"/>
      <c r="C34" s="384"/>
      <c r="D34" s="384"/>
      <c r="E34" s="384"/>
      <c r="F34" s="384"/>
    </row>
    <row r="35" spans="1:6" ht="15">
      <c r="A35" s="388" t="s">
        <v>484</v>
      </c>
      <c r="B35" s="384"/>
      <c r="C35" s="384"/>
      <c r="D35" s="384"/>
      <c r="E35" s="384"/>
      <c r="F35" s="384"/>
    </row>
    <row r="36" spans="1:6" ht="15">
      <c r="A36" s="388" t="s">
        <v>485</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486</v>
      </c>
      <c r="B39" s="384"/>
      <c r="C39" s="384"/>
      <c r="D39" s="384"/>
      <c r="E39" s="384"/>
      <c r="F39" s="384"/>
    </row>
    <row r="40" spans="1:6" ht="15">
      <c r="A40" s="388" t="s">
        <v>487</v>
      </c>
      <c r="B40" s="384"/>
      <c r="C40" s="384"/>
      <c r="D40" s="384"/>
      <c r="E40" s="384"/>
      <c r="F40" s="384"/>
    </row>
    <row r="41" spans="1:6" ht="15">
      <c r="A41" s="388"/>
      <c r="B41" s="384"/>
      <c r="C41" s="384"/>
      <c r="D41" s="384"/>
      <c r="E41" s="384"/>
      <c r="F41" s="384"/>
    </row>
    <row r="42" spans="1:6" ht="15">
      <c r="A42" s="388" t="s">
        <v>488</v>
      </c>
      <c r="B42" s="384"/>
      <c r="C42" s="384"/>
      <c r="D42" s="384"/>
      <c r="E42" s="384"/>
      <c r="F42" s="384"/>
    </row>
    <row r="43" spans="1:6" ht="15">
      <c r="A43" s="388" t="s">
        <v>489</v>
      </c>
      <c r="B43" s="384"/>
      <c r="C43" s="384"/>
      <c r="D43" s="384"/>
      <c r="E43" s="384"/>
      <c r="F43" s="384"/>
    </row>
    <row r="44" spans="1:6" ht="15">
      <c r="A44" s="388" t="s">
        <v>490</v>
      </c>
      <c r="B44" s="384"/>
      <c r="C44" s="384"/>
      <c r="D44" s="384"/>
      <c r="E44" s="384"/>
      <c r="F44" s="384"/>
    </row>
    <row r="45" spans="1:6" ht="15">
      <c r="A45" s="388" t="s">
        <v>545</v>
      </c>
      <c r="B45" s="384"/>
      <c r="C45" s="384"/>
      <c r="D45" s="384"/>
      <c r="E45" s="384"/>
      <c r="F45" s="384"/>
    </row>
    <row r="46" spans="1:6" ht="15">
      <c r="A46" s="388" t="s">
        <v>492</v>
      </c>
      <c r="B46" s="384"/>
      <c r="C46" s="384"/>
      <c r="D46" s="384"/>
      <c r="E46" s="384"/>
      <c r="F46" s="384"/>
    </row>
    <row r="47" spans="1:6" ht="15">
      <c r="A47" s="388" t="s">
        <v>546</v>
      </c>
      <c r="B47" s="384"/>
      <c r="C47" s="384"/>
      <c r="D47" s="384"/>
      <c r="E47" s="384"/>
      <c r="F47" s="384"/>
    </row>
    <row r="48" spans="1:6" ht="15">
      <c r="A48" s="388" t="s">
        <v>547</v>
      </c>
      <c r="B48" s="384"/>
      <c r="C48" s="384"/>
      <c r="D48" s="384"/>
      <c r="E48" s="384"/>
      <c r="F48" s="384"/>
    </row>
    <row r="49" spans="1:6" ht="15">
      <c r="A49" s="388" t="s">
        <v>495</v>
      </c>
      <c r="B49" s="384"/>
      <c r="C49" s="384"/>
      <c r="D49" s="384"/>
      <c r="E49" s="384"/>
      <c r="F49" s="384"/>
    </row>
    <row r="50" spans="1:6" ht="15">
      <c r="A50" s="388"/>
      <c r="B50" s="384"/>
      <c r="C50" s="384"/>
      <c r="D50" s="384"/>
      <c r="E50" s="384"/>
      <c r="F50" s="384"/>
    </row>
    <row r="51" spans="1:6" ht="15">
      <c r="A51" s="388" t="s">
        <v>496</v>
      </c>
      <c r="B51" s="384"/>
      <c r="C51" s="384"/>
      <c r="D51" s="384"/>
      <c r="E51" s="384"/>
      <c r="F51" s="384"/>
    </row>
    <row r="52" spans="1:6" ht="15">
      <c r="A52" s="388" t="s">
        <v>497</v>
      </c>
      <c r="B52" s="384"/>
      <c r="C52" s="384"/>
      <c r="D52" s="384"/>
      <c r="E52" s="384"/>
      <c r="F52" s="384"/>
    </row>
    <row r="53" spans="1:6" ht="15">
      <c r="A53" s="388" t="s">
        <v>498</v>
      </c>
      <c r="B53" s="384"/>
      <c r="C53" s="384"/>
      <c r="D53" s="384"/>
      <c r="E53" s="384"/>
      <c r="F53" s="384"/>
    </row>
    <row r="54" spans="1:6" ht="15">
      <c r="A54" s="388"/>
      <c r="B54" s="384"/>
      <c r="C54" s="384"/>
      <c r="D54" s="384"/>
      <c r="E54" s="384"/>
      <c r="F54" s="384"/>
    </row>
    <row r="55" spans="1:6" ht="15">
      <c r="A55" s="388" t="s">
        <v>548</v>
      </c>
      <c r="B55" s="384"/>
      <c r="C55" s="384"/>
      <c r="D55" s="384"/>
      <c r="E55" s="384"/>
      <c r="F55" s="384"/>
    </row>
    <row r="56" spans="1:6" ht="15">
      <c r="A56" s="388" t="s">
        <v>549</v>
      </c>
      <c r="B56" s="384"/>
      <c r="C56" s="384"/>
      <c r="D56" s="384"/>
      <c r="E56" s="384"/>
      <c r="F56" s="384"/>
    </row>
    <row r="57" spans="1:6" ht="15">
      <c r="A57" s="388" t="s">
        <v>550</v>
      </c>
      <c r="B57" s="384"/>
      <c r="C57" s="384"/>
      <c r="D57" s="384"/>
      <c r="E57" s="384"/>
      <c r="F57" s="384"/>
    </row>
    <row r="58" spans="1:6" ht="15">
      <c r="A58" s="388" t="s">
        <v>551</v>
      </c>
      <c r="B58" s="384"/>
      <c r="C58" s="384"/>
      <c r="D58" s="384"/>
      <c r="E58" s="384"/>
      <c r="F58" s="384"/>
    </row>
    <row r="59" spans="1:6" ht="15">
      <c r="A59" s="388" t="s">
        <v>552</v>
      </c>
      <c r="B59" s="384"/>
      <c r="C59" s="384"/>
      <c r="D59" s="384"/>
      <c r="E59" s="384"/>
      <c r="F59" s="384"/>
    </row>
    <row r="60" spans="1:6" ht="15">
      <c r="A60" s="388"/>
      <c r="B60" s="384"/>
      <c r="C60" s="384"/>
      <c r="D60" s="384"/>
      <c r="E60" s="384"/>
      <c r="F60" s="384"/>
    </row>
    <row r="61" spans="1:6" ht="15">
      <c r="A61" s="389" t="s">
        <v>553</v>
      </c>
      <c r="B61" s="384"/>
      <c r="C61" s="384"/>
      <c r="D61" s="384"/>
      <c r="E61" s="384"/>
      <c r="F61" s="384"/>
    </row>
    <row r="62" spans="1:6" ht="15">
      <c r="A62" s="389" t="s">
        <v>554</v>
      </c>
      <c r="B62" s="384"/>
      <c r="C62" s="384"/>
      <c r="D62" s="384"/>
      <c r="E62" s="384"/>
      <c r="F62" s="384"/>
    </row>
    <row r="63" spans="1:6" ht="15">
      <c r="A63" s="389" t="s">
        <v>555</v>
      </c>
      <c r="B63" s="384"/>
      <c r="C63" s="384"/>
      <c r="D63" s="384"/>
      <c r="E63" s="384"/>
      <c r="F63" s="384"/>
    </row>
    <row r="64" ht="15">
      <c r="A64" s="389" t="s">
        <v>556</v>
      </c>
    </row>
    <row r="65" ht="15">
      <c r="A65" s="389" t="s">
        <v>557</v>
      </c>
    </row>
    <row r="66" ht="15">
      <c r="A66" s="389" t="s">
        <v>558</v>
      </c>
    </row>
    <row r="68" ht="15">
      <c r="A68" s="384" t="s">
        <v>559</v>
      </c>
    </row>
    <row r="69" ht="15">
      <c r="A69" s="384" t="s">
        <v>560</v>
      </c>
    </row>
    <row r="70" ht="15">
      <c r="A70" s="384" t="s">
        <v>561</v>
      </c>
    </row>
    <row r="71" ht="15">
      <c r="A71" s="384" t="s">
        <v>562</v>
      </c>
    </row>
    <row r="72" ht="15">
      <c r="A72" s="384" t="s">
        <v>563</v>
      </c>
    </row>
    <row r="73" ht="15">
      <c r="A73" s="384" t="s">
        <v>564</v>
      </c>
    </row>
    <row r="75" ht="15">
      <c r="A75" s="384" t="s">
        <v>468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9">
      <selection activeCell="B65" sqref="B65"/>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Green</v>
      </c>
      <c r="B1" s="128"/>
      <c r="C1" s="128"/>
      <c r="D1" s="128"/>
      <c r="E1" s="129">
        <f>inputPrYr!C5</f>
        <v>2014</v>
      </c>
    </row>
    <row r="2" spans="1:5" ht="15">
      <c r="A2" s="128"/>
      <c r="B2" s="128"/>
      <c r="C2" s="128"/>
      <c r="D2" s="128"/>
      <c r="E2" s="128"/>
    </row>
    <row r="3" spans="1:5" ht="15.75">
      <c r="A3" s="769" t="s">
        <v>22</v>
      </c>
      <c r="B3" s="770"/>
      <c r="C3" s="770"/>
      <c r="D3" s="770"/>
      <c r="E3" s="770"/>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601528</v>
      </c>
    </row>
    <row r="8" spans="1:5" ht="15.75">
      <c r="A8" s="130" t="str">
        <f>CONCATENATE("New Improvements for ",E1-1,"")</f>
        <v>New Improvements for 2013</v>
      </c>
      <c r="B8" s="115"/>
      <c r="C8" s="115"/>
      <c r="D8" s="115"/>
      <c r="E8" s="123">
        <v>32909</v>
      </c>
    </row>
    <row r="9" spans="1:5" ht="15.75">
      <c r="A9" s="130" t="str">
        <f>CONCATENATE("Personal Property excluding oil, gas, and mobile homes  - ",E1-1,"")</f>
        <v>Personal Property excluding oil, gas, and mobile homes  - 2013</v>
      </c>
      <c r="B9" s="115"/>
      <c r="C9" s="115"/>
      <c r="D9" s="115"/>
      <c r="E9" s="123">
        <v>22110</v>
      </c>
    </row>
    <row r="10" spans="1:5" ht="15.75">
      <c r="A10" s="132" t="s">
        <v>287</v>
      </c>
      <c r="B10" s="115"/>
      <c r="C10" s="115"/>
      <c r="D10" s="115"/>
      <c r="E10" s="108"/>
    </row>
    <row r="11" spans="1:5" ht="15.75">
      <c r="A11" s="130" t="s">
        <v>277</v>
      </c>
      <c r="B11" s="115"/>
      <c r="C11" s="115"/>
      <c r="D11" s="115"/>
      <c r="E11" s="123"/>
    </row>
    <row r="12" spans="1:5" ht="15.75">
      <c r="A12" s="130" t="s">
        <v>278</v>
      </c>
      <c r="B12" s="115"/>
      <c r="C12" s="115"/>
      <c r="D12" s="115"/>
      <c r="E12" s="123"/>
    </row>
    <row r="13" spans="1:5" ht="15.75">
      <c r="A13" s="130" t="s">
        <v>279</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v>22909</v>
      </c>
    </row>
    <row r="16" spans="1:5" ht="15.75">
      <c r="A16" s="130" t="str">
        <f>CONCATENATE("Gross earnings (intangible) tax estimate for ",E1,"")</f>
        <v>Gross earnings (intangible) tax estimate for 2014</v>
      </c>
      <c r="B16" s="115"/>
      <c r="C16" s="115"/>
      <c r="D16" s="116"/>
      <c r="E16" s="87">
        <v>595.46</v>
      </c>
    </row>
    <row r="17" spans="1:5" ht="15.75">
      <c r="A17" s="130" t="s">
        <v>47</v>
      </c>
      <c r="B17" s="115"/>
      <c r="C17" s="115"/>
      <c r="D17" s="115"/>
      <c r="E17" s="123">
        <v>75428</v>
      </c>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6" t="s">
        <v>151</v>
      </c>
      <c r="B20" s="777"/>
      <c r="C20" s="128"/>
      <c r="D20" s="133" t="s">
        <v>201</v>
      </c>
      <c r="E20" s="101"/>
    </row>
    <row r="21" spans="1:5" ht="15.75">
      <c r="A21" s="91" t="str">
        <f>inputPrYr!B17</f>
        <v>General</v>
      </c>
      <c r="B21" s="92"/>
      <c r="C21" s="96"/>
      <c r="D21" s="110">
        <v>36.92046</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36.92046</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row>
    <row r="31" spans="1:5" ht="15">
      <c r="A31" s="135"/>
      <c r="B31" s="135"/>
      <c r="C31" s="135"/>
      <c r="D31" s="135"/>
      <c r="E31" s="135"/>
    </row>
    <row r="32" spans="1:5" ht="15.75">
      <c r="A32" s="138" t="s">
        <v>288</v>
      </c>
      <c r="B32" s="77"/>
      <c r="C32" s="77"/>
      <c r="D32" s="139"/>
      <c r="E32" s="88"/>
    </row>
    <row r="33" spans="1:5" ht="15.75">
      <c r="A33" s="91" t="s">
        <v>137</v>
      </c>
      <c r="B33" s="92"/>
      <c r="C33" s="92"/>
      <c r="D33" s="140"/>
      <c r="E33" s="87">
        <v>3059.7</v>
      </c>
    </row>
    <row r="34" spans="1:5" ht="15.75">
      <c r="A34" s="130" t="s">
        <v>138</v>
      </c>
      <c r="B34" s="115"/>
      <c r="C34" s="115"/>
      <c r="D34" s="141"/>
      <c r="E34" s="87"/>
    </row>
    <row r="35" spans="1:5" ht="15.75">
      <c r="A35" s="130" t="s">
        <v>228</v>
      </c>
      <c r="B35" s="115"/>
      <c r="C35" s="115"/>
      <c r="D35" s="141"/>
      <c r="E35" s="87">
        <v>15.58</v>
      </c>
    </row>
    <row r="36" spans="1:5" ht="15.75">
      <c r="A36" s="130" t="s">
        <v>121</v>
      </c>
      <c r="B36" s="115"/>
      <c r="C36" s="115"/>
      <c r="D36" s="141"/>
      <c r="E36" s="87"/>
    </row>
    <row r="37" spans="1:5" ht="15.75">
      <c r="A37" s="130" t="s">
        <v>123</v>
      </c>
      <c r="B37" s="115"/>
      <c r="C37" s="115"/>
      <c r="D37" s="141"/>
      <c r="E37" s="87"/>
    </row>
    <row r="38" spans="1:5" ht="15.75">
      <c r="A38" s="64" t="s">
        <v>266</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0.099</v>
      </c>
    </row>
    <row r="41" spans="1:5" ht="15.75">
      <c r="A41" s="130" t="s">
        <v>845</v>
      </c>
      <c r="B41" s="130"/>
      <c r="C41" s="115"/>
      <c r="D41" s="116"/>
      <c r="E41" s="667"/>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3390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3270</v>
      </c>
    </row>
    <row r="48" spans="1:5" ht="15.75">
      <c r="A48" s="151" t="str">
        <f>CONCATENATE("Adjusted ",E1-1," County Transfers for Gas***")</f>
        <v>Adjusted 2013 County Transfers for Gas***</v>
      </c>
      <c r="B48" s="152"/>
      <c r="C48" s="152"/>
      <c r="D48" s="153"/>
      <c r="E48" s="123"/>
    </row>
    <row r="49" spans="1:5" ht="18" customHeight="1">
      <c r="A49" s="778" t="s">
        <v>15</v>
      </c>
      <c r="B49" s="779"/>
      <c r="C49" s="779"/>
      <c r="D49" s="779"/>
      <c r="E49" s="779"/>
    </row>
    <row r="50" spans="1:5" ht="15">
      <c r="A50" s="154" t="s">
        <v>16</v>
      </c>
      <c r="B50" s="154"/>
      <c r="C50" s="154"/>
      <c r="D50" s="154"/>
      <c r="E50" s="154"/>
    </row>
    <row r="51" spans="1:5" ht="15">
      <c r="A51" s="128"/>
      <c r="B51" s="128"/>
      <c r="C51" s="128"/>
      <c r="D51" s="128"/>
      <c r="E51" s="128"/>
    </row>
    <row r="52" spans="1:5" ht="15.75">
      <c r="A52" s="780" t="str">
        <f>CONCATENATE("From the ",E1-2," Budget Certificate Page")</f>
        <v>From the 2012 Budget Certificate Page</v>
      </c>
      <c r="B52" s="781"/>
      <c r="C52" s="128"/>
      <c r="D52" s="128"/>
      <c r="E52" s="128"/>
    </row>
    <row r="53" spans="1:5" ht="15.75">
      <c r="A53" s="155"/>
      <c r="B53" s="155" t="str">
        <f>CONCATENATE("",E1-2," Expenditure Amounts")</f>
        <v>2012 Expenditure Amounts</v>
      </c>
      <c r="C53" s="774" t="str">
        <f>CONCATENATE("Note: If the ",E1-2," budget was amended, then the")</f>
        <v>Note: If the 2012 budget was amended, then the</v>
      </c>
      <c r="D53" s="775"/>
      <c r="E53" s="775"/>
    </row>
    <row r="54" spans="1:5" ht="15.75">
      <c r="A54" s="156" t="s">
        <v>52</v>
      </c>
      <c r="B54" s="156" t="s">
        <v>51</v>
      </c>
      <c r="C54" s="157" t="s">
        <v>49</v>
      </c>
      <c r="D54" s="158"/>
      <c r="E54" s="158"/>
    </row>
    <row r="55" spans="1:5" ht="15.75">
      <c r="A55" s="159" t="str">
        <f>inputPrYr!B17</f>
        <v>General</v>
      </c>
      <c r="B55" s="123">
        <v>105933</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11978</v>
      </c>
      <c r="C62" s="128"/>
      <c r="D62" s="128"/>
      <c r="E62" s="128"/>
    </row>
    <row r="63" spans="1:5" ht="15.75">
      <c r="A63" s="159" t="str">
        <f>inputPrYr!B29</f>
        <v>Water</v>
      </c>
      <c r="B63" s="123">
        <v>37007</v>
      </c>
      <c r="C63" s="128"/>
      <c r="D63" s="128"/>
      <c r="E63" s="128"/>
    </row>
    <row r="64" spans="1:5" ht="15.75">
      <c r="A64" s="159" t="str">
        <f>inputPrYr!B30</f>
        <v>Sewer</v>
      </c>
      <c r="B64" s="123">
        <v>13231</v>
      </c>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565</v>
      </c>
      <c r="B3" s="385"/>
      <c r="C3" s="385"/>
      <c r="D3" s="385"/>
      <c r="E3" s="385"/>
      <c r="F3" s="385"/>
      <c r="G3" s="385"/>
    </row>
    <row r="4" spans="1:7" ht="15">
      <c r="A4" s="385"/>
      <c r="B4" s="385"/>
      <c r="C4" s="385"/>
      <c r="D4" s="385"/>
      <c r="E4" s="385"/>
      <c r="F4" s="385"/>
      <c r="G4" s="385"/>
    </row>
    <row r="5" ht="15">
      <c r="A5" s="384" t="s">
        <v>414</v>
      </c>
    </row>
    <row r="6" ht="15">
      <c r="A6" s="384" t="str">
        <f>CONCATENATE(inputPrYr!C5," estimated expenditures show that at the end of this year")</f>
        <v>2014 estimated expenditures show that at the end of this year</v>
      </c>
    </row>
    <row r="7" ht="15">
      <c r="A7" s="384" t="s">
        <v>566</v>
      </c>
    </row>
    <row r="8" ht="15">
      <c r="A8" s="384" t="s">
        <v>567</v>
      </c>
    </row>
    <row r="10" ht="15">
      <c r="A10" t="s">
        <v>416</v>
      </c>
    </row>
    <row r="11" ht="15">
      <c r="A11" t="s">
        <v>417</v>
      </c>
    </row>
    <row r="12" ht="15">
      <c r="A12" t="s">
        <v>418</v>
      </c>
    </row>
    <row r="13" spans="1:7" ht="15">
      <c r="A13" s="385"/>
      <c r="B13" s="385"/>
      <c r="C13" s="385"/>
      <c r="D13" s="385"/>
      <c r="E13" s="385"/>
      <c r="F13" s="385"/>
      <c r="G13" s="385"/>
    </row>
    <row r="14" ht="15">
      <c r="A14" s="383" t="s">
        <v>568</v>
      </c>
    </row>
    <row r="15" ht="15">
      <c r="A15" s="384"/>
    </row>
    <row r="16" ht="15">
      <c r="A16" s="384" t="s">
        <v>569</v>
      </c>
    </row>
    <row r="17" ht="15">
      <c r="A17" s="384" t="s">
        <v>570</v>
      </c>
    </row>
    <row r="18" ht="15">
      <c r="A18" s="384" t="s">
        <v>571</v>
      </c>
    </row>
    <row r="19" ht="15">
      <c r="A19" s="384"/>
    </row>
    <row r="20" ht="15">
      <c r="A20" s="384" t="s">
        <v>572</v>
      </c>
    </row>
    <row r="21" ht="15">
      <c r="A21" s="384" t="s">
        <v>573</v>
      </c>
    </row>
    <row r="22" ht="15">
      <c r="A22" s="384" t="s">
        <v>574</v>
      </c>
    </row>
    <row r="23" ht="15">
      <c r="A23" s="384" t="s">
        <v>575</v>
      </c>
    </row>
    <row r="24" ht="15">
      <c r="A24" s="384"/>
    </row>
    <row r="25" ht="15">
      <c r="A25" s="383" t="s">
        <v>537</v>
      </c>
    </row>
    <row r="26" ht="15">
      <c r="A26" s="383"/>
    </row>
    <row r="27" ht="15">
      <c r="A27" s="384" t="s">
        <v>538</v>
      </c>
    </row>
    <row r="28" spans="1:6" ht="15">
      <c r="A28" s="384" t="s">
        <v>539</v>
      </c>
      <c r="B28" s="384"/>
      <c r="C28" s="384"/>
      <c r="D28" s="384"/>
      <c r="E28" s="384"/>
      <c r="F28" s="384"/>
    </row>
    <row r="29" spans="1:6" ht="15">
      <c r="A29" s="384" t="s">
        <v>540</v>
      </c>
      <c r="B29" s="384"/>
      <c r="C29" s="384"/>
      <c r="D29" s="384"/>
      <c r="E29" s="384"/>
      <c r="F29" s="384"/>
    </row>
    <row r="30" spans="1:6" ht="15">
      <c r="A30" s="384" t="s">
        <v>541</v>
      </c>
      <c r="B30" s="384"/>
      <c r="C30" s="384"/>
      <c r="D30" s="384"/>
      <c r="E30" s="384"/>
      <c r="F30" s="384"/>
    </row>
    <row r="31" ht="15">
      <c r="A31" s="384"/>
    </row>
    <row r="32" spans="1:7" ht="15">
      <c r="A32" s="383" t="s">
        <v>542</v>
      </c>
      <c r="B32" s="383"/>
      <c r="C32" s="383"/>
      <c r="D32" s="383"/>
      <c r="E32" s="383"/>
      <c r="F32" s="383"/>
      <c r="G32" s="383"/>
    </row>
    <row r="33" spans="1:7" ht="15">
      <c r="A33" s="383" t="s">
        <v>543</v>
      </c>
      <c r="B33" s="383"/>
      <c r="C33" s="383"/>
      <c r="D33" s="383"/>
      <c r="E33" s="383"/>
      <c r="F33" s="383"/>
      <c r="G33" s="383"/>
    </row>
    <row r="34" spans="1:7" ht="15">
      <c r="A34" s="383"/>
      <c r="B34" s="383"/>
      <c r="C34" s="383"/>
      <c r="D34" s="383"/>
      <c r="E34" s="383"/>
      <c r="F34" s="383"/>
      <c r="G34" s="383"/>
    </row>
    <row r="35" spans="1:7" ht="15">
      <c r="A35" s="384" t="s">
        <v>576</v>
      </c>
      <c r="B35" s="384"/>
      <c r="C35" s="384"/>
      <c r="D35" s="384"/>
      <c r="E35" s="384"/>
      <c r="F35" s="384"/>
      <c r="G35" s="384"/>
    </row>
    <row r="36" spans="1:7" ht="15">
      <c r="A36" s="384" t="s">
        <v>577</v>
      </c>
      <c r="B36" s="384"/>
      <c r="C36" s="384"/>
      <c r="D36" s="384"/>
      <c r="E36" s="384"/>
      <c r="F36" s="384"/>
      <c r="G36" s="384"/>
    </row>
    <row r="37" spans="1:7" ht="15">
      <c r="A37" s="384" t="s">
        <v>578</v>
      </c>
      <c r="B37" s="384"/>
      <c r="C37" s="384"/>
      <c r="D37" s="384"/>
      <c r="E37" s="384"/>
      <c r="F37" s="384"/>
      <c r="G37" s="384"/>
    </row>
    <row r="38" spans="1:7" ht="15">
      <c r="A38" s="384" t="s">
        <v>579</v>
      </c>
      <c r="B38" s="384"/>
      <c r="C38" s="384"/>
      <c r="D38" s="384"/>
      <c r="E38" s="384"/>
      <c r="F38" s="384"/>
      <c r="G38" s="384"/>
    </row>
    <row r="39" spans="1:7" ht="15">
      <c r="A39" s="384" t="s">
        <v>580</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544</v>
      </c>
      <c r="B42" s="384"/>
      <c r="C42" s="384"/>
      <c r="D42" s="384"/>
      <c r="E42" s="384"/>
      <c r="F42" s="384"/>
    </row>
    <row r="43" spans="1:6" ht="15">
      <c r="A43" s="388" t="s">
        <v>484</v>
      </c>
      <c r="B43" s="384"/>
      <c r="C43" s="384"/>
      <c r="D43" s="384"/>
      <c r="E43" s="384"/>
      <c r="F43" s="384"/>
    </row>
    <row r="44" spans="1:6" ht="15">
      <c r="A44" s="388" t="s">
        <v>485</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486</v>
      </c>
      <c r="B47" s="384"/>
      <c r="C47" s="384"/>
      <c r="D47" s="384"/>
      <c r="E47" s="384"/>
      <c r="F47" s="384"/>
    </row>
    <row r="48" spans="1:6" ht="15">
      <c r="A48" s="388" t="s">
        <v>487</v>
      </c>
      <c r="B48" s="384"/>
      <c r="C48" s="384"/>
      <c r="D48" s="384"/>
      <c r="E48" s="384"/>
      <c r="F48" s="384"/>
    </row>
    <row r="49" spans="1:7" ht="15">
      <c r="A49" s="384"/>
      <c r="B49" s="384"/>
      <c r="C49" s="384"/>
      <c r="D49" s="384"/>
      <c r="E49" s="384"/>
      <c r="F49" s="384"/>
      <c r="G49" s="384"/>
    </row>
    <row r="50" spans="1:7" ht="15">
      <c r="A50" s="384" t="s">
        <v>441</v>
      </c>
      <c r="B50" s="384"/>
      <c r="C50" s="384"/>
      <c r="D50" s="384"/>
      <c r="E50" s="384"/>
      <c r="F50" s="384"/>
      <c r="G50" s="384"/>
    </row>
    <row r="51" spans="1:7" ht="15">
      <c r="A51" s="384" t="s">
        <v>442</v>
      </c>
      <c r="B51" s="384"/>
      <c r="C51" s="384"/>
      <c r="D51" s="384"/>
      <c r="E51" s="384"/>
      <c r="F51" s="384"/>
      <c r="G51" s="384"/>
    </row>
    <row r="52" spans="1:7" ht="15">
      <c r="A52" s="384" t="s">
        <v>443</v>
      </c>
      <c r="B52" s="384"/>
      <c r="C52" s="384"/>
      <c r="D52" s="384"/>
      <c r="E52" s="384"/>
      <c r="F52" s="384"/>
      <c r="G52" s="384"/>
    </row>
    <row r="53" spans="1:7" ht="15">
      <c r="A53" s="384" t="s">
        <v>444</v>
      </c>
      <c r="B53" s="384"/>
      <c r="C53" s="384"/>
      <c r="D53" s="384"/>
      <c r="E53" s="384"/>
      <c r="F53" s="384"/>
      <c r="G53" s="384"/>
    </row>
    <row r="54" spans="1:7" ht="15">
      <c r="A54" s="384" t="s">
        <v>445</v>
      </c>
      <c r="B54" s="384"/>
      <c r="C54" s="384"/>
      <c r="D54" s="384"/>
      <c r="E54" s="384"/>
      <c r="F54" s="384"/>
      <c r="G54" s="384"/>
    </row>
    <row r="55" spans="1:7" ht="15">
      <c r="A55" s="384"/>
      <c r="B55" s="384"/>
      <c r="C55" s="384"/>
      <c r="D55" s="384"/>
      <c r="E55" s="384"/>
      <c r="F55" s="384"/>
      <c r="G55" s="384"/>
    </row>
    <row r="56" spans="1:6" ht="15">
      <c r="A56" s="388" t="s">
        <v>496</v>
      </c>
      <c r="B56" s="384"/>
      <c r="C56" s="384"/>
      <c r="D56" s="384"/>
      <c r="E56" s="384"/>
      <c r="F56" s="384"/>
    </row>
    <row r="57" spans="1:6" ht="15">
      <c r="A57" s="388" t="s">
        <v>497</v>
      </c>
      <c r="B57" s="384"/>
      <c r="C57" s="384"/>
      <c r="D57" s="384"/>
      <c r="E57" s="384"/>
      <c r="F57" s="384"/>
    </row>
    <row r="58" spans="1:6" ht="15">
      <c r="A58" s="388" t="s">
        <v>498</v>
      </c>
      <c r="B58" s="384"/>
      <c r="C58" s="384"/>
      <c r="D58" s="384"/>
      <c r="E58" s="384"/>
      <c r="F58" s="384"/>
    </row>
    <row r="59" spans="1:6" ht="15">
      <c r="A59" s="388"/>
      <c r="B59" s="384"/>
      <c r="C59" s="384"/>
      <c r="D59" s="384"/>
      <c r="E59" s="384"/>
      <c r="F59" s="384"/>
    </row>
    <row r="60" spans="1:7" ht="15">
      <c r="A60" s="384" t="s">
        <v>581</v>
      </c>
      <c r="B60" s="384"/>
      <c r="C60" s="384"/>
      <c r="D60" s="384"/>
      <c r="E60" s="384"/>
      <c r="F60" s="384"/>
      <c r="G60" s="384"/>
    </row>
    <row r="61" spans="1:7" ht="15">
      <c r="A61" s="384" t="s">
        <v>582</v>
      </c>
      <c r="B61" s="384"/>
      <c r="C61" s="384"/>
      <c r="D61" s="384"/>
      <c r="E61" s="384"/>
      <c r="F61" s="384"/>
      <c r="G61" s="384"/>
    </row>
    <row r="62" spans="1:7" ht="15">
      <c r="A62" s="384" t="s">
        <v>583</v>
      </c>
      <c r="B62" s="384"/>
      <c r="C62" s="384"/>
      <c r="D62" s="384"/>
      <c r="E62" s="384"/>
      <c r="F62" s="384"/>
      <c r="G62" s="384"/>
    </row>
    <row r="63" spans="1:7" ht="15">
      <c r="A63" s="384" t="s">
        <v>584</v>
      </c>
      <c r="B63" s="384"/>
      <c r="C63" s="384"/>
      <c r="D63" s="384"/>
      <c r="E63" s="384"/>
      <c r="F63" s="384"/>
      <c r="G63" s="384"/>
    </row>
    <row r="64" spans="1:7" ht="15">
      <c r="A64" s="384" t="s">
        <v>585</v>
      </c>
      <c r="B64" s="384"/>
      <c r="C64" s="384"/>
      <c r="D64" s="384"/>
      <c r="E64" s="384"/>
      <c r="F64" s="384"/>
      <c r="G64" s="384"/>
    </row>
    <row r="66" spans="1:6" ht="15">
      <c r="A66" s="388" t="s">
        <v>548</v>
      </c>
      <c r="B66" s="384"/>
      <c r="C66" s="384"/>
      <c r="D66" s="384"/>
      <c r="E66" s="384"/>
      <c r="F66" s="384"/>
    </row>
    <row r="67" spans="1:6" ht="15">
      <c r="A67" s="388" t="s">
        <v>549</v>
      </c>
      <c r="B67" s="384"/>
      <c r="C67" s="384"/>
      <c r="D67" s="384"/>
      <c r="E67" s="384"/>
      <c r="F67" s="384"/>
    </row>
    <row r="68" spans="1:6" ht="15">
      <c r="A68" s="388" t="s">
        <v>550</v>
      </c>
      <c r="B68" s="384"/>
      <c r="C68" s="384"/>
      <c r="D68" s="384"/>
      <c r="E68" s="384"/>
      <c r="F68" s="384"/>
    </row>
    <row r="69" spans="1:6" ht="15">
      <c r="A69" s="388" t="s">
        <v>551</v>
      </c>
      <c r="B69" s="384"/>
      <c r="C69" s="384"/>
      <c r="D69" s="384"/>
      <c r="E69" s="384"/>
      <c r="F69" s="384"/>
    </row>
    <row r="70" spans="1:6" ht="15">
      <c r="A70" s="388" t="s">
        <v>552</v>
      </c>
      <c r="B70" s="384"/>
      <c r="C70" s="384"/>
      <c r="D70" s="384"/>
      <c r="E70" s="384"/>
      <c r="F70" s="384"/>
    </row>
    <row r="71" ht="15">
      <c r="A71" s="384"/>
    </row>
    <row r="72" ht="15">
      <c r="A72" s="384" t="s">
        <v>468</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2">
      <selection activeCell="A9" sqref="A9"/>
    </sheetView>
  </sheetViews>
  <sheetFormatPr defaultColWidth="8.796875" defaultRowHeight="15"/>
  <cols>
    <col min="1" max="1" width="71.296875" style="0" customWidth="1"/>
  </cols>
  <sheetData>
    <row r="3" spans="1:7" ht="15">
      <c r="A3" s="385" t="s">
        <v>586</v>
      </c>
      <c r="B3" s="385"/>
      <c r="C3" s="385"/>
      <c r="D3" s="385"/>
      <c r="E3" s="385"/>
      <c r="F3" s="385"/>
      <c r="G3" s="385"/>
    </row>
    <row r="4" spans="1:7" ht="15">
      <c r="A4" s="385" t="s">
        <v>587</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470</v>
      </c>
    </row>
    <row r="8" ht="15">
      <c r="A8" s="384" t="str">
        <f>CONCATENATE("estimated ",inputPrYr!C5," 'total expenditures' exceed your ",inputPrYr!C5,"")</f>
        <v>estimated 2014 'total expenditures' exceed your 2014</v>
      </c>
    </row>
    <row r="9" ht="15">
      <c r="A9" s="387" t="s">
        <v>588</v>
      </c>
    </row>
    <row r="10" ht="15">
      <c r="A10" s="384"/>
    </row>
    <row r="11" ht="15">
      <c r="A11" s="384" t="s">
        <v>589</v>
      </c>
    </row>
    <row r="12" ht="15">
      <c r="A12" s="384" t="s">
        <v>590</v>
      </c>
    </row>
    <row r="13" ht="15">
      <c r="A13" s="384" t="s">
        <v>591</v>
      </c>
    </row>
    <row r="14" ht="15">
      <c r="A14" s="384"/>
    </row>
    <row r="15" ht="15">
      <c r="A15" s="383" t="s">
        <v>592</v>
      </c>
    </row>
    <row r="16" spans="1:7" ht="15">
      <c r="A16" s="385"/>
      <c r="B16" s="385"/>
      <c r="C16" s="385"/>
      <c r="D16" s="385"/>
      <c r="E16" s="385"/>
      <c r="F16" s="385"/>
      <c r="G16" s="385"/>
    </row>
    <row r="17" spans="1:8" ht="15">
      <c r="A17" s="390" t="s">
        <v>593</v>
      </c>
      <c r="B17" s="373"/>
      <c r="C17" s="373"/>
      <c r="D17" s="373"/>
      <c r="E17" s="373"/>
      <c r="F17" s="373"/>
      <c r="G17" s="373"/>
      <c r="H17" s="373"/>
    </row>
    <row r="18" spans="1:7" ht="15">
      <c r="A18" s="384" t="s">
        <v>594</v>
      </c>
      <c r="B18" s="391"/>
      <c r="C18" s="391"/>
      <c r="D18" s="391"/>
      <c r="E18" s="391"/>
      <c r="F18" s="391"/>
      <c r="G18" s="391"/>
    </row>
    <row r="19" ht="15">
      <c r="A19" s="384" t="s">
        <v>595</v>
      </c>
    </row>
    <row r="20" ht="15">
      <c r="A20" s="384" t="s">
        <v>596</v>
      </c>
    </row>
    <row r="22" ht="15">
      <c r="A22" s="383" t="s">
        <v>597</v>
      </c>
    </row>
    <row r="24" ht="15">
      <c r="A24" s="384" t="s">
        <v>598</v>
      </c>
    </row>
    <row r="25" ht="15">
      <c r="A25" s="384" t="s">
        <v>599</v>
      </c>
    </row>
    <row r="26" ht="15">
      <c r="A26" s="384" t="s">
        <v>600</v>
      </c>
    </row>
    <row r="28" ht="15">
      <c r="A28" s="383" t="s">
        <v>601</v>
      </c>
    </row>
    <row r="30" ht="15">
      <c r="A30" t="s">
        <v>602</v>
      </c>
    </row>
    <row r="31" ht="15">
      <c r="A31" t="s">
        <v>603</v>
      </c>
    </row>
    <row r="32" ht="15">
      <c r="A32" t="s">
        <v>604</v>
      </c>
    </row>
    <row r="33" ht="15">
      <c r="A33" s="384" t="s">
        <v>605</v>
      </c>
    </row>
    <row r="35" ht="15">
      <c r="A35" t="s">
        <v>606</v>
      </c>
    </row>
    <row r="36" ht="15">
      <c r="A36" t="s">
        <v>607</v>
      </c>
    </row>
    <row r="37" ht="15">
      <c r="A37" t="s">
        <v>608</v>
      </c>
    </row>
    <row r="38" ht="15">
      <c r="A38" t="s">
        <v>609</v>
      </c>
    </row>
    <row r="40" ht="15">
      <c r="A40" t="s">
        <v>610</v>
      </c>
    </row>
    <row r="41" ht="15">
      <c r="A41" t="s">
        <v>611</v>
      </c>
    </row>
    <row r="42" ht="15">
      <c r="A42" t="s">
        <v>612</v>
      </c>
    </row>
    <row r="43" ht="15">
      <c r="A43" t="s">
        <v>613</v>
      </c>
    </row>
    <row r="44" ht="15">
      <c r="A44" t="s">
        <v>614</v>
      </c>
    </row>
    <row r="45" ht="15">
      <c r="A45" t="s">
        <v>615</v>
      </c>
    </row>
    <row r="47" ht="15">
      <c r="A47" t="s">
        <v>616</v>
      </c>
    </row>
    <row r="48" ht="15">
      <c r="A48" t="s">
        <v>617</v>
      </c>
    </row>
    <row r="49" ht="15">
      <c r="A49" s="384" t="s">
        <v>618</v>
      </c>
    </row>
    <row r="50" ht="15">
      <c r="A50" s="384" t="s">
        <v>619</v>
      </c>
    </row>
    <row r="52" ht="15">
      <c r="A52" t="s">
        <v>468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8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66" t="s">
        <v>679</v>
      </c>
      <c r="C6" s="874"/>
      <c r="D6" s="874"/>
      <c r="E6" s="874"/>
      <c r="F6" s="874"/>
      <c r="G6" s="874"/>
      <c r="H6" s="874"/>
      <c r="I6" s="874"/>
      <c r="J6" s="874"/>
      <c r="K6" s="874"/>
      <c r="L6" s="575"/>
    </row>
    <row r="7" spans="1:12" ht="40.5" customHeight="1">
      <c r="A7" s="574"/>
      <c r="B7" s="882" t="s">
        <v>680</v>
      </c>
      <c r="C7" s="883"/>
      <c r="D7" s="883"/>
      <c r="E7" s="883"/>
      <c r="F7" s="883"/>
      <c r="G7" s="883"/>
      <c r="H7" s="883"/>
      <c r="I7" s="883"/>
      <c r="J7" s="883"/>
      <c r="K7" s="883"/>
      <c r="L7" s="574"/>
    </row>
    <row r="8" spans="1:12" ht="14.25">
      <c r="A8" s="574"/>
      <c r="B8" s="875" t="s">
        <v>681</v>
      </c>
      <c r="C8" s="875"/>
      <c r="D8" s="875"/>
      <c r="E8" s="875"/>
      <c r="F8" s="875"/>
      <c r="G8" s="875"/>
      <c r="H8" s="875"/>
      <c r="I8" s="875"/>
      <c r="J8" s="875"/>
      <c r="K8" s="875"/>
      <c r="L8" s="574"/>
    </row>
    <row r="9" spans="1:12" ht="14.25">
      <c r="A9" s="574"/>
      <c r="L9" s="574"/>
    </row>
    <row r="10" spans="1:12" ht="14.25">
      <c r="A10" s="574"/>
      <c r="B10" s="875" t="s">
        <v>682</v>
      </c>
      <c r="C10" s="875"/>
      <c r="D10" s="875"/>
      <c r="E10" s="875"/>
      <c r="F10" s="875"/>
      <c r="G10" s="875"/>
      <c r="H10" s="875"/>
      <c r="I10" s="875"/>
      <c r="J10" s="875"/>
      <c r="K10" s="875"/>
      <c r="L10" s="574"/>
    </row>
    <row r="11" spans="1:12" ht="14.25">
      <c r="A11" s="574"/>
      <c r="B11" s="591"/>
      <c r="C11" s="591"/>
      <c r="D11" s="591"/>
      <c r="E11" s="591"/>
      <c r="F11" s="591"/>
      <c r="G11" s="591"/>
      <c r="H11" s="591"/>
      <c r="I11" s="591"/>
      <c r="J11" s="591"/>
      <c r="K11" s="591"/>
      <c r="L11" s="574"/>
    </row>
    <row r="12" spans="1:12" ht="32.25" customHeight="1">
      <c r="A12" s="574"/>
      <c r="B12" s="867" t="s">
        <v>683</v>
      </c>
      <c r="C12" s="867"/>
      <c r="D12" s="867"/>
      <c r="E12" s="867"/>
      <c r="F12" s="867"/>
      <c r="G12" s="867"/>
      <c r="H12" s="867"/>
      <c r="I12" s="867"/>
      <c r="J12" s="867"/>
      <c r="K12" s="867"/>
      <c r="L12" s="574"/>
    </row>
    <row r="13" spans="1:12" ht="14.25">
      <c r="A13" s="574"/>
      <c r="L13" s="574"/>
    </row>
    <row r="14" spans="1:12" ht="14.25">
      <c r="A14" s="574"/>
      <c r="B14" s="521" t="s">
        <v>684</v>
      </c>
      <c r="L14" s="574"/>
    </row>
    <row r="15" spans="1:12" ht="14.25">
      <c r="A15" s="574"/>
      <c r="L15" s="574"/>
    </row>
    <row r="16" spans="1:12" ht="14.25">
      <c r="A16" s="574"/>
      <c r="B16" s="527" t="s">
        <v>685</v>
      </c>
      <c r="L16" s="574"/>
    </row>
    <row r="17" spans="1:12" ht="14.25">
      <c r="A17" s="574"/>
      <c r="B17" s="527" t="s">
        <v>686</v>
      </c>
      <c r="L17" s="574"/>
    </row>
    <row r="18" spans="1:12" ht="14.25">
      <c r="A18" s="574"/>
      <c r="L18" s="574"/>
    </row>
    <row r="19" spans="1:12" ht="14.25">
      <c r="A19" s="574"/>
      <c r="B19" s="521" t="s">
        <v>833</v>
      </c>
      <c r="L19" s="574"/>
    </row>
    <row r="20" spans="1:12" ht="14.25">
      <c r="A20" s="574"/>
      <c r="B20" s="521"/>
      <c r="L20" s="574"/>
    </row>
    <row r="21" spans="1:12" ht="14.25">
      <c r="A21" s="574"/>
      <c r="B21" s="527" t="s">
        <v>834</v>
      </c>
      <c r="L21" s="574"/>
    </row>
    <row r="22" spans="1:12" ht="14.25">
      <c r="A22" s="574"/>
      <c r="L22" s="574"/>
    </row>
    <row r="23" spans="1:12" ht="14.25">
      <c r="A23" s="574"/>
      <c r="B23" s="527" t="s">
        <v>687</v>
      </c>
      <c r="E23" s="527" t="s">
        <v>688</v>
      </c>
      <c r="F23" s="861">
        <v>312000000</v>
      </c>
      <c r="G23" s="861"/>
      <c r="L23" s="574"/>
    </row>
    <row r="24" spans="1:12" ht="14.25">
      <c r="A24" s="574"/>
      <c r="L24" s="574"/>
    </row>
    <row r="25" spans="1:12" ht="14.25">
      <c r="A25" s="574"/>
      <c r="C25" s="884">
        <f>F23</f>
        <v>312000000</v>
      </c>
      <c r="D25" s="884"/>
      <c r="E25" s="527" t="s">
        <v>689</v>
      </c>
      <c r="F25" s="528">
        <v>1000</v>
      </c>
      <c r="G25" s="528" t="s">
        <v>688</v>
      </c>
      <c r="H25" s="592">
        <f>F23/F25</f>
        <v>312000</v>
      </c>
      <c r="L25" s="574"/>
    </row>
    <row r="26" spans="1:12" ht="15" thickBot="1">
      <c r="A26" s="574"/>
      <c r="L26" s="574"/>
    </row>
    <row r="27" spans="1:12" ht="14.25">
      <c r="A27" s="574"/>
      <c r="B27" s="522" t="s">
        <v>684</v>
      </c>
      <c r="C27" s="529"/>
      <c r="D27" s="529"/>
      <c r="E27" s="529"/>
      <c r="F27" s="529"/>
      <c r="G27" s="529"/>
      <c r="H27" s="529"/>
      <c r="I27" s="529"/>
      <c r="J27" s="529"/>
      <c r="K27" s="530"/>
      <c r="L27" s="574"/>
    </row>
    <row r="28" spans="1:12" ht="14.25">
      <c r="A28" s="574"/>
      <c r="B28" s="531">
        <f>F23</f>
        <v>312000000</v>
      </c>
      <c r="C28" s="532" t="s">
        <v>690</v>
      </c>
      <c r="D28" s="532"/>
      <c r="E28" s="532" t="s">
        <v>689</v>
      </c>
      <c r="F28" s="596">
        <v>1000</v>
      </c>
      <c r="G28" s="596" t="s">
        <v>688</v>
      </c>
      <c r="H28" s="533">
        <f>B28/F28</f>
        <v>312000</v>
      </c>
      <c r="I28" s="532" t="s">
        <v>691</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3" t="s">
        <v>680</v>
      </c>
      <c r="C30" s="863"/>
      <c r="D30" s="863"/>
      <c r="E30" s="863"/>
      <c r="F30" s="863"/>
      <c r="G30" s="863"/>
      <c r="H30" s="863"/>
      <c r="I30" s="863"/>
      <c r="J30" s="863"/>
      <c r="K30" s="863"/>
      <c r="L30" s="574"/>
    </row>
    <row r="31" spans="1:12" ht="14.25">
      <c r="A31" s="574"/>
      <c r="B31" s="875" t="s">
        <v>692</v>
      </c>
      <c r="C31" s="875"/>
      <c r="D31" s="875"/>
      <c r="E31" s="875"/>
      <c r="F31" s="875"/>
      <c r="G31" s="875"/>
      <c r="H31" s="875"/>
      <c r="I31" s="875"/>
      <c r="J31" s="875"/>
      <c r="K31" s="875"/>
      <c r="L31" s="574"/>
    </row>
    <row r="32" spans="1:12" ht="14.25">
      <c r="A32" s="574"/>
      <c r="L32" s="574"/>
    </row>
    <row r="33" spans="1:12" ht="14.25">
      <c r="A33" s="574"/>
      <c r="B33" s="875" t="s">
        <v>693</v>
      </c>
      <c r="C33" s="875"/>
      <c r="D33" s="875"/>
      <c r="E33" s="875"/>
      <c r="F33" s="875"/>
      <c r="G33" s="875"/>
      <c r="H33" s="875"/>
      <c r="I33" s="875"/>
      <c r="J33" s="875"/>
      <c r="K33" s="875"/>
      <c r="L33" s="574"/>
    </row>
    <row r="34" spans="1:12" ht="14.25">
      <c r="A34" s="574"/>
      <c r="L34" s="574"/>
    </row>
    <row r="35" spans="1:12" ht="89.25" customHeight="1">
      <c r="A35" s="574"/>
      <c r="B35" s="867" t="s">
        <v>694</v>
      </c>
      <c r="C35" s="865"/>
      <c r="D35" s="865"/>
      <c r="E35" s="865"/>
      <c r="F35" s="865"/>
      <c r="G35" s="865"/>
      <c r="H35" s="865"/>
      <c r="I35" s="865"/>
      <c r="J35" s="865"/>
      <c r="K35" s="865"/>
      <c r="L35" s="574"/>
    </row>
    <row r="36" spans="1:12" ht="14.25">
      <c r="A36" s="574"/>
      <c r="L36" s="574"/>
    </row>
    <row r="37" spans="1:12" ht="14.25">
      <c r="A37" s="574"/>
      <c r="B37" s="521" t="s">
        <v>695</v>
      </c>
      <c r="L37" s="574"/>
    </row>
    <row r="38" spans="1:12" ht="14.25">
      <c r="A38" s="574"/>
      <c r="L38" s="574"/>
    </row>
    <row r="39" spans="1:12" ht="14.25">
      <c r="A39" s="574"/>
      <c r="B39" s="527" t="s">
        <v>728</v>
      </c>
      <c r="L39" s="574"/>
    </row>
    <row r="40" spans="1:12" ht="14.25">
      <c r="A40" s="574"/>
      <c r="L40" s="574"/>
    </row>
    <row r="41" spans="1:12" ht="14.25">
      <c r="A41" s="574"/>
      <c r="C41" s="876">
        <v>312000000</v>
      </c>
      <c r="D41" s="876"/>
      <c r="E41" s="527" t="s">
        <v>689</v>
      </c>
      <c r="F41" s="528">
        <v>1000</v>
      </c>
      <c r="G41" s="528" t="s">
        <v>688</v>
      </c>
      <c r="H41" s="538">
        <f>C41/F41</f>
        <v>312000</v>
      </c>
      <c r="L41" s="574"/>
    </row>
    <row r="42" spans="1:12" ht="14.25">
      <c r="A42" s="574"/>
      <c r="L42" s="574"/>
    </row>
    <row r="43" spans="1:12" ht="14.25">
      <c r="A43" s="574"/>
      <c r="B43" s="527" t="s">
        <v>729</v>
      </c>
      <c r="L43" s="574"/>
    </row>
    <row r="44" spans="1:12" ht="14.25">
      <c r="A44" s="574"/>
      <c r="L44" s="574"/>
    </row>
    <row r="45" spans="1:12" ht="14.25">
      <c r="A45" s="574"/>
      <c r="B45" s="527" t="s">
        <v>696</v>
      </c>
      <c r="L45" s="574"/>
    </row>
    <row r="46" spans="1:12" ht="15" thickBot="1">
      <c r="A46" s="574"/>
      <c r="L46" s="574"/>
    </row>
    <row r="47" spans="1:12" ht="14.25">
      <c r="A47" s="574"/>
      <c r="B47" s="539" t="s">
        <v>684</v>
      </c>
      <c r="C47" s="529"/>
      <c r="D47" s="529"/>
      <c r="E47" s="529"/>
      <c r="F47" s="529"/>
      <c r="G47" s="529"/>
      <c r="H47" s="529"/>
      <c r="I47" s="529"/>
      <c r="J47" s="529"/>
      <c r="K47" s="530"/>
      <c r="L47" s="574"/>
    </row>
    <row r="48" spans="1:12" ht="14.25">
      <c r="A48" s="574"/>
      <c r="B48" s="877">
        <v>312000000</v>
      </c>
      <c r="C48" s="861"/>
      <c r="D48" s="532" t="s">
        <v>697</v>
      </c>
      <c r="E48" s="532" t="s">
        <v>689</v>
      </c>
      <c r="F48" s="635">
        <v>1000</v>
      </c>
      <c r="G48" s="635" t="s">
        <v>688</v>
      </c>
      <c r="H48" s="533">
        <f>B48/F48</f>
        <v>312000</v>
      </c>
      <c r="I48" s="532" t="s">
        <v>698</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699</v>
      </c>
      <c r="D50" s="532"/>
      <c r="E50" s="532" t="s">
        <v>689</v>
      </c>
      <c r="F50" s="533">
        <f>H48</f>
        <v>312000</v>
      </c>
      <c r="G50" s="878" t="s">
        <v>700</v>
      </c>
      <c r="H50" s="879"/>
      <c r="I50" s="635" t="s">
        <v>688</v>
      </c>
      <c r="J50" s="542">
        <f>B50/F50</f>
        <v>0.16025641025641027</v>
      </c>
      <c r="K50" s="534"/>
      <c r="L50" s="574"/>
    </row>
    <row r="51" spans="1:15" ht="15" thickBot="1">
      <c r="A51" s="574"/>
      <c r="B51" s="535"/>
      <c r="C51" s="536"/>
      <c r="D51" s="536"/>
      <c r="E51" s="536"/>
      <c r="F51" s="536"/>
      <c r="G51" s="536"/>
      <c r="H51" s="536"/>
      <c r="I51" s="880" t="s">
        <v>701</v>
      </c>
      <c r="J51" s="880"/>
      <c r="K51" s="881"/>
      <c r="L51" s="574"/>
      <c r="O51" s="611"/>
    </row>
    <row r="52" spans="1:12" ht="40.5" customHeight="1">
      <c r="A52" s="574"/>
      <c r="B52" s="863" t="s">
        <v>680</v>
      </c>
      <c r="C52" s="863"/>
      <c r="D52" s="863"/>
      <c r="E52" s="863"/>
      <c r="F52" s="863"/>
      <c r="G52" s="863"/>
      <c r="H52" s="863"/>
      <c r="I52" s="863"/>
      <c r="J52" s="863"/>
      <c r="K52" s="863"/>
      <c r="L52" s="574"/>
    </row>
    <row r="53" spans="1:12" ht="14.25">
      <c r="A53" s="574"/>
      <c r="B53" s="875" t="s">
        <v>702</v>
      </c>
      <c r="C53" s="875"/>
      <c r="D53" s="875"/>
      <c r="E53" s="875"/>
      <c r="F53" s="875"/>
      <c r="G53" s="875"/>
      <c r="H53" s="875"/>
      <c r="I53" s="875"/>
      <c r="J53" s="875"/>
      <c r="K53" s="875"/>
      <c r="L53" s="574"/>
    </row>
    <row r="54" spans="1:12" ht="14.25">
      <c r="A54" s="574"/>
      <c r="B54" s="591"/>
      <c r="C54" s="591"/>
      <c r="D54" s="591"/>
      <c r="E54" s="591"/>
      <c r="F54" s="591"/>
      <c r="G54" s="591"/>
      <c r="H54" s="591"/>
      <c r="I54" s="591"/>
      <c r="J54" s="591"/>
      <c r="K54" s="591"/>
      <c r="L54" s="574"/>
    </row>
    <row r="55" spans="1:12" ht="14.25">
      <c r="A55" s="574"/>
      <c r="B55" s="866" t="s">
        <v>703</v>
      </c>
      <c r="C55" s="866"/>
      <c r="D55" s="866"/>
      <c r="E55" s="866"/>
      <c r="F55" s="866"/>
      <c r="G55" s="866"/>
      <c r="H55" s="866"/>
      <c r="I55" s="866"/>
      <c r="J55" s="866"/>
      <c r="K55" s="866"/>
      <c r="L55" s="574"/>
    </row>
    <row r="56" spans="1:12" ht="15" customHeight="1">
      <c r="A56" s="574"/>
      <c r="L56" s="574"/>
    </row>
    <row r="57" spans="1:24" ht="74.25" customHeight="1">
      <c r="A57" s="574"/>
      <c r="B57" s="867" t="s">
        <v>704</v>
      </c>
      <c r="C57" s="865"/>
      <c r="D57" s="865"/>
      <c r="E57" s="865"/>
      <c r="F57" s="865"/>
      <c r="G57" s="865"/>
      <c r="H57" s="865"/>
      <c r="I57" s="865"/>
      <c r="J57" s="865"/>
      <c r="K57" s="865"/>
      <c r="L57" s="574"/>
      <c r="M57" s="523"/>
      <c r="N57" s="543"/>
      <c r="O57" s="543"/>
      <c r="P57" s="543"/>
      <c r="Q57" s="543"/>
      <c r="R57" s="543"/>
      <c r="S57" s="543"/>
      <c r="T57" s="543"/>
      <c r="U57" s="543"/>
      <c r="V57" s="543"/>
      <c r="W57" s="543"/>
      <c r="X57" s="543"/>
    </row>
    <row r="58" spans="1:24" ht="15" customHeight="1">
      <c r="A58" s="574"/>
      <c r="B58" s="867"/>
      <c r="C58" s="865"/>
      <c r="D58" s="865"/>
      <c r="E58" s="865"/>
      <c r="F58" s="865"/>
      <c r="G58" s="865"/>
      <c r="H58" s="865"/>
      <c r="I58" s="865"/>
      <c r="J58" s="865"/>
      <c r="K58" s="865"/>
      <c r="L58" s="574"/>
      <c r="M58" s="523"/>
      <c r="N58" s="543"/>
      <c r="O58" s="543"/>
      <c r="P58" s="543"/>
      <c r="Q58" s="543"/>
      <c r="R58" s="543"/>
      <c r="S58" s="543"/>
      <c r="T58" s="543"/>
      <c r="U58" s="543"/>
      <c r="V58" s="543"/>
      <c r="W58" s="543"/>
      <c r="X58" s="543"/>
    </row>
    <row r="59" spans="1:24" ht="14.25">
      <c r="A59" s="574"/>
      <c r="B59" s="521" t="s">
        <v>695</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730</v>
      </c>
      <c r="L61" s="574"/>
      <c r="M61" s="543"/>
      <c r="N61" s="543"/>
      <c r="O61" s="543"/>
      <c r="P61" s="543"/>
      <c r="Q61" s="543"/>
      <c r="R61" s="543"/>
      <c r="S61" s="543"/>
      <c r="T61" s="543"/>
      <c r="U61" s="543"/>
      <c r="V61" s="543"/>
      <c r="W61" s="543"/>
      <c r="X61" s="543"/>
    </row>
    <row r="62" spans="1:24" ht="14.25">
      <c r="A62" s="574"/>
      <c r="B62" s="527" t="s">
        <v>835</v>
      </c>
      <c r="L62" s="574"/>
      <c r="M62" s="543"/>
      <c r="N62" s="543"/>
      <c r="O62" s="543"/>
      <c r="P62" s="543"/>
      <c r="Q62" s="543"/>
      <c r="R62" s="543"/>
      <c r="S62" s="543"/>
      <c r="T62" s="543"/>
      <c r="U62" s="543"/>
      <c r="V62" s="543"/>
      <c r="W62" s="543"/>
      <c r="X62" s="543"/>
    </row>
    <row r="63" spans="1:24" ht="14.25">
      <c r="A63" s="574"/>
      <c r="B63" s="527" t="s">
        <v>836</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731</v>
      </c>
      <c r="L65" s="574"/>
      <c r="M65" s="543"/>
      <c r="N65" s="543"/>
      <c r="O65" s="543"/>
      <c r="P65" s="543"/>
      <c r="Q65" s="543"/>
      <c r="R65" s="543"/>
      <c r="S65" s="543"/>
      <c r="T65" s="543"/>
      <c r="U65" s="543"/>
      <c r="V65" s="543"/>
      <c r="W65" s="543"/>
      <c r="X65" s="543"/>
    </row>
    <row r="66" spans="1:24" ht="14.25">
      <c r="A66" s="574"/>
      <c r="B66" s="527" t="s">
        <v>705</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732</v>
      </c>
      <c r="L68" s="574"/>
      <c r="M68" s="524"/>
      <c r="N68" s="544"/>
      <c r="O68" s="544"/>
      <c r="P68" s="544"/>
      <c r="Q68" s="544"/>
      <c r="R68" s="544"/>
      <c r="S68" s="544"/>
      <c r="T68" s="544"/>
      <c r="U68" s="544"/>
      <c r="V68" s="544"/>
      <c r="W68" s="544"/>
      <c r="X68" s="543"/>
    </row>
    <row r="69" spans="1:24" ht="14.25">
      <c r="A69" s="574"/>
      <c r="B69" s="527" t="s">
        <v>837</v>
      </c>
      <c r="L69" s="574"/>
      <c r="M69" s="543"/>
      <c r="N69" s="543"/>
      <c r="O69" s="543"/>
      <c r="P69" s="543"/>
      <c r="Q69" s="543"/>
      <c r="R69" s="543"/>
      <c r="S69" s="543"/>
      <c r="T69" s="543"/>
      <c r="U69" s="543"/>
      <c r="V69" s="543"/>
      <c r="W69" s="543"/>
      <c r="X69" s="543"/>
    </row>
    <row r="70" spans="1:24" ht="14.25">
      <c r="A70" s="574"/>
      <c r="B70" s="527" t="s">
        <v>838</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684</v>
      </c>
      <c r="C72" s="529"/>
      <c r="D72" s="529"/>
      <c r="E72" s="529"/>
      <c r="F72" s="529"/>
      <c r="G72" s="529"/>
      <c r="H72" s="529"/>
      <c r="I72" s="529"/>
      <c r="J72" s="529"/>
      <c r="K72" s="530"/>
      <c r="L72" s="576"/>
    </row>
    <row r="73" spans="1:12" ht="14.25">
      <c r="A73" s="574"/>
      <c r="B73" s="540"/>
      <c r="C73" s="532" t="s">
        <v>690</v>
      </c>
      <c r="D73" s="532"/>
      <c r="E73" s="532"/>
      <c r="F73" s="532"/>
      <c r="G73" s="532"/>
      <c r="H73" s="532"/>
      <c r="I73" s="532"/>
      <c r="J73" s="532"/>
      <c r="K73" s="534"/>
      <c r="L73" s="576"/>
    </row>
    <row r="74" spans="1:12" ht="14.25">
      <c r="A74" s="574"/>
      <c r="B74" s="540" t="s">
        <v>706</v>
      </c>
      <c r="C74" s="861">
        <v>312000000</v>
      </c>
      <c r="D74" s="861"/>
      <c r="E74" s="596" t="s">
        <v>689</v>
      </c>
      <c r="F74" s="596">
        <v>1000</v>
      </c>
      <c r="G74" s="596" t="s">
        <v>688</v>
      </c>
      <c r="H74" s="597">
        <f>C74/F74</f>
        <v>312000</v>
      </c>
      <c r="I74" s="532" t="s">
        <v>707</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708</v>
      </c>
      <c r="D76" s="532"/>
      <c r="E76" s="596"/>
      <c r="F76" s="532" t="s">
        <v>707</v>
      </c>
      <c r="G76" s="532"/>
      <c r="H76" s="532"/>
      <c r="I76" s="532"/>
      <c r="J76" s="532"/>
      <c r="K76" s="534"/>
      <c r="L76" s="576"/>
    </row>
    <row r="77" spans="1:12" ht="14.25">
      <c r="A77" s="574"/>
      <c r="B77" s="540" t="s">
        <v>711</v>
      </c>
      <c r="C77" s="861">
        <v>50000</v>
      </c>
      <c r="D77" s="861"/>
      <c r="E77" s="596" t="s">
        <v>689</v>
      </c>
      <c r="F77" s="597">
        <f>H74</f>
        <v>312000</v>
      </c>
      <c r="G77" s="596" t="s">
        <v>688</v>
      </c>
      <c r="H77" s="542">
        <f>C77/F77</f>
        <v>0.16025641025641027</v>
      </c>
      <c r="I77" s="532" t="s">
        <v>709</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710</v>
      </c>
      <c r="D79" s="546"/>
      <c r="E79" s="598"/>
      <c r="F79" s="546"/>
      <c r="G79" s="546"/>
      <c r="H79" s="546"/>
      <c r="I79" s="546"/>
      <c r="J79" s="546"/>
      <c r="K79" s="547"/>
      <c r="L79" s="576"/>
    </row>
    <row r="80" spans="1:12" ht="14.25">
      <c r="A80" s="574"/>
      <c r="B80" s="540" t="s">
        <v>788</v>
      </c>
      <c r="C80" s="861">
        <v>100000</v>
      </c>
      <c r="D80" s="861"/>
      <c r="E80" s="596" t="s">
        <v>153</v>
      </c>
      <c r="F80" s="596">
        <v>0.115</v>
      </c>
      <c r="G80" s="596" t="s">
        <v>688</v>
      </c>
      <c r="H80" s="597">
        <f>C80*F80</f>
        <v>11500</v>
      </c>
      <c r="I80" s="532" t="s">
        <v>712</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713</v>
      </c>
      <c r="D82" s="546"/>
      <c r="E82" s="598"/>
      <c r="F82" s="546" t="s">
        <v>709</v>
      </c>
      <c r="G82" s="546"/>
      <c r="H82" s="546"/>
      <c r="I82" s="546"/>
      <c r="J82" s="546" t="s">
        <v>714</v>
      </c>
      <c r="K82" s="547"/>
      <c r="L82" s="576"/>
    </row>
    <row r="83" spans="1:12" ht="14.25">
      <c r="A83" s="574"/>
      <c r="B83" s="540" t="s">
        <v>789</v>
      </c>
      <c r="C83" s="859">
        <f>H80</f>
        <v>11500</v>
      </c>
      <c r="D83" s="859"/>
      <c r="E83" s="596" t="s">
        <v>153</v>
      </c>
      <c r="F83" s="542">
        <f>H77</f>
        <v>0.16025641025641027</v>
      </c>
      <c r="G83" s="596" t="s">
        <v>689</v>
      </c>
      <c r="H83" s="596">
        <v>1000</v>
      </c>
      <c r="I83" s="596" t="s">
        <v>688</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63" t="s">
        <v>680</v>
      </c>
      <c r="C85" s="863"/>
      <c r="D85" s="863"/>
      <c r="E85" s="863"/>
      <c r="F85" s="863"/>
      <c r="G85" s="863"/>
      <c r="H85" s="863"/>
      <c r="I85" s="863"/>
      <c r="J85" s="863"/>
      <c r="K85" s="863"/>
      <c r="L85" s="574"/>
    </row>
    <row r="86" spans="1:12" ht="14.25">
      <c r="A86" s="574"/>
      <c r="B86" s="866" t="s">
        <v>715</v>
      </c>
      <c r="C86" s="866"/>
      <c r="D86" s="866"/>
      <c r="E86" s="866"/>
      <c r="F86" s="866"/>
      <c r="G86" s="866"/>
      <c r="H86" s="866"/>
      <c r="I86" s="866"/>
      <c r="J86" s="866"/>
      <c r="K86" s="866"/>
      <c r="L86" s="574"/>
    </row>
    <row r="87" spans="1:12" ht="14.25">
      <c r="A87" s="574"/>
      <c r="B87" s="553"/>
      <c r="C87" s="553"/>
      <c r="D87" s="553"/>
      <c r="E87" s="553"/>
      <c r="F87" s="553"/>
      <c r="G87" s="553"/>
      <c r="H87" s="553"/>
      <c r="I87" s="553"/>
      <c r="J87" s="553"/>
      <c r="K87" s="553"/>
      <c r="L87" s="574"/>
    </row>
    <row r="88" spans="1:12" ht="14.25">
      <c r="A88" s="574"/>
      <c r="B88" s="866" t="s">
        <v>716</v>
      </c>
      <c r="C88" s="866"/>
      <c r="D88" s="866"/>
      <c r="E88" s="866"/>
      <c r="F88" s="866"/>
      <c r="G88" s="866"/>
      <c r="H88" s="866"/>
      <c r="I88" s="866"/>
      <c r="J88" s="866"/>
      <c r="K88" s="866"/>
      <c r="L88" s="574"/>
    </row>
    <row r="89" spans="1:12" ht="14.25">
      <c r="A89" s="574"/>
      <c r="B89" s="590"/>
      <c r="C89" s="590"/>
      <c r="D89" s="590"/>
      <c r="E89" s="590"/>
      <c r="F89" s="590"/>
      <c r="G89" s="590"/>
      <c r="H89" s="590"/>
      <c r="I89" s="590"/>
      <c r="J89" s="590"/>
      <c r="K89" s="590"/>
      <c r="L89" s="574"/>
    </row>
    <row r="90" spans="1:12" ht="45" customHeight="1">
      <c r="A90" s="574"/>
      <c r="B90" s="867" t="s">
        <v>717</v>
      </c>
      <c r="C90" s="867"/>
      <c r="D90" s="867"/>
      <c r="E90" s="867"/>
      <c r="F90" s="867"/>
      <c r="G90" s="867"/>
      <c r="H90" s="867"/>
      <c r="I90" s="867"/>
      <c r="J90" s="867"/>
      <c r="K90" s="867"/>
      <c r="L90" s="574"/>
    </row>
    <row r="91" spans="1:12" ht="15" customHeight="1" thickBot="1">
      <c r="A91" s="574"/>
      <c r="L91" s="574"/>
    </row>
    <row r="92" spans="1:12" ht="15" customHeight="1">
      <c r="A92" s="574"/>
      <c r="B92" s="525" t="s">
        <v>684</v>
      </c>
      <c r="C92" s="554"/>
      <c r="D92" s="554"/>
      <c r="E92" s="554"/>
      <c r="F92" s="554"/>
      <c r="G92" s="554"/>
      <c r="H92" s="554"/>
      <c r="I92" s="554"/>
      <c r="J92" s="554"/>
      <c r="K92" s="555"/>
      <c r="L92" s="574"/>
    </row>
    <row r="93" spans="1:12" ht="15" customHeight="1">
      <c r="A93" s="574"/>
      <c r="B93" s="556"/>
      <c r="C93" s="594" t="s">
        <v>690</v>
      </c>
      <c r="D93" s="594"/>
      <c r="E93" s="594"/>
      <c r="F93" s="594"/>
      <c r="G93" s="594"/>
      <c r="H93" s="594"/>
      <c r="I93" s="594"/>
      <c r="J93" s="594"/>
      <c r="K93" s="557"/>
      <c r="L93" s="574"/>
    </row>
    <row r="94" spans="1:12" ht="15" customHeight="1">
      <c r="A94" s="574"/>
      <c r="B94" s="556" t="s">
        <v>706</v>
      </c>
      <c r="C94" s="861">
        <v>312000000</v>
      </c>
      <c r="D94" s="861"/>
      <c r="E94" s="596" t="s">
        <v>689</v>
      </c>
      <c r="F94" s="596">
        <v>1000</v>
      </c>
      <c r="G94" s="596" t="s">
        <v>688</v>
      </c>
      <c r="H94" s="597">
        <f>C94/F94</f>
        <v>312000</v>
      </c>
      <c r="I94" s="594" t="s">
        <v>707</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708</v>
      </c>
      <c r="D96" s="594"/>
      <c r="E96" s="596"/>
      <c r="F96" s="594" t="s">
        <v>707</v>
      </c>
      <c r="G96" s="594"/>
      <c r="H96" s="594"/>
      <c r="I96" s="594"/>
      <c r="J96" s="594"/>
      <c r="K96" s="557"/>
      <c r="L96" s="574"/>
    </row>
    <row r="97" spans="1:12" ht="15" customHeight="1">
      <c r="A97" s="574"/>
      <c r="B97" s="556" t="s">
        <v>711</v>
      </c>
      <c r="C97" s="861">
        <v>50000</v>
      </c>
      <c r="D97" s="861"/>
      <c r="E97" s="596" t="s">
        <v>689</v>
      </c>
      <c r="F97" s="597">
        <f>H94</f>
        <v>312000</v>
      </c>
      <c r="G97" s="596" t="s">
        <v>688</v>
      </c>
      <c r="H97" s="542">
        <f>C97/F97</f>
        <v>0.16025641025641027</v>
      </c>
      <c r="I97" s="594" t="s">
        <v>709</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718</v>
      </c>
      <c r="D99" s="559"/>
      <c r="E99" s="598"/>
      <c r="F99" s="559"/>
      <c r="G99" s="559"/>
      <c r="H99" s="559"/>
      <c r="I99" s="559"/>
      <c r="J99" s="559"/>
      <c r="K99" s="560"/>
      <c r="L99" s="574"/>
    </row>
    <row r="100" spans="1:12" ht="15" customHeight="1">
      <c r="A100" s="574"/>
      <c r="B100" s="556" t="s">
        <v>788</v>
      </c>
      <c r="C100" s="861">
        <v>2500000</v>
      </c>
      <c r="D100" s="861"/>
      <c r="E100" s="596" t="s">
        <v>153</v>
      </c>
      <c r="F100" s="561">
        <v>0.3</v>
      </c>
      <c r="G100" s="596" t="s">
        <v>688</v>
      </c>
      <c r="H100" s="597">
        <f>C100*F100</f>
        <v>750000</v>
      </c>
      <c r="I100" s="594" t="s">
        <v>712</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713</v>
      </c>
      <c r="D102" s="559"/>
      <c r="E102" s="598"/>
      <c r="F102" s="559" t="s">
        <v>709</v>
      </c>
      <c r="G102" s="559"/>
      <c r="H102" s="559"/>
      <c r="I102" s="559"/>
      <c r="J102" s="559" t="s">
        <v>714</v>
      </c>
      <c r="K102" s="560"/>
      <c r="L102" s="574"/>
    </row>
    <row r="103" spans="1:12" ht="15" customHeight="1">
      <c r="A103" s="574"/>
      <c r="B103" s="556" t="s">
        <v>789</v>
      </c>
      <c r="C103" s="859">
        <f>H100</f>
        <v>750000</v>
      </c>
      <c r="D103" s="859"/>
      <c r="E103" s="596" t="s">
        <v>153</v>
      </c>
      <c r="F103" s="542">
        <f>H97</f>
        <v>0.16025641025641027</v>
      </c>
      <c r="G103" s="596" t="s">
        <v>689</v>
      </c>
      <c r="H103" s="596">
        <v>1000</v>
      </c>
      <c r="I103" s="596" t="s">
        <v>688</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3" t="s">
        <v>680</v>
      </c>
      <c r="C105" s="869"/>
      <c r="D105" s="869"/>
      <c r="E105" s="869"/>
      <c r="F105" s="869"/>
      <c r="G105" s="869"/>
      <c r="H105" s="869"/>
      <c r="I105" s="869"/>
      <c r="J105" s="869"/>
      <c r="K105" s="869"/>
      <c r="L105" s="574"/>
    </row>
    <row r="106" spans="1:12" ht="15" customHeight="1">
      <c r="A106" s="574"/>
      <c r="B106" s="873" t="s">
        <v>719</v>
      </c>
      <c r="C106" s="874"/>
      <c r="D106" s="874"/>
      <c r="E106" s="874"/>
      <c r="F106" s="874"/>
      <c r="G106" s="874"/>
      <c r="H106" s="874"/>
      <c r="I106" s="874"/>
      <c r="J106" s="874"/>
      <c r="K106" s="874"/>
      <c r="L106" s="574"/>
    </row>
    <row r="107" spans="1:12" ht="15" customHeight="1">
      <c r="A107" s="574"/>
      <c r="B107" s="594"/>
      <c r="C107" s="563"/>
      <c r="D107" s="563"/>
      <c r="E107" s="596"/>
      <c r="F107" s="542"/>
      <c r="G107" s="596"/>
      <c r="H107" s="596"/>
      <c r="I107" s="596"/>
      <c r="J107" s="548"/>
      <c r="K107" s="594"/>
      <c r="L107" s="574"/>
    </row>
    <row r="108" spans="1:12" ht="15" customHeight="1">
      <c r="A108" s="574"/>
      <c r="B108" s="873" t="s">
        <v>720</v>
      </c>
      <c r="C108" s="886"/>
      <c r="D108" s="886"/>
      <c r="E108" s="886"/>
      <c r="F108" s="886"/>
      <c r="G108" s="886"/>
      <c r="H108" s="886"/>
      <c r="I108" s="886"/>
      <c r="J108" s="886"/>
      <c r="K108" s="886"/>
      <c r="L108" s="574"/>
    </row>
    <row r="109" spans="1:12" ht="15" customHeight="1">
      <c r="A109" s="574"/>
      <c r="B109" s="594"/>
      <c r="C109" s="563"/>
      <c r="D109" s="563"/>
      <c r="E109" s="596"/>
      <c r="F109" s="542"/>
      <c r="G109" s="596"/>
      <c r="H109" s="596"/>
      <c r="I109" s="596"/>
      <c r="J109" s="548"/>
      <c r="K109" s="594"/>
      <c r="L109" s="574"/>
    </row>
    <row r="110" spans="1:12" ht="59.25" customHeight="1">
      <c r="A110" s="574"/>
      <c r="B110" s="864" t="s">
        <v>721</v>
      </c>
      <c r="C110" s="865"/>
      <c r="D110" s="865"/>
      <c r="E110" s="865"/>
      <c r="F110" s="865"/>
      <c r="G110" s="865"/>
      <c r="H110" s="865"/>
      <c r="I110" s="865"/>
      <c r="J110" s="865"/>
      <c r="K110" s="865"/>
      <c r="L110" s="574"/>
    </row>
    <row r="111" spans="1:12" ht="15" thickBot="1">
      <c r="A111" s="574"/>
      <c r="B111" s="591"/>
      <c r="C111" s="591"/>
      <c r="D111" s="591"/>
      <c r="E111" s="591"/>
      <c r="F111" s="591"/>
      <c r="G111" s="591"/>
      <c r="H111" s="591"/>
      <c r="I111" s="591"/>
      <c r="J111" s="591"/>
      <c r="K111" s="591"/>
      <c r="L111" s="577"/>
    </row>
    <row r="112" spans="1:12" ht="14.25">
      <c r="A112" s="574"/>
      <c r="B112" s="522" t="s">
        <v>684</v>
      </c>
      <c r="C112" s="529"/>
      <c r="D112" s="529"/>
      <c r="E112" s="529"/>
      <c r="F112" s="529"/>
      <c r="G112" s="529"/>
      <c r="H112" s="529"/>
      <c r="I112" s="529"/>
      <c r="J112" s="529"/>
      <c r="K112" s="530"/>
      <c r="L112" s="574"/>
    </row>
    <row r="113" spans="1:12" ht="14.25">
      <c r="A113" s="574"/>
      <c r="B113" s="540"/>
      <c r="C113" s="532" t="s">
        <v>690</v>
      </c>
      <c r="D113" s="532"/>
      <c r="E113" s="532"/>
      <c r="F113" s="532"/>
      <c r="G113" s="532"/>
      <c r="H113" s="532"/>
      <c r="I113" s="532"/>
      <c r="J113" s="532"/>
      <c r="K113" s="534"/>
      <c r="L113" s="574"/>
    </row>
    <row r="114" spans="1:12" ht="14.25">
      <c r="A114" s="574"/>
      <c r="B114" s="540" t="s">
        <v>706</v>
      </c>
      <c r="C114" s="861">
        <v>312000000</v>
      </c>
      <c r="D114" s="861"/>
      <c r="E114" s="596" t="s">
        <v>689</v>
      </c>
      <c r="F114" s="596">
        <v>1000</v>
      </c>
      <c r="G114" s="596" t="s">
        <v>688</v>
      </c>
      <c r="H114" s="597">
        <f>C114/F114</f>
        <v>312000</v>
      </c>
      <c r="I114" s="532" t="s">
        <v>707</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708</v>
      </c>
      <c r="D116" s="532"/>
      <c r="E116" s="596"/>
      <c r="F116" s="532" t="s">
        <v>707</v>
      </c>
      <c r="G116" s="532"/>
      <c r="H116" s="532"/>
      <c r="I116" s="532"/>
      <c r="J116" s="532"/>
      <c r="K116" s="534"/>
      <c r="L116" s="574"/>
    </row>
    <row r="117" spans="1:12" ht="14.25">
      <c r="A117" s="574"/>
      <c r="B117" s="540" t="s">
        <v>711</v>
      </c>
      <c r="C117" s="861">
        <v>50000</v>
      </c>
      <c r="D117" s="861"/>
      <c r="E117" s="596" t="s">
        <v>689</v>
      </c>
      <c r="F117" s="597">
        <f>H114</f>
        <v>312000</v>
      </c>
      <c r="G117" s="596" t="s">
        <v>688</v>
      </c>
      <c r="H117" s="542">
        <f>C117/F117</f>
        <v>0.16025641025641027</v>
      </c>
      <c r="I117" s="532" t="s">
        <v>709</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718</v>
      </c>
      <c r="D119" s="546"/>
      <c r="E119" s="598"/>
      <c r="F119" s="546"/>
      <c r="G119" s="546"/>
      <c r="H119" s="546"/>
      <c r="I119" s="546"/>
      <c r="J119" s="546"/>
      <c r="K119" s="547"/>
      <c r="L119" s="574"/>
    </row>
    <row r="120" spans="1:12" ht="14.25">
      <c r="A120" s="574"/>
      <c r="B120" s="540" t="s">
        <v>788</v>
      </c>
      <c r="C120" s="861">
        <v>2500000</v>
      </c>
      <c r="D120" s="861"/>
      <c r="E120" s="596" t="s">
        <v>153</v>
      </c>
      <c r="F120" s="561">
        <v>0.25</v>
      </c>
      <c r="G120" s="596" t="s">
        <v>688</v>
      </c>
      <c r="H120" s="597">
        <f>C120*F120</f>
        <v>625000</v>
      </c>
      <c r="I120" s="532" t="s">
        <v>712</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713</v>
      </c>
      <c r="D122" s="546"/>
      <c r="E122" s="598"/>
      <c r="F122" s="546" t="s">
        <v>709</v>
      </c>
      <c r="G122" s="546"/>
      <c r="H122" s="546"/>
      <c r="I122" s="546"/>
      <c r="J122" s="546" t="s">
        <v>714</v>
      </c>
      <c r="K122" s="547"/>
      <c r="L122" s="574"/>
    </row>
    <row r="123" spans="1:12" ht="14.25">
      <c r="A123" s="574"/>
      <c r="B123" s="540" t="s">
        <v>789</v>
      </c>
      <c r="C123" s="859">
        <f>H120</f>
        <v>625000</v>
      </c>
      <c r="D123" s="859"/>
      <c r="E123" s="596" t="s">
        <v>153</v>
      </c>
      <c r="F123" s="542">
        <f>H117</f>
        <v>0.16025641025641027</v>
      </c>
      <c r="G123" s="596" t="s">
        <v>689</v>
      </c>
      <c r="H123" s="596">
        <v>1000</v>
      </c>
      <c r="I123" s="596" t="s">
        <v>688</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3" t="s">
        <v>680</v>
      </c>
      <c r="C125" s="863"/>
      <c r="D125" s="863"/>
      <c r="E125" s="863"/>
      <c r="F125" s="863"/>
      <c r="G125" s="863"/>
      <c r="H125" s="863"/>
      <c r="I125" s="863"/>
      <c r="J125" s="863"/>
      <c r="K125" s="863"/>
      <c r="L125" s="577"/>
    </row>
    <row r="126" spans="1:12" ht="14.25">
      <c r="A126" s="574"/>
      <c r="B126" s="866" t="s">
        <v>722</v>
      </c>
      <c r="C126" s="866"/>
      <c r="D126" s="866"/>
      <c r="E126" s="866"/>
      <c r="F126" s="866"/>
      <c r="G126" s="866"/>
      <c r="H126" s="866"/>
      <c r="I126" s="866"/>
      <c r="J126" s="866"/>
      <c r="K126" s="866"/>
      <c r="L126" s="577"/>
    </row>
    <row r="127" spans="1:12" ht="14.25">
      <c r="A127" s="574"/>
      <c r="B127" s="591"/>
      <c r="C127" s="591"/>
      <c r="D127" s="591"/>
      <c r="E127" s="591"/>
      <c r="F127" s="591"/>
      <c r="G127" s="591"/>
      <c r="H127" s="591"/>
      <c r="I127" s="591"/>
      <c r="J127" s="591"/>
      <c r="K127" s="591"/>
      <c r="L127" s="577"/>
    </row>
    <row r="128" spans="1:12" ht="14.25">
      <c r="A128" s="574"/>
      <c r="B128" s="866" t="s">
        <v>723</v>
      </c>
      <c r="C128" s="866"/>
      <c r="D128" s="866"/>
      <c r="E128" s="866"/>
      <c r="F128" s="866"/>
      <c r="G128" s="866"/>
      <c r="H128" s="866"/>
      <c r="I128" s="866"/>
      <c r="J128" s="866"/>
      <c r="K128" s="866"/>
      <c r="L128" s="577"/>
    </row>
    <row r="129" spans="1:12" ht="14.25">
      <c r="A129" s="574"/>
      <c r="B129" s="590"/>
      <c r="C129" s="590"/>
      <c r="D129" s="590"/>
      <c r="E129" s="590"/>
      <c r="F129" s="590"/>
      <c r="G129" s="590"/>
      <c r="H129" s="590"/>
      <c r="I129" s="590"/>
      <c r="J129" s="590"/>
      <c r="K129" s="590"/>
      <c r="L129" s="577"/>
    </row>
    <row r="130" spans="1:12" ht="74.25" customHeight="1">
      <c r="A130" s="574"/>
      <c r="B130" s="867" t="s">
        <v>790</v>
      </c>
      <c r="C130" s="867"/>
      <c r="D130" s="867"/>
      <c r="E130" s="867"/>
      <c r="F130" s="867"/>
      <c r="G130" s="867"/>
      <c r="H130" s="867"/>
      <c r="I130" s="867"/>
      <c r="J130" s="867"/>
      <c r="K130" s="867"/>
      <c r="L130" s="577"/>
    </row>
    <row r="131" spans="1:12" ht="15" thickBot="1">
      <c r="A131" s="574"/>
      <c r="L131" s="574"/>
    </row>
    <row r="132" spans="1:12" ht="14.25">
      <c r="A132" s="574"/>
      <c r="B132" s="522" t="s">
        <v>684</v>
      </c>
      <c r="C132" s="529"/>
      <c r="D132" s="529"/>
      <c r="E132" s="529"/>
      <c r="F132" s="529"/>
      <c r="G132" s="529"/>
      <c r="H132" s="529"/>
      <c r="I132" s="529"/>
      <c r="J132" s="529"/>
      <c r="K132" s="530"/>
      <c r="L132" s="574"/>
    </row>
    <row r="133" spans="1:12" ht="14.25">
      <c r="A133" s="574"/>
      <c r="B133" s="540"/>
      <c r="C133" s="860" t="s">
        <v>724</v>
      </c>
      <c r="D133" s="860"/>
      <c r="E133" s="532"/>
      <c r="F133" s="596" t="s">
        <v>725</v>
      </c>
      <c r="G133" s="532"/>
      <c r="H133" s="860" t="s">
        <v>712</v>
      </c>
      <c r="I133" s="860"/>
      <c r="J133" s="532"/>
      <c r="K133" s="534"/>
      <c r="L133" s="574"/>
    </row>
    <row r="134" spans="1:12" ht="14.25">
      <c r="A134" s="574"/>
      <c r="B134" s="540" t="s">
        <v>706</v>
      </c>
      <c r="C134" s="861">
        <v>100000</v>
      </c>
      <c r="D134" s="861"/>
      <c r="E134" s="596" t="s">
        <v>153</v>
      </c>
      <c r="F134" s="596">
        <v>0.115</v>
      </c>
      <c r="G134" s="596" t="s">
        <v>688</v>
      </c>
      <c r="H134" s="862">
        <f>C134*F134</f>
        <v>11500</v>
      </c>
      <c r="I134" s="862"/>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85" t="s">
        <v>712</v>
      </c>
      <c r="D136" s="885"/>
      <c r="E136" s="546"/>
      <c r="F136" s="598" t="s">
        <v>726</v>
      </c>
      <c r="G136" s="598"/>
      <c r="H136" s="546"/>
      <c r="I136" s="546"/>
      <c r="J136" s="546" t="s">
        <v>727</v>
      </c>
      <c r="K136" s="547"/>
      <c r="L136" s="574"/>
    </row>
    <row r="137" spans="1:12" ht="14.25">
      <c r="A137" s="574"/>
      <c r="B137" s="540" t="s">
        <v>711</v>
      </c>
      <c r="C137" s="862">
        <f>H134</f>
        <v>11500</v>
      </c>
      <c r="D137" s="862"/>
      <c r="E137" s="596" t="s">
        <v>153</v>
      </c>
      <c r="F137" s="564">
        <v>52.869</v>
      </c>
      <c r="G137" s="596" t="s">
        <v>689</v>
      </c>
      <c r="H137" s="596">
        <v>1000</v>
      </c>
      <c r="I137" s="596" t="s">
        <v>688</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680</v>
      </c>
      <c r="C139" s="600"/>
      <c r="D139" s="600"/>
      <c r="E139" s="601"/>
      <c r="F139" s="602"/>
      <c r="G139" s="601"/>
      <c r="H139" s="601"/>
      <c r="I139" s="601"/>
      <c r="J139" s="603"/>
      <c r="K139" s="604"/>
      <c r="L139" s="574"/>
    </row>
    <row r="140" spans="1:12" ht="14.25">
      <c r="A140" s="574"/>
      <c r="B140" s="605" t="s">
        <v>791</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792</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70" t="s">
        <v>793</v>
      </c>
      <c r="C144" s="871"/>
      <c r="D144" s="871"/>
      <c r="E144" s="871"/>
      <c r="F144" s="871"/>
      <c r="G144" s="871"/>
      <c r="H144" s="871"/>
      <c r="I144" s="871"/>
      <c r="J144" s="871"/>
      <c r="K144" s="872"/>
      <c r="L144" s="574"/>
    </row>
    <row r="145" spans="1:12" ht="15" thickBot="1">
      <c r="A145" s="574"/>
      <c r="B145" s="540"/>
      <c r="C145" s="597"/>
      <c r="D145" s="597"/>
      <c r="E145" s="596"/>
      <c r="F145" s="615"/>
      <c r="G145" s="596"/>
      <c r="H145" s="596"/>
      <c r="I145" s="596"/>
      <c r="J145" s="565"/>
      <c r="K145" s="534"/>
      <c r="L145" s="574"/>
    </row>
    <row r="146" spans="1:12" ht="14.25">
      <c r="A146" s="574"/>
      <c r="B146" s="522" t="s">
        <v>684</v>
      </c>
      <c r="C146" s="616"/>
      <c r="D146" s="616"/>
      <c r="E146" s="617"/>
      <c r="F146" s="618"/>
      <c r="G146" s="617"/>
      <c r="H146" s="617"/>
      <c r="I146" s="617"/>
      <c r="J146" s="619"/>
      <c r="K146" s="530"/>
      <c r="L146" s="574"/>
    </row>
    <row r="147" spans="1:12" ht="14.25">
      <c r="A147" s="574"/>
      <c r="B147" s="540"/>
      <c r="C147" s="862" t="s">
        <v>794</v>
      </c>
      <c r="D147" s="862"/>
      <c r="E147" s="596"/>
      <c r="F147" s="615" t="s">
        <v>795</v>
      </c>
      <c r="G147" s="596"/>
      <c r="H147" s="596"/>
      <c r="I147" s="596"/>
      <c r="J147" s="857" t="s">
        <v>796</v>
      </c>
      <c r="K147" s="868"/>
      <c r="L147" s="574"/>
    </row>
    <row r="148" spans="1:12" ht="14.25">
      <c r="A148" s="574"/>
      <c r="B148" s="540"/>
      <c r="C148" s="856">
        <v>52.869</v>
      </c>
      <c r="D148" s="856"/>
      <c r="E148" s="596" t="s">
        <v>153</v>
      </c>
      <c r="F148" s="593">
        <v>312000000</v>
      </c>
      <c r="G148" s="620" t="s">
        <v>689</v>
      </c>
      <c r="H148" s="596">
        <v>1000</v>
      </c>
      <c r="I148" s="596" t="s">
        <v>688</v>
      </c>
      <c r="J148" s="857">
        <f>C148*(F148/1000)</f>
        <v>16495128</v>
      </c>
      <c r="K148" s="858"/>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739</v>
      </c>
    </row>
    <row r="3" ht="31.5">
      <c r="A3" s="579" t="s">
        <v>740</v>
      </c>
    </row>
    <row r="4" ht="15.75">
      <c r="A4" s="580" t="s">
        <v>741</v>
      </c>
    </row>
    <row r="7" ht="31.5">
      <c r="A7" s="579" t="s">
        <v>742</v>
      </c>
    </row>
    <row r="8" ht="15.75">
      <c r="A8" s="580" t="s">
        <v>743</v>
      </c>
    </row>
    <row r="11" ht="15.75">
      <c r="A11" s="1" t="s">
        <v>744</v>
      </c>
    </row>
    <row r="12" ht="15.75">
      <c r="A12" s="580" t="s">
        <v>745</v>
      </c>
    </row>
    <row r="15" ht="15.75">
      <c r="A15" s="1" t="s">
        <v>746</v>
      </c>
    </row>
    <row r="16" ht="15.75">
      <c r="A16" s="580" t="s">
        <v>747</v>
      </c>
    </row>
    <row r="19" ht="15.75">
      <c r="A19" s="1" t="s">
        <v>748</v>
      </c>
    </row>
    <row r="20" ht="15.75">
      <c r="A20" s="580" t="s">
        <v>749</v>
      </c>
    </row>
    <row r="23" ht="15.75">
      <c r="A23" s="1" t="s">
        <v>750</v>
      </c>
    </row>
    <row r="24" ht="15.75">
      <c r="A24" s="580" t="s">
        <v>751</v>
      </c>
    </row>
    <row r="27" ht="15.75">
      <c r="A27" s="1" t="s">
        <v>752</v>
      </c>
    </row>
    <row r="28" ht="15.75">
      <c r="A28" s="580" t="s">
        <v>753</v>
      </c>
    </row>
    <row r="31" ht="15.75">
      <c r="A31" s="1" t="s">
        <v>754</v>
      </c>
    </row>
    <row r="32" ht="15.75">
      <c r="A32" s="580" t="s">
        <v>755</v>
      </c>
    </row>
    <row r="35" ht="15.75">
      <c r="A35" s="1" t="s">
        <v>756</v>
      </c>
    </row>
    <row r="36" ht="15.75">
      <c r="A36" s="580" t="s">
        <v>757</v>
      </c>
    </row>
    <row r="39" ht="15.75">
      <c r="A39" s="1" t="s">
        <v>758</v>
      </c>
    </row>
    <row r="40" ht="15.75">
      <c r="A40" s="580" t="s">
        <v>759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3" t="s">
        <v>997</v>
      </c>
    </row>
    <row r="2" ht="15.75">
      <c r="A2" s="51" t="s">
        <v>998</v>
      </c>
    </row>
    <row r="4" ht="15.75">
      <c r="A4" s="623" t="s">
        <v>994</v>
      </c>
    </row>
    <row r="5" ht="15.75">
      <c r="A5" s="51" t="s">
        <v>995</v>
      </c>
    </row>
    <row r="7" ht="15.75">
      <c r="A7" s="623" t="s">
        <v>992</v>
      </c>
    </row>
    <row r="8" ht="15.75">
      <c r="A8" s="742" t="s">
        <v>993</v>
      </c>
    </row>
    <row r="10" ht="15.75">
      <c r="A10" s="623" t="s">
        <v>989</v>
      </c>
    </row>
    <row r="11" ht="15.75">
      <c r="A11" s="51" t="s">
        <v>990</v>
      </c>
    </row>
    <row r="13" ht="15.75">
      <c r="A13" s="623" t="s">
        <v>986</v>
      </c>
    </row>
    <row r="14" ht="15.75">
      <c r="A14" s="51" t="s">
        <v>987</v>
      </c>
    </row>
    <row r="15" ht="15.75">
      <c r="A15" s="51" t="s">
        <v>988</v>
      </c>
    </row>
    <row r="17" ht="15.75">
      <c r="A17" s="623" t="s">
        <v>984</v>
      </c>
    </row>
    <row r="18" ht="15.75">
      <c r="A18" s="747" t="s">
        <v>985</v>
      </c>
    </row>
    <row r="20" ht="15.75">
      <c r="A20" s="623" t="s">
        <v>908</v>
      </c>
    </row>
    <row r="21" ht="15.75">
      <c r="A21" s="742" t="s">
        <v>928</v>
      </c>
    </row>
    <row r="22" ht="15.75">
      <c r="A22" s="51" t="s">
        <v>929</v>
      </c>
    </row>
    <row r="23" ht="15.75">
      <c r="A23" s="51" t="s">
        <v>930</v>
      </c>
    </row>
    <row r="24" ht="15.75">
      <c r="A24" s="51" t="s">
        <v>931</v>
      </c>
    </row>
    <row r="25" ht="15.75">
      <c r="A25" s="51" t="s">
        <v>932</v>
      </c>
    </row>
    <row r="26" ht="15.75">
      <c r="A26" s="51" t="s">
        <v>933</v>
      </c>
    </row>
    <row r="27" ht="15.75">
      <c r="A27" s="51" t="s">
        <v>934</v>
      </c>
    </row>
    <row r="28" ht="15.75">
      <c r="A28" s="51" t="s">
        <v>935</v>
      </c>
    </row>
    <row r="29" ht="15.75">
      <c r="A29" s="51" t="s">
        <v>936</v>
      </c>
    </row>
    <row r="30" ht="15.75">
      <c r="A30" s="51" t="s">
        <v>937</v>
      </c>
    </row>
    <row r="31" ht="15.75">
      <c r="A31" s="51" t="s">
        <v>938</v>
      </c>
    </row>
    <row r="32" ht="15.75">
      <c r="A32" s="51" t="s">
        <v>939</v>
      </c>
    </row>
    <row r="33" ht="15.75">
      <c r="A33" s="51" t="s">
        <v>940</v>
      </c>
    </row>
    <row r="34" ht="15.75">
      <c r="A34" s="51" t="s">
        <v>941</v>
      </c>
    </row>
    <row r="35" ht="15.75">
      <c r="A35" s="51" t="s">
        <v>942</v>
      </c>
    </row>
    <row r="36" ht="15.75">
      <c r="A36" s="51" t="s">
        <v>943</v>
      </c>
    </row>
    <row r="37" ht="48.75" customHeight="1">
      <c r="A37" s="53" t="s">
        <v>944</v>
      </c>
    </row>
    <row r="38" ht="15.75">
      <c r="A38" s="52" t="s">
        <v>945</v>
      </c>
    </row>
    <row r="39" ht="36" customHeight="1">
      <c r="A39" s="53" t="s">
        <v>946</v>
      </c>
    </row>
    <row r="40" ht="15.75">
      <c r="A40" s="51" t="s">
        <v>947</v>
      </c>
    </row>
    <row r="41" ht="15.75">
      <c r="A41" s="51" t="s">
        <v>948</v>
      </c>
    </row>
    <row r="42" ht="15.75">
      <c r="A42" s="51" t="s">
        <v>949</v>
      </c>
    </row>
    <row r="43" ht="15.75">
      <c r="A43" s="51" t="s">
        <v>950</v>
      </c>
    </row>
    <row r="44" ht="15.75">
      <c r="A44" s="51" t="s">
        <v>951</v>
      </c>
    </row>
    <row r="45" ht="15.75">
      <c r="A45" s="51" t="s">
        <v>952</v>
      </c>
    </row>
    <row r="46" ht="15.75">
      <c r="A46" s="51" t="s">
        <v>953</v>
      </c>
    </row>
    <row r="47" ht="15.75">
      <c r="A47" s="51" t="s">
        <v>954</v>
      </c>
    </row>
    <row r="48" ht="15.75">
      <c r="A48" s="51" t="s">
        <v>955</v>
      </c>
    </row>
    <row r="49" ht="15.75">
      <c r="A49" s="51" t="s">
        <v>960</v>
      </c>
    </row>
    <row r="50" ht="15.75">
      <c r="A50" s="51" t="s">
        <v>964</v>
      </c>
    </row>
    <row r="51" ht="15.75">
      <c r="A51" s="51" t="s">
        <v>966</v>
      </c>
    </row>
    <row r="52" ht="15.75">
      <c r="A52" s="51" t="s">
        <v>965</v>
      </c>
    </row>
    <row r="53" ht="15.75">
      <c r="A53" s="51" t="s">
        <v>967</v>
      </c>
    </row>
    <row r="54" ht="15.75">
      <c r="A54" s="51" t="s">
        <v>973</v>
      </c>
    </row>
    <row r="55" ht="15.75">
      <c r="A55" s="51" t="s">
        <v>974</v>
      </c>
    </row>
    <row r="57" ht="15.75">
      <c r="A57" s="623" t="s">
        <v>814</v>
      </c>
    </row>
    <row r="58" ht="15.75">
      <c r="A58" s="51" t="s">
        <v>815</v>
      </c>
    </row>
    <row r="60" ht="15.75">
      <c r="A60" s="623" t="s">
        <v>811</v>
      </c>
    </row>
    <row r="61" ht="15.75">
      <c r="A61" s="51" t="s">
        <v>812</v>
      </c>
    </row>
    <row r="62" ht="15.75">
      <c r="A62" s="51" t="s">
        <v>813</v>
      </c>
    </row>
    <row r="64" ht="15.75">
      <c r="A64" s="623" t="s">
        <v>809</v>
      </c>
    </row>
    <row r="65" ht="15.75">
      <c r="A65" s="51" t="s">
        <v>810</v>
      </c>
    </row>
    <row r="67" ht="15.75">
      <c r="A67" s="623" t="s">
        <v>807</v>
      </c>
    </row>
    <row r="68" ht="15.75">
      <c r="A68" s="51" t="s">
        <v>808</v>
      </c>
    </row>
    <row r="70" ht="15.75">
      <c r="A70" s="623" t="s">
        <v>804</v>
      </c>
    </row>
    <row r="71" ht="15.75">
      <c r="A71" s="493" t="s">
        <v>805</v>
      </c>
    </row>
    <row r="72" ht="15.75">
      <c r="A72" s="493" t="s">
        <v>806</v>
      </c>
    </row>
    <row r="74" ht="15.75">
      <c r="A74" s="398" t="s">
        <v>800</v>
      </c>
    </row>
    <row r="75" ht="15.75">
      <c r="A75" s="51" t="s">
        <v>801</v>
      </c>
    </row>
    <row r="76" ht="15.75">
      <c r="A76" s="51" t="s">
        <v>802</v>
      </c>
    </row>
    <row r="77" ht="15.75">
      <c r="A77" s="51" t="s">
        <v>803</v>
      </c>
    </row>
    <row r="79" ht="15.75">
      <c r="A79" s="398" t="s">
        <v>667</v>
      </c>
    </row>
    <row r="80" ht="15.75">
      <c r="A80" s="493" t="s">
        <v>671</v>
      </c>
    </row>
    <row r="81" ht="15.75">
      <c r="A81" s="493" t="s">
        <v>672</v>
      </c>
    </row>
    <row r="82" ht="31.5">
      <c r="A82" s="492" t="s">
        <v>797</v>
      </c>
    </row>
    <row r="83" ht="15.75">
      <c r="A83" s="493" t="s">
        <v>763</v>
      </c>
    </row>
    <row r="84" ht="15.75">
      <c r="A84" s="493" t="s">
        <v>764</v>
      </c>
    </row>
    <row r="85" ht="15.75">
      <c r="A85" s="493" t="s">
        <v>765</v>
      </c>
    </row>
    <row r="86" ht="15.75">
      <c r="A86" s="493" t="s">
        <v>766</v>
      </c>
    </row>
    <row r="87" ht="15.75">
      <c r="A87" s="493" t="s">
        <v>767</v>
      </c>
    </row>
    <row r="88" ht="15.75">
      <c r="A88" s="493" t="s">
        <v>768</v>
      </c>
    </row>
    <row r="89" ht="15.75">
      <c r="A89" s="493" t="s">
        <v>769</v>
      </c>
    </row>
    <row r="90" ht="15.75">
      <c r="A90" s="493" t="s">
        <v>770</v>
      </c>
    </row>
    <row r="91" ht="15.75">
      <c r="A91" s="493" t="s">
        <v>771</v>
      </c>
    </row>
    <row r="92" ht="15.75">
      <c r="A92" s="493" t="s">
        <v>772</v>
      </c>
    </row>
    <row r="93" ht="15.75">
      <c r="A93" s="493" t="s">
        <v>773</v>
      </c>
    </row>
    <row r="94" ht="15.75">
      <c r="A94" s="493" t="s">
        <v>774</v>
      </c>
    </row>
    <row r="95" ht="15.75">
      <c r="A95" s="493" t="s">
        <v>775</v>
      </c>
    </row>
    <row r="96" ht="15.75">
      <c r="A96" s="493" t="s">
        <v>776</v>
      </c>
    </row>
    <row r="97" ht="15.75">
      <c r="A97" s="493" t="s">
        <v>777</v>
      </c>
    </row>
    <row r="98" ht="15.75">
      <c r="A98" s="493" t="s">
        <v>778</v>
      </c>
    </row>
    <row r="99" ht="15.75">
      <c r="A99" s="493" t="s">
        <v>779</v>
      </c>
    </row>
    <row r="100" ht="15.75">
      <c r="A100" s="493" t="s">
        <v>780</v>
      </c>
    </row>
    <row r="101" ht="15.75">
      <c r="A101" s="493" t="s">
        <v>781</v>
      </c>
    </row>
    <row r="102" ht="15.75">
      <c r="A102" s="493" t="s">
        <v>782</v>
      </c>
    </row>
    <row r="103" ht="15.75">
      <c r="A103" s="493" t="s">
        <v>783</v>
      </c>
    </row>
    <row r="104" ht="15.75">
      <c r="A104" s="493" t="s">
        <v>784</v>
      </c>
    </row>
    <row r="105" ht="15.75">
      <c r="A105" s="493" t="s">
        <v>785</v>
      </c>
    </row>
    <row r="106" ht="15.75">
      <c r="A106" s="493" t="s">
        <v>786</v>
      </c>
    </row>
    <row r="107" ht="15.75">
      <c r="A107" s="493" t="s">
        <v>787</v>
      </c>
    </row>
    <row r="109" ht="15.75">
      <c r="A109" s="398" t="s">
        <v>647</v>
      </c>
    </row>
    <row r="110" ht="15.75">
      <c r="A110" s="51" t="s">
        <v>648</v>
      </c>
    </row>
    <row r="111" ht="15.75">
      <c r="A111" s="51" t="s">
        <v>649</v>
      </c>
    </row>
    <row r="112" ht="15.75">
      <c r="A112" s="51" t="s">
        <v>650</v>
      </c>
    </row>
    <row r="114" ht="15.75">
      <c r="A114" s="398" t="s">
        <v>636</v>
      </c>
    </row>
    <row r="115" ht="15.75">
      <c r="A115" s="51" t="s">
        <v>637</v>
      </c>
    </row>
    <row r="116" ht="15.75">
      <c r="A116" s="51" t="s">
        <v>638</v>
      </c>
    </row>
    <row r="118" ht="15.75">
      <c r="A118" s="398" t="s">
        <v>629</v>
      </c>
    </row>
    <row r="119" ht="15.75">
      <c r="A119" s="397" t="s">
        <v>630</v>
      </c>
    </row>
    <row r="120" ht="15.75">
      <c r="A120" s="397" t="s">
        <v>631</v>
      </c>
    </row>
    <row r="121" ht="15.75">
      <c r="A121" s="397" t="s">
        <v>632</v>
      </c>
    </row>
    <row r="122" ht="15.75">
      <c r="A122" s="51" t="s">
        <v>634</v>
      </c>
    </row>
    <row r="124" ht="15.75">
      <c r="A124" s="330" t="s">
        <v>354</v>
      </c>
    </row>
    <row r="125" ht="15.75">
      <c r="A125" s="361" t="s">
        <v>377</v>
      </c>
    </row>
    <row r="126" ht="21.75" customHeight="1">
      <c r="A126" s="51" t="s">
        <v>378</v>
      </c>
    </row>
    <row r="127" ht="15.75">
      <c r="A127" s="51" t="s">
        <v>379</v>
      </c>
    </row>
    <row r="128" ht="31.5">
      <c r="A128" s="53" t="s">
        <v>380</v>
      </c>
    </row>
    <row r="129" ht="15.75">
      <c r="A129" s="51" t="s">
        <v>381</v>
      </c>
    </row>
    <row r="130" ht="15.75">
      <c r="A130" s="51" t="s">
        <v>382</v>
      </c>
    </row>
    <row r="131" ht="15.75">
      <c r="A131" s="51" t="s">
        <v>383</v>
      </c>
    </row>
    <row r="132" ht="15.75">
      <c r="A132" s="51" t="s">
        <v>384</v>
      </c>
    </row>
    <row r="133" ht="15.75">
      <c r="A133" s="51" t="s">
        <v>402</v>
      </c>
    </row>
    <row r="135" ht="15.75">
      <c r="A135" s="330" t="s">
        <v>342</v>
      </c>
    </row>
    <row r="136" ht="15.75">
      <c r="A136" s="51" t="s">
        <v>343</v>
      </c>
    </row>
    <row r="137" ht="15.75">
      <c r="A137" s="51" t="s">
        <v>344</v>
      </c>
    </row>
    <row r="138" ht="15.75">
      <c r="A138" s="51" t="s">
        <v>345</v>
      </c>
    </row>
    <row r="139" ht="15.75">
      <c r="A139" s="51" t="s">
        <v>346</v>
      </c>
    </row>
    <row r="141" ht="15.75">
      <c r="A141" s="330" t="s">
        <v>340</v>
      </c>
    </row>
    <row r="142" ht="15.75">
      <c r="A142" s="51" t="s">
        <v>341</v>
      </c>
    </row>
    <row r="144" ht="15.75">
      <c r="A144" s="330" t="s">
        <v>338</v>
      </c>
    </row>
    <row r="145" ht="15.75">
      <c r="A145" s="51" t="s">
        <v>339</v>
      </c>
    </row>
    <row r="147" ht="15.75">
      <c r="A147" s="330" t="s">
        <v>334</v>
      </c>
    </row>
    <row r="148" ht="15.75">
      <c r="A148" s="51" t="s">
        <v>335</v>
      </c>
    </row>
    <row r="149" ht="15.75">
      <c r="A149" s="51" t="s">
        <v>336</v>
      </c>
    </row>
    <row r="150" ht="15.75">
      <c r="A150" s="51" t="s">
        <v>337</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673</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674</v>
      </c>
    </row>
    <row r="178" ht="18" customHeight="1">
      <c r="A178" s="330" t="s">
        <v>91</v>
      </c>
    </row>
    <row r="179" ht="51" customHeight="1">
      <c r="A179" s="53" t="s">
        <v>92</v>
      </c>
    </row>
    <row r="180" ht="15.75">
      <c r="A180" s="51" t="s">
        <v>93</v>
      </c>
    </row>
    <row r="183" ht="15.75">
      <c r="A183" s="330" t="s">
        <v>330</v>
      </c>
    </row>
    <row r="184" ht="47.25">
      <c r="A184" s="53" t="s">
        <v>675</v>
      </c>
    </row>
    <row r="185" ht="15.75">
      <c r="A185" s="51" t="s">
        <v>116</v>
      </c>
    </row>
    <row r="186" ht="15.75">
      <c r="A186" s="51" t="s">
        <v>331</v>
      </c>
    </row>
    <row r="187" ht="15.75">
      <c r="A187" s="51" t="s">
        <v>41</v>
      </c>
    </row>
    <row r="188" ht="15.75">
      <c r="A188" s="51" t="s">
        <v>332</v>
      </c>
    </row>
    <row r="189" ht="15.75">
      <c r="A189" s="51" t="s">
        <v>333</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636" t="s">
        <v>816</v>
      </c>
    </row>
    <row r="2" spans="1:10" ht="54" customHeight="1">
      <c r="A2" s="782" t="s">
        <v>403</v>
      </c>
      <c r="B2" s="783"/>
      <c r="C2" s="783"/>
      <c r="D2" s="783"/>
      <c r="E2" s="783"/>
      <c r="F2" s="783"/>
      <c r="J2" s="636" t="s">
        <v>817</v>
      </c>
    </row>
    <row r="3" spans="1:10" ht="15.75">
      <c r="A3" s="1" t="s">
        <v>828</v>
      </c>
      <c r="B3" s="376" t="s">
        <v>1006</v>
      </c>
      <c r="C3" s="629"/>
      <c r="J3" s="636" t="s">
        <v>818</v>
      </c>
    </row>
    <row r="4" spans="1:10" ht="15.75">
      <c r="A4" s="1"/>
      <c r="B4" s="642"/>
      <c r="J4" s="636" t="s">
        <v>819</v>
      </c>
    </row>
    <row r="5" spans="1:10" ht="15.75">
      <c r="A5" s="1" t="s">
        <v>653</v>
      </c>
      <c r="B5" s="376" t="s">
        <v>1007</v>
      </c>
      <c r="J5" s="636" t="s">
        <v>820</v>
      </c>
    </row>
    <row r="6" spans="1:10" ht="15.75">
      <c r="A6" s="374"/>
      <c r="B6" s="374"/>
      <c r="C6" s="374"/>
      <c r="D6" s="375" t="s">
        <v>405</v>
      </c>
      <c r="E6" s="374"/>
      <c r="F6" s="374"/>
      <c r="J6" s="636" t="s">
        <v>821</v>
      </c>
    </row>
    <row r="7" spans="1:10" ht="15.75">
      <c r="A7" s="375" t="s">
        <v>404</v>
      </c>
      <c r="B7" s="376" t="s">
        <v>1032</v>
      </c>
      <c r="C7" s="377"/>
      <c r="D7" s="628" t="str">
        <f>IF(B7="","",CONCATENATE("Latest date for notice to be published in your newspaper: ",G18," ",G22,", ",G23))</f>
        <v>Latest date for notice to be published in your newspaper: July 26, 2013</v>
      </c>
      <c r="E7" s="374"/>
      <c r="F7" s="374"/>
      <c r="J7" s="636" t="s">
        <v>822</v>
      </c>
    </row>
    <row r="8" spans="1:10" ht="15.75">
      <c r="A8" s="375"/>
      <c r="B8" s="378"/>
      <c r="C8" s="379"/>
      <c r="D8" s="628"/>
      <c r="E8" s="374"/>
      <c r="F8" s="374"/>
      <c r="J8" s="636" t="s">
        <v>823</v>
      </c>
    </row>
    <row r="9" spans="1:10" ht="15.75">
      <c r="A9" s="375" t="s">
        <v>406</v>
      </c>
      <c r="B9" s="629" t="s">
        <v>1033</v>
      </c>
      <c r="C9" s="380"/>
      <c r="D9" s="375"/>
      <c r="E9" s="374"/>
      <c r="F9" s="374"/>
      <c r="J9" s="636" t="s">
        <v>824</v>
      </c>
    </row>
    <row r="10" spans="1:10" ht="15.75">
      <c r="A10" s="375"/>
      <c r="B10" s="628"/>
      <c r="C10" s="375"/>
      <c r="D10" s="375"/>
      <c r="E10" s="374"/>
      <c r="F10" s="374"/>
      <c r="J10" s="636" t="s">
        <v>825</v>
      </c>
    </row>
    <row r="11" spans="1:10" ht="15.75">
      <c r="A11" s="375" t="s">
        <v>407</v>
      </c>
      <c r="B11" s="630" t="s">
        <v>1005</v>
      </c>
      <c r="C11" s="381"/>
      <c r="D11" s="381"/>
      <c r="E11" s="382"/>
      <c r="F11" s="374"/>
      <c r="J11" s="636" t="s">
        <v>826</v>
      </c>
    </row>
    <row r="12" spans="1:10" ht="15.75">
      <c r="A12" s="375"/>
      <c r="B12" s="628"/>
      <c r="C12" s="375"/>
      <c r="D12" s="375"/>
      <c r="E12" s="374"/>
      <c r="F12" s="374"/>
      <c r="J12" s="636" t="s">
        <v>827</v>
      </c>
    </row>
    <row r="13" spans="1:6" ht="15.75">
      <c r="A13" s="375"/>
      <c r="B13" s="628"/>
      <c r="C13" s="375"/>
      <c r="D13" s="375"/>
      <c r="E13" s="374"/>
      <c r="F13" s="374"/>
    </row>
    <row r="14" spans="1:6" ht="15.75">
      <c r="A14" s="375" t="s">
        <v>408</v>
      </c>
      <c r="B14" s="630" t="s">
        <v>1005</v>
      </c>
      <c r="C14" s="381"/>
      <c r="D14" s="381"/>
      <c r="E14" s="382"/>
      <c r="F14" s="374"/>
    </row>
    <row r="17" spans="1:6" ht="15.75">
      <c r="A17" s="784" t="s">
        <v>409</v>
      </c>
      <c r="B17" s="784"/>
      <c r="C17" s="375"/>
      <c r="D17" s="375"/>
      <c r="E17" s="375"/>
      <c r="F17" s="374"/>
    </row>
    <row r="18" spans="1:7" ht="15.75">
      <c r="A18" s="375"/>
      <c r="B18" s="375"/>
      <c r="C18" s="375"/>
      <c r="D18" s="375"/>
      <c r="E18" s="375"/>
      <c r="F18" s="374"/>
      <c r="G18" s="636" t="str">
        <f ca="1">IF(B7="","",INDIRECT(G19))</f>
        <v>July</v>
      </c>
    </row>
    <row r="19" spans="1:7" ht="15.75">
      <c r="A19" s="375" t="s">
        <v>653</v>
      </c>
      <c r="B19" s="375" t="s">
        <v>654</v>
      </c>
      <c r="C19" s="375"/>
      <c r="D19" s="375"/>
      <c r="E19" s="375"/>
      <c r="F19" s="374"/>
      <c r="G19" s="637" t="str">
        <f>IF(B7="","",CONCATENATE("J",G21))</f>
        <v>J7</v>
      </c>
    </row>
    <row r="20" spans="1:7" ht="15.75">
      <c r="A20" s="375"/>
      <c r="B20" s="375"/>
      <c r="C20" s="375"/>
      <c r="D20" s="375"/>
      <c r="E20" s="375"/>
      <c r="F20" s="374"/>
      <c r="G20" s="638">
        <f>B7-10</f>
        <v>41481</v>
      </c>
    </row>
    <row r="21" spans="1:7" ht="15.75">
      <c r="A21" s="375" t="s">
        <v>404</v>
      </c>
      <c r="B21" s="378" t="s">
        <v>410</v>
      </c>
      <c r="C21" s="375"/>
      <c r="D21" s="375"/>
      <c r="E21" s="375"/>
      <c r="G21" s="639">
        <f>IF(B7="","",MONTH(G20))</f>
        <v>7</v>
      </c>
    </row>
    <row r="22" spans="1:7" ht="15.75">
      <c r="A22" s="375"/>
      <c r="B22" s="375"/>
      <c r="C22" s="375"/>
      <c r="D22" s="375"/>
      <c r="E22" s="375"/>
      <c r="G22" s="640">
        <f>IF(B7="","",DAY(G20))</f>
        <v>26</v>
      </c>
    </row>
    <row r="23" spans="1:7" ht="15.75">
      <c r="A23" s="375" t="s">
        <v>406</v>
      </c>
      <c r="B23" s="375" t="s">
        <v>411</v>
      </c>
      <c r="C23" s="375"/>
      <c r="D23" s="375"/>
      <c r="E23" s="375"/>
      <c r="G23" s="641">
        <f>IF(B7="","",YEAR(G20))</f>
        <v>2013</v>
      </c>
    </row>
    <row r="24" spans="1:5" ht="15.75">
      <c r="A24" s="375"/>
      <c r="B24" s="375"/>
      <c r="C24" s="375"/>
      <c r="D24" s="375"/>
      <c r="E24" s="375"/>
    </row>
    <row r="25" spans="1:5" ht="15.75">
      <c r="A25" s="375" t="s">
        <v>407</v>
      </c>
      <c r="B25" s="375" t="s">
        <v>412</v>
      </c>
      <c r="C25" s="375"/>
      <c r="D25" s="375"/>
      <c r="E25" s="375"/>
    </row>
    <row r="26" spans="1:5" ht="15.75">
      <c r="A26" s="375"/>
      <c r="B26" s="375"/>
      <c r="C26" s="375"/>
      <c r="D26" s="375"/>
      <c r="E26" s="375"/>
    </row>
    <row r="27" spans="1:5" ht="15.75">
      <c r="A27" s="375" t="s">
        <v>408</v>
      </c>
      <c r="B27" s="375" t="s">
        <v>412</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7">
      <selection activeCell="F40" sqref="F40:F41"/>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222</v>
      </c>
      <c r="D2" s="64"/>
      <c r="E2" s="64"/>
      <c r="F2" s="163"/>
    </row>
    <row r="3" spans="1:6" s="65" customFormat="1" ht="15" customHeight="1">
      <c r="A3" s="785" t="str">
        <f>CONCATENATE("To the Clerk of ",inputPrYr!D3,", State of Kansas")</f>
        <v>To the Clerk of Clay County, State of Kansas</v>
      </c>
      <c r="B3" s="777"/>
      <c r="C3" s="777"/>
      <c r="D3" s="777"/>
      <c r="E3" s="777"/>
      <c r="F3" s="777"/>
    </row>
    <row r="4" spans="1:6" s="65" customFormat="1" ht="15" customHeight="1">
      <c r="A4" s="74" t="s">
        <v>651</v>
      </c>
      <c r="B4" s="73"/>
      <c r="C4" s="73"/>
      <c r="D4" s="73"/>
      <c r="E4" s="73"/>
      <c r="F4" s="73"/>
    </row>
    <row r="5" spans="1:6" s="65" customFormat="1" ht="15" customHeight="1">
      <c r="A5" s="64"/>
      <c r="B5" s="64"/>
      <c r="C5" s="432" t="str">
        <f>(inputPrYr!D2)</f>
        <v>City of Green</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6" t="str">
        <f>CONCATENATE("Amount of ",$F$1-1," Ad Valorem Tax")</f>
        <v>Amount of 2013 Ad Valorem Tax</v>
      </c>
      <c r="F12" s="174" t="s">
        <v>142</v>
      </c>
    </row>
    <row r="13" spans="1:6" ht="14.25" customHeight="1">
      <c r="A13" s="64"/>
      <c r="B13" s="64"/>
      <c r="C13" s="174" t="s">
        <v>143</v>
      </c>
      <c r="D13" s="175" t="s">
        <v>51</v>
      </c>
      <c r="E13" s="787"/>
      <c r="F13" s="175" t="s">
        <v>144</v>
      </c>
    </row>
    <row r="14" spans="1:6" ht="14.25" customHeight="1">
      <c r="A14" s="176" t="s">
        <v>145</v>
      </c>
      <c r="B14" s="103"/>
      <c r="C14" s="177" t="s">
        <v>146</v>
      </c>
      <c r="D14" s="177" t="s">
        <v>664</v>
      </c>
      <c r="E14" s="788"/>
      <c r="F14" s="177" t="s">
        <v>148</v>
      </c>
    </row>
    <row r="15" spans="1:6" ht="15" customHeight="1">
      <c r="A15" s="178" t="s">
        <v>316</v>
      </c>
      <c r="B15" s="179">
        <f>inputPrYr!$C$5</f>
        <v>2014</v>
      </c>
      <c r="C15" s="180">
        <v>2</v>
      </c>
      <c r="D15" s="96"/>
      <c r="E15" s="96"/>
      <c r="F15" s="181"/>
    </row>
    <row r="16" spans="1:6" ht="15" customHeight="1">
      <c r="A16" s="173" t="s">
        <v>969</v>
      </c>
      <c r="B16" s="182"/>
      <c r="C16" s="180">
        <v>3</v>
      </c>
      <c r="D16" s="96"/>
      <c r="E16" s="96"/>
      <c r="F16" s="168"/>
    </row>
    <row r="17" spans="1:6" ht="15" customHeight="1">
      <c r="A17" s="178" t="s">
        <v>290</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IF(general!C71&gt;0,general!C71,"")</f>
        <v>7</v>
      </c>
      <c r="D22" s="428">
        <f>IF((general!$E$61)&lt;&gt;0,general!$E$61,"")</f>
        <v>107160</v>
      </c>
      <c r="E22" s="650">
        <f>IF((general!$E$68)&lt;&gt;0,(general!$E$68),0)</f>
        <v>22209.650000000023</v>
      </c>
      <c r="F22" s="654">
        <f aca="true" t="shared" si="0" ref="F22:F28">IF($F$39=0,"",ROUND(E22/$F$39*1000,3))</f>
        <v>37.034</v>
      </c>
    </row>
    <row r="23" spans="1:6" ht="15" customHeight="1">
      <c r="A23" s="85" t="s">
        <v>108</v>
      </c>
      <c r="B23" s="188" t="s">
        <v>315</v>
      </c>
      <c r="C23" s="180">
        <f>IF('DebtSvs-Library'!C83&gt;0,'DebtSvs-Library'!C83,"")</f>
      </c>
      <c r="D23" s="428">
        <f>IF(('DebtSvs-Library'!$E$33)&lt;&gt;0,('DebtSvs-Library'!$E$33),"")</f>
      </c>
      <c r="E23" s="650">
        <f>IF(('DebtSvs-Library'!$E$40)&lt;&gt;0,('DebtSvs-Library'!$E$40),0)</f>
        <v>0</v>
      </c>
      <c r="F23" s="654">
        <f t="shared" si="0"/>
        <v>0</v>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50">
        <f>IF(('DebtSvs-Library'!$E$80)&lt;&gt;0,('DebtSvs-Library'!$E$80),0)</f>
        <v>0</v>
      </c>
      <c r="F24" s="654">
        <f t="shared" si="0"/>
        <v>0</v>
      </c>
    </row>
    <row r="25" spans="1:6" ht="15" customHeight="1">
      <c r="A25" s="108" t="str">
        <f>IF((inputPrYr!$B21&gt;"  "),(inputPrYr!$B21),"  ")</f>
        <v>  </v>
      </c>
      <c r="B25" s="188" t="str">
        <f>IF((inputPrYr!$C21&gt;"  "),(inputPrYr!$C21),"  ")</f>
        <v>  </v>
      </c>
      <c r="C25" s="180" t="str">
        <f>IF('levy page9'!C83&gt;0,'levy page9'!C83," ")</f>
        <v> </v>
      </c>
      <c r="D25" s="428">
        <f>IF(('levy page9'!$E$33)&lt;&gt;0,('levy page9'!$E$33),"")</f>
      </c>
      <c r="E25" s="650">
        <f>IF(('levy page9'!$E$40)&lt;&gt;0,('levy page9'!$E$40),0)</f>
        <v>0</v>
      </c>
      <c r="F25" s="654">
        <f t="shared" si="0"/>
        <v>0</v>
      </c>
    </row>
    <row r="26" spans="1:6" ht="15" customHeight="1">
      <c r="A26" s="108" t="str">
        <f>IF((inputPrYr!$B22&gt;"  "),(inputPrYr!$B22),"  ")</f>
        <v>  </v>
      </c>
      <c r="B26" s="188" t="str">
        <f>IF((inputPrYr!$C22&gt;"  "),(inputPrYr!$C22),"  ")</f>
        <v>  </v>
      </c>
      <c r="C26" s="180" t="str">
        <f>IF('levy page9'!C83&gt;0,'levy page9'!C83," ")</f>
        <v> </v>
      </c>
      <c r="D26" s="428">
        <f>IF(('levy page9'!$E$73)&lt;&gt;0,('levy page9'!$E$73),"")</f>
      </c>
      <c r="E26" s="650">
        <f>IF(('levy page9'!$E$80)&lt;&gt;0,('levy page9'!$E$80),0)</f>
        <v>0</v>
      </c>
      <c r="F26" s="654">
        <f t="shared" si="0"/>
        <v>0</v>
      </c>
    </row>
    <row r="27" spans="1:6" ht="15" customHeight="1">
      <c r="A27" s="108" t="str">
        <f>IF((inputPrYr!$B23&gt;"  "),(inputPrYr!$B23),"  ")</f>
        <v>  </v>
      </c>
      <c r="B27" s="188" t="str">
        <f>IF((inputPrYr!$C23&gt;"  "),(inputPrYr!$C23),"  ")</f>
        <v>  </v>
      </c>
      <c r="C27" s="180" t="str">
        <f>IF('levy page10'!C83&gt;0,'levy page10'!C83," ")</f>
        <v> </v>
      </c>
      <c r="D27" s="428">
        <f>IF(('levy page10'!$E$33)&lt;&gt;0,('levy page10'!$E$33),"")</f>
      </c>
      <c r="E27" s="650">
        <f>IF(('levy page10'!$E$40)&lt;&gt;0,('levy page10'!$E$40),0)</f>
        <v>0</v>
      </c>
      <c r="F27" s="654">
        <f t="shared" si="0"/>
        <v>0</v>
      </c>
    </row>
    <row r="28" spans="1:6" ht="15" customHeight="1">
      <c r="A28" s="108" t="str">
        <f>IF((inputPrYr!$B24&gt;"  "),(inputPrYr!$B24),"  ")</f>
        <v>  </v>
      </c>
      <c r="B28" s="188" t="str">
        <f>IF((inputPrYr!$C24&gt;"  "),(inputPrYr!$C24),"  ")</f>
        <v>  </v>
      </c>
      <c r="C28" s="180" t="str">
        <f>IF('levy page10'!C83&gt;0,'levy page10'!C83," ")</f>
        <v> </v>
      </c>
      <c r="D28" s="428">
        <f>IF(('levy page10'!$E$73)&lt;&gt;0,('levy page10'!$E$73),"")</f>
      </c>
      <c r="E28" s="650">
        <f>IF(('levy page10'!$E$80)&lt;&gt;0,('levy page10'!$E$80),0)</f>
        <v>0</v>
      </c>
      <c r="F28" s="654">
        <f t="shared" si="0"/>
        <v>0</v>
      </c>
    </row>
    <row r="29" spans="1:6" ht="15" customHeight="1">
      <c r="A29" s="190" t="str">
        <f>IF((inputPrYr!$B28&gt;"  "),(inputPrYr!$B28),"  ")</f>
        <v>Special Highway</v>
      </c>
      <c r="B29" s="116"/>
      <c r="C29" s="183" t="str">
        <f>IF(SpecHwy!C66&gt;0,SpecHwy!C66," ")</f>
        <v> </v>
      </c>
      <c r="D29" s="428">
        <f>IF((SpecHwy!$E$24)&lt;&gt;0,(SpecHwy!$E$24),"")</f>
        <v>6000</v>
      </c>
      <c r="E29" s="237"/>
      <c r="F29" s="187"/>
    </row>
    <row r="30" spans="1:6" ht="15" customHeight="1">
      <c r="A30" s="190" t="str">
        <f>IF((inputPrYr!$B29&gt;"  "),(inputPrYr!$B29),"  ")</f>
        <v>Water</v>
      </c>
      <c r="B30" s="116"/>
      <c r="C30" s="183" t="str">
        <f>IF(SpecHwy!C66&gt;0,SpecHwy!C66," ")</f>
        <v> </v>
      </c>
      <c r="D30" s="428">
        <f>IF((SpecHwy!$E$60)&lt;&gt;0,(SpecHwy!$E$60),"")</f>
        <v>51369</v>
      </c>
      <c r="E30" s="237"/>
      <c r="F30" s="187"/>
    </row>
    <row r="31" spans="1:6" ht="15" customHeight="1">
      <c r="A31" s="191" t="str">
        <f>IF((inputPrYr!$B30&gt;"  "),(inputPrYr!$B30),"  ")</f>
        <v>Sewer</v>
      </c>
      <c r="B31" s="116"/>
      <c r="C31" s="183" t="str">
        <f>IF('no levy page12'!C68&gt;0,'no levy page12'!C68," ")</f>
        <v> </v>
      </c>
      <c r="D31" s="428">
        <f>IF(('no levy page12'!$E$30)&lt;&gt;0,('no levy page12'!$E$30),"")</f>
        <v>12176</v>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Non-Budgeted Funds</v>
      </c>
      <c r="B36" s="116"/>
      <c r="C36" s="183" t="str">
        <f>IF(nonbud!F33&gt;0,nonbud!F33," ")</f>
        <v> </v>
      </c>
      <c r="D36" s="651"/>
      <c r="E36" s="652"/>
      <c r="F36" s="584"/>
    </row>
    <row r="37" spans="1:6" ht="16.5" customHeight="1">
      <c r="A37" s="289" t="s">
        <v>762</v>
      </c>
      <c r="B37" s="115"/>
      <c r="C37" s="431" t="s">
        <v>153</v>
      </c>
      <c r="D37" s="653">
        <f>SUM(D22:D35)</f>
        <v>176705</v>
      </c>
      <c r="E37" s="653">
        <f>SUM(E22:E35)</f>
        <v>22209.650000000023</v>
      </c>
      <c r="F37" s="583">
        <f>IF(SUM(F22:F36)=0,"",SUM(F22:F36))</f>
        <v>37.034</v>
      </c>
    </row>
    <row r="38" spans="1:6" ht="16.5" customHeight="1">
      <c r="A38" s="438" t="s">
        <v>36</v>
      </c>
      <c r="B38" s="437"/>
      <c r="C38" s="436"/>
      <c r="D38" s="435"/>
      <c r="E38" s="434" t="str">
        <f>IF(E37&gt;computation!J40,"Yes","No")</f>
        <v>No</v>
      </c>
      <c r="F38" s="430" t="s">
        <v>295</v>
      </c>
    </row>
    <row r="39" spans="1:6" ht="15" customHeight="1">
      <c r="A39" s="173" t="s">
        <v>25</v>
      </c>
      <c r="B39" s="182"/>
      <c r="C39" s="175">
        <f>summ!D51</f>
        <v>0</v>
      </c>
      <c r="D39" s="194"/>
      <c r="E39" s="64"/>
      <c r="F39" s="433">
        <v>599705</v>
      </c>
    </row>
    <row r="40" spans="1:6" ht="15" customHeight="1">
      <c r="A40" s="85" t="s">
        <v>122</v>
      </c>
      <c r="B40" s="86"/>
      <c r="C40" s="180">
        <f>IF(Nhood!C32&gt;0,Nhood!C32,"")</f>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154</v>
      </c>
      <c r="B42" s="96"/>
      <c r="C42" s="195"/>
      <c r="D42" s="96"/>
      <c r="E42" s="64"/>
      <c r="F42" s="64"/>
    </row>
    <row r="43" spans="1:6" ht="15" customHeight="1">
      <c r="A43" s="372"/>
      <c r="B43" s="64"/>
      <c r="C43" s="64"/>
      <c r="D43" s="465"/>
      <c r="E43" s="466"/>
      <c r="F43" s="64"/>
    </row>
    <row r="44" spans="1:6" ht="15" customHeight="1">
      <c r="A44" s="196"/>
      <c r="B44" s="64"/>
      <c r="C44" s="481" t="s">
        <v>839</v>
      </c>
      <c r="D44" s="96"/>
      <c r="E44" s="481"/>
      <c r="F44" s="481"/>
    </row>
    <row r="45" spans="1:6" ht="15" customHeight="1">
      <c r="A45" s="64" t="s">
        <v>313</v>
      </c>
      <c r="B45" s="96"/>
      <c r="C45" s="96"/>
      <c r="D45" s="96"/>
      <c r="E45" s="96"/>
      <c r="F45" s="96"/>
    </row>
    <row r="46" spans="1:6" ht="15" customHeight="1">
      <c r="A46" s="372"/>
      <c r="B46" s="371"/>
      <c r="C46" s="481" t="s">
        <v>839</v>
      </c>
      <c r="D46" s="96"/>
      <c r="E46" s="96"/>
      <c r="F46" s="96"/>
    </row>
    <row r="47" spans="1:6" ht="15" customHeight="1">
      <c r="A47" s="196"/>
      <c r="B47" s="96"/>
      <c r="C47" s="99"/>
      <c r="D47" s="96"/>
      <c r="E47" s="96"/>
      <c r="F47" s="96"/>
    </row>
    <row r="48" spans="1:6" ht="15" customHeight="1">
      <c r="A48" s="96" t="s">
        <v>968</v>
      </c>
      <c r="B48" s="64"/>
      <c r="C48" s="481" t="s">
        <v>839</v>
      </c>
      <c r="D48" s="96"/>
      <c r="E48" s="655"/>
      <c r="F48" s="655"/>
    </row>
    <row r="49" spans="1:6" ht="15" customHeight="1">
      <c r="A49" s="372"/>
      <c r="B49" s="69"/>
      <c r="C49" s="96"/>
      <c r="D49" s="96"/>
      <c r="E49" s="655"/>
      <c r="F49" s="655"/>
    </row>
    <row r="50" spans="1:6" ht="15" customHeight="1">
      <c r="A50" s="371"/>
      <c r="B50" s="64"/>
      <c r="C50" s="481" t="s">
        <v>839</v>
      </c>
      <c r="D50" s="96"/>
      <c r="E50" s="655"/>
      <c r="F50" s="655"/>
    </row>
    <row r="51" spans="1:6" ht="15" customHeight="1">
      <c r="A51" s="64"/>
      <c r="B51" s="64"/>
      <c r="C51" s="96"/>
      <c r="D51" s="96"/>
      <c r="E51" s="655"/>
      <c r="F51" s="655"/>
    </row>
    <row r="52" spans="1:6" ht="15" customHeight="1">
      <c r="A52" s="70" t="s">
        <v>24</v>
      </c>
      <c r="B52" s="197">
        <f>inputPrYr!$C$5-1</f>
        <v>2013</v>
      </c>
      <c r="C52" s="481" t="s">
        <v>839</v>
      </c>
      <c r="D52" s="96"/>
      <c r="E52" s="655"/>
      <c r="F52" s="655"/>
    </row>
    <row r="53" spans="1:6" ht="15" customHeight="1">
      <c r="A53" s="64"/>
      <c r="B53" s="64"/>
      <c r="C53" s="655"/>
      <c r="D53" s="655"/>
      <c r="E53" s="656"/>
      <c r="F53" s="657"/>
    </row>
    <row r="54" spans="1:6" ht="15" customHeight="1">
      <c r="A54" s="589"/>
      <c r="B54" s="64"/>
      <c r="C54" s="481" t="s">
        <v>839</v>
      </c>
      <c r="D54" s="96"/>
      <c r="E54" s="655"/>
      <c r="F54" s="655"/>
    </row>
    <row r="55" spans="1:6" ht="15" customHeight="1">
      <c r="A55" s="83" t="s">
        <v>156</v>
      </c>
      <c r="B55" s="64"/>
      <c r="C55" s="789" t="s">
        <v>155</v>
      </c>
      <c r="D55" s="790"/>
      <c r="E55" s="790"/>
      <c r="F55" s="79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A1" sqref="A1"/>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Green</v>
      </c>
      <c r="D1" s="64"/>
      <c r="E1" s="64"/>
      <c r="F1" s="64"/>
      <c r="G1" s="64"/>
      <c r="H1" s="64"/>
      <c r="I1" s="64"/>
      <c r="J1" s="161">
        <f>inputPrYr!$C$5</f>
        <v>2014</v>
      </c>
    </row>
    <row r="2" spans="1:10" ht="15.75" customHeight="1">
      <c r="A2" s="64"/>
      <c r="B2" s="64"/>
      <c r="C2" s="64"/>
      <c r="D2" s="64"/>
      <c r="E2" s="64"/>
      <c r="F2" s="64"/>
      <c r="G2" s="64"/>
      <c r="H2" s="64"/>
      <c r="I2" s="64"/>
      <c r="J2" s="64"/>
    </row>
    <row r="3" spans="1:10" ht="15.75">
      <c r="A3" s="795" t="str">
        <f>CONCATENATE("Computation to Determine Limit for ",J1)</f>
        <v>Computation to Determine Limit for 2014</v>
      </c>
      <c r="B3" s="796"/>
      <c r="C3" s="796"/>
      <c r="D3" s="796"/>
      <c r="E3" s="796"/>
      <c r="F3" s="796"/>
      <c r="G3" s="796"/>
      <c r="H3" s="796"/>
      <c r="I3" s="796"/>
      <c r="J3" s="796"/>
    </row>
    <row r="4" spans="1:10" ht="15.75">
      <c r="A4" s="64"/>
      <c r="B4" s="64"/>
      <c r="C4" s="64"/>
      <c r="D4" s="64"/>
      <c r="E4" s="796"/>
      <c r="F4" s="796"/>
      <c r="G4" s="796"/>
      <c r="H4" s="202"/>
      <c r="I4" s="64"/>
      <c r="J4" s="203" t="s">
        <v>234</v>
      </c>
    </row>
    <row r="5" spans="1:10" ht="15.75">
      <c r="A5" s="204" t="s">
        <v>235</v>
      </c>
      <c r="B5" s="64" t="str">
        <f>CONCATENATE("Total Tax Levy Amount in ",J1-1," Budget")</f>
        <v>Total Tax Levy Amount in 2013 Budget</v>
      </c>
      <c r="C5" s="64"/>
      <c r="D5" s="64"/>
      <c r="E5" s="88"/>
      <c r="F5" s="88"/>
      <c r="G5" s="88"/>
      <c r="H5" s="205" t="s">
        <v>236</v>
      </c>
      <c r="I5" s="88" t="s">
        <v>237</v>
      </c>
      <c r="J5" s="206">
        <f>inputPrYr!E25</f>
        <v>27354</v>
      </c>
    </row>
    <row r="6" spans="1:10" ht="15.75">
      <c r="A6" s="204" t="s">
        <v>238</v>
      </c>
      <c r="B6" s="64" t="str">
        <f>CONCATENATE("Debt Service Levy in ",J1-1," Budget")</f>
        <v>Debt Service Levy in 2013 Budget</v>
      </c>
      <c r="C6" s="64"/>
      <c r="D6" s="64"/>
      <c r="E6" s="88"/>
      <c r="F6" s="88"/>
      <c r="G6" s="88"/>
      <c r="H6" s="205" t="s">
        <v>239</v>
      </c>
      <c r="I6" s="88" t="s">
        <v>237</v>
      </c>
      <c r="J6" s="207">
        <f>inputPrYr!$E$18</f>
        <v>0</v>
      </c>
    </row>
    <row r="7" spans="1:10" ht="15.75">
      <c r="A7" s="204" t="s">
        <v>263</v>
      </c>
      <c r="B7" s="81" t="s">
        <v>267</v>
      </c>
      <c r="C7" s="64"/>
      <c r="D7" s="64"/>
      <c r="E7" s="88"/>
      <c r="F7" s="88"/>
      <c r="G7" s="88"/>
      <c r="H7" s="88"/>
      <c r="I7" s="88" t="s">
        <v>237</v>
      </c>
      <c r="J7" s="93">
        <f>J5-J6</f>
        <v>27354</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240</v>
      </c>
      <c r="B11" s="81" t="str">
        <f>CONCATENATE("New Improvements for ",J1-1," :")</f>
        <v>New Improvements for 2013 :</v>
      </c>
      <c r="C11" s="64"/>
      <c r="D11" s="64"/>
      <c r="E11" s="205"/>
      <c r="F11" s="205" t="s">
        <v>236</v>
      </c>
      <c r="G11" s="206">
        <f>inputOth!E8</f>
        <v>32909</v>
      </c>
      <c r="H11" s="208"/>
      <c r="I11" s="88"/>
      <c r="J11" s="88"/>
    </row>
    <row r="12" spans="1:10" ht="15.75">
      <c r="A12" s="204"/>
      <c r="B12" s="209"/>
      <c r="C12" s="64"/>
      <c r="D12" s="64"/>
      <c r="E12" s="205"/>
      <c r="F12" s="205"/>
      <c r="G12" s="208"/>
      <c r="H12" s="208"/>
      <c r="I12" s="88"/>
      <c r="J12" s="88"/>
    </row>
    <row r="13" spans="1:10" ht="15.75">
      <c r="A13" s="204" t="s">
        <v>241</v>
      </c>
      <c r="B13" s="81" t="str">
        <f>CONCATENATE("Increase in Personal Property for ",J1-1," :")</f>
        <v>Increase in Personal Property for 2013 :</v>
      </c>
      <c r="C13" s="64"/>
      <c r="D13" s="64"/>
      <c r="E13" s="205"/>
      <c r="F13" s="205"/>
      <c r="G13" s="208"/>
      <c r="H13" s="208"/>
      <c r="I13" s="88"/>
      <c r="J13" s="88"/>
    </row>
    <row r="14" spans="1:10" ht="15.75">
      <c r="A14" s="210"/>
      <c r="B14" s="64" t="s">
        <v>242</v>
      </c>
      <c r="C14" s="64" t="str">
        <f>CONCATENATE("Personal Property ",J1-1)</f>
        <v>Personal Property 2013</v>
      </c>
      <c r="D14" s="209" t="s">
        <v>236</v>
      </c>
      <c r="E14" s="206">
        <f>inputOth!E9</f>
        <v>22110</v>
      </c>
      <c r="F14" s="205"/>
      <c r="G14" s="88"/>
      <c r="H14" s="88"/>
      <c r="I14" s="208"/>
      <c r="J14" s="88"/>
    </row>
    <row r="15" spans="1:10" ht="15.75">
      <c r="A15" s="209"/>
      <c r="B15" s="64" t="s">
        <v>243</v>
      </c>
      <c r="C15" s="64" t="str">
        <f>CONCATENATE("Personal Property ",J1-2)</f>
        <v>Personal Property 2012</v>
      </c>
      <c r="D15" s="209" t="s">
        <v>239</v>
      </c>
      <c r="E15" s="93">
        <f>inputOth!E15</f>
        <v>22909</v>
      </c>
      <c r="F15" s="205"/>
      <c r="G15" s="208"/>
      <c r="H15" s="208"/>
      <c r="I15" s="88"/>
      <c r="J15" s="88"/>
    </row>
    <row r="16" spans="1:10" ht="15.75">
      <c r="A16" s="209"/>
      <c r="B16" s="64" t="s">
        <v>244</v>
      </c>
      <c r="C16" s="64" t="s">
        <v>268</v>
      </c>
      <c r="D16" s="64"/>
      <c r="E16" s="88"/>
      <c r="F16" s="88" t="s">
        <v>236</v>
      </c>
      <c r="G16" s="206">
        <f>IF(E14&gt;E15,E14-E15,0)</f>
        <v>0</v>
      </c>
      <c r="H16" s="208"/>
      <c r="I16" s="88"/>
      <c r="J16" s="88"/>
    </row>
    <row r="17" spans="1:10" ht="15.75">
      <c r="A17" s="209"/>
      <c r="B17" s="209"/>
      <c r="C17" s="64"/>
      <c r="D17" s="64"/>
      <c r="E17" s="88"/>
      <c r="F17" s="88"/>
      <c r="G17" s="208" t="s">
        <v>257</v>
      </c>
      <c r="H17" s="208"/>
      <c r="I17" s="88"/>
      <c r="J17" s="88"/>
    </row>
    <row r="18" spans="1:10" ht="15.75">
      <c r="A18" s="209" t="s">
        <v>245</v>
      </c>
      <c r="B18" s="81" t="str">
        <f>CONCATENATE("Valuation of annexed territory for ",J1-1," :")</f>
        <v>Valuation of annexed territory for 2013 :</v>
      </c>
      <c r="C18" s="64"/>
      <c r="D18" s="64"/>
      <c r="E18" s="208"/>
      <c r="F18" s="88"/>
      <c r="G18" s="88"/>
      <c r="H18" s="88"/>
      <c r="I18" s="88"/>
      <c r="J18" s="88"/>
    </row>
    <row r="19" spans="1:10" ht="15.75">
      <c r="A19" s="209"/>
      <c r="B19" s="64" t="s">
        <v>246</v>
      </c>
      <c r="C19" s="64" t="s">
        <v>269</v>
      </c>
      <c r="D19" s="209" t="s">
        <v>236</v>
      </c>
      <c r="E19" s="206">
        <f>inputOth!E11</f>
        <v>0</v>
      </c>
      <c r="F19" s="88"/>
      <c r="G19" s="88"/>
      <c r="H19" s="88"/>
      <c r="I19" s="88"/>
      <c r="J19" s="88"/>
    </row>
    <row r="20" spans="1:10" ht="15.75">
      <c r="A20" s="209"/>
      <c r="B20" s="64" t="s">
        <v>247</v>
      </c>
      <c r="C20" s="64" t="s">
        <v>270</v>
      </c>
      <c r="D20" s="209" t="s">
        <v>236</v>
      </c>
      <c r="E20" s="93">
        <f>inputOth!E12</f>
        <v>0</v>
      </c>
      <c r="F20" s="88"/>
      <c r="G20" s="208"/>
      <c r="H20" s="208"/>
      <c r="I20" s="88"/>
      <c r="J20" s="88"/>
    </row>
    <row r="21" spans="1:10" ht="15.75">
      <c r="A21" s="209"/>
      <c r="B21" s="64" t="s">
        <v>248</v>
      </c>
      <c r="C21" s="64" t="s">
        <v>271</v>
      </c>
      <c r="D21" s="209" t="s">
        <v>239</v>
      </c>
      <c r="E21" s="93">
        <f>inputOth!E13</f>
        <v>0</v>
      </c>
      <c r="F21" s="88"/>
      <c r="G21" s="208"/>
      <c r="H21" s="208"/>
      <c r="I21" s="88"/>
      <c r="J21" s="88"/>
    </row>
    <row r="22" spans="1:10" ht="15.75">
      <c r="A22" s="209"/>
      <c r="B22" s="64" t="s">
        <v>249</v>
      </c>
      <c r="C22" s="64" t="s">
        <v>272</v>
      </c>
      <c r="D22" s="209"/>
      <c r="E22" s="208"/>
      <c r="F22" s="88" t="s">
        <v>236</v>
      </c>
      <c r="G22" s="206">
        <f>E19+E20-E21</f>
        <v>0</v>
      </c>
      <c r="H22" s="208"/>
      <c r="I22" s="88"/>
      <c r="J22" s="88"/>
    </row>
    <row r="23" spans="1:10" ht="15.75">
      <c r="A23" s="209"/>
      <c r="B23" s="209"/>
      <c r="C23" s="64"/>
      <c r="D23" s="209"/>
      <c r="E23" s="208"/>
      <c r="F23" s="88"/>
      <c r="G23" s="208"/>
      <c r="H23" s="208"/>
      <c r="I23" s="88"/>
      <c r="J23" s="88"/>
    </row>
    <row r="24" spans="1:10" ht="15.75">
      <c r="A24" s="209" t="s">
        <v>250</v>
      </c>
      <c r="B24" s="81" t="str">
        <f>CONCATENATE("Valuation of Property that has Changed in Use during ",J1-1," :")</f>
        <v>Valuation of Property that has Changed in Use during 2013 :</v>
      </c>
      <c r="C24" s="64"/>
      <c r="D24" s="64"/>
      <c r="E24" s="88"/>
      <c r="F24" s="205" t="s">
        <v>236</v>
      </c>
      <c r="G24" s="206">
        <f>inputOth!E14</f>
        <v>0</v>
      </c>
      <c r="H24" s="88"/>
      <c r="I24" s="88"/>
      <c r="J24" s="88"/>
    </row>
    <row r="25" spans="1:10" ht="15.75">
      <c r="A25" s="64" t="s">
        <v>141</v>
      </c>
      <c r="B25" s="64"/>
      <c r="C25" s="64"/>
      <c r="D25" s="209"/>
      <c r="E25" s="208"/>
      <c r="F25" s="88"/>
      <c r="G25" s="88"/>
      <c r="H25" s="88"/>
      <c r="I25" s="88"/>
      <c r="J25" s="88"/>
    </row>
    <row r="26" spans="1:10" ht="15.75">
      <c r="A26" s="209" t="s">
        <v>251</v>
      </c>
      <c r="B26" s="81" t="s">
        <v>273</v>
      </c>
      <c r="C26" s="64"/>
      <c r="D26" s="64"/>
      <c r="E26" s="88"/>
      <c r="F26" s="88"/>
      <c r="G26" s="206">
        <f>G11+G16+G22+G24</f>
        <v>32909</v>
      </c>
      <c r="H26" s="208"/>
      <c r="I26" s="88"/>
      <c r="J26" s="88"/>
    </row>
    <row r="27" spans="1:10" ht="15.75">
      <c r="A27" s="209"/>
      <c r="B27" s="209"/>
      <c r="C27" s="81"/>
      <c r="D27" s="64"/>
      <c r="E27" s="88"/>
      <c r="F27" s="88"/>
      <c r="G27" s="208"/>
      <c r="H27" s="208"/>
      <c r="I27" s="88"/>
      <c r="J27" s="88"/>
    </row>
    <row r="28" spans="1:10" ht="15.75">
      <c r="A28" s="209" t="s">
        <v>252</v>
      </c>
      <c r="B28" s="64" t="str">
        <f>CONCATENATE("Total Estimated Valuation July 1, ",J1-1)</f>
        <v>Total Estimated Valuation July 1, 2013</v>
      </c>
      <c r="C28" s="64"/>
      <c r="D28" s="64"/>
      <c r="E28" s="206">
        <f>inputOth!E7</f>
        <v>601528</v>
      </c>
      <c r="F28" s="88"/>
      <c r="G28" s="88"/>
      <c r="H28" s="88"/>
      <c r="I28" s="205"/>
      <c r="J28" s="88"/>
    </row>
    <row r="29" spans="1:10" ht="15.75">
      <c r="A29" s="209"/>
      <c r="B29" s="209"/>
      <c r="C29" s="64"/>
      <c r="D29" s="64"/>
      <c r="E29" s="208"/>
      <c r="F29" s="88"/>
      <c r="G29" s="88"/>
      <c r="H29" s="88"/>
      <c r="I29" s="205"/>
      <c r="J29" s="88"/>
    </row>
    <row r="30" spans="1:10" ht="15.75">
      <c r="A30" s="209" t="s">
        <v>253</v>
      </c>
      <c r="B30" s="81" t="s">
        <v>274</v>
      </c>
      <c r="C30" s="64"/>
      <c r="D30" s="64"/>
      <c r="E30" s="88"/>
      <c r="F30" s="88"/>
      <c r="G30" s="206">
        <f>E28-G26</f>
        <v>568619</v>
      </c>
      <c r="H30" s="208"/>
      <c r="I30" s="205"/>
      <c r="J30" s="88"/>
    </row>
    <row r="31" spans="1:10" ht="15.75">
      <c r="A31" s="209"/>
      <c r="B31" s="209"/>
      <c r="C31" s="81"/>
      <c r="D31" s="64"/>
      <c r="E31" s="88"/>
      <c r="F31" s="88"/>
      <c r="G31" s="211"/>
      <c r="H31" s="208"/>
      <c r="I31" s="205"/>
      <c r="J31" s="88"/>
    </row>
    <row r="32" spans="1:10" ht="15.75">
      <c r="A32" s="209" t="s">
        <v>254</v>
      </c>
      <c r="B32" s="64" t="s">
        <v>275</v>
      </c>
      <c r="C32" s="64"/>
      <c r="D32" s="64"/>
      <c r="E32" s="64"/>
      <c r="F32" s="64"/>
      <c r="G32" s="212">
        <f>IF(G26&gt;0,G26/G30,0)</f>
        <v>0.05787530842268725</v>
      </c>
      <c r="H32" s="96"/>
      <c r="I32" s="64"/>
      <c r="J32" s="64"/>
    </row>
    <row r="33" spans="1:10" ht="15.75">
      <c r="A33" s="209"/>
      <c r="B33" s="209"/>
      <c r="C33" s="64"/>
      <c r="D33" s="64"/>
      <c r="E33" s="64"/>
      <c r="F33" s="64"/>
      <c r="G33" s="96"/>
      <c r="H33" s="96"/>
      <c r="I33" s="64"/>
      <c r="J33" s="64"/>
    </row>
    <row r="34" spans="1:10" ht="15.75">
      <c r="A34" s="209" t="s">
        <v>255</v>
      </c>
      <c r="B34" s="64" t="s">
        <v>276</v>
      </c>
      <c r="C34" s="64"/>
      <c r="D34" s="64"/>
      <c r="E34" s="64"/>
      <c r="F34" s="64"/>
      <c r="G34" s="96"/>
      <c r="H34" s="213" t="s">
        <v>236</v>
      </c>
      <c r="I34" s="64" t="s">
        <v>237</v>
      </c>
      <c r="J34" s="206">
        <f>ROUND(G32*J7,0)</f>
        <v>1583</v>
      </c>
    </row>
    <row r="35" spans="1:10" ht="15.75">
      <c r="A35" s="209"/>
      <c r="B35" s="209"/>
      <c r="C35" s="64"/>
      <c r="D35" s="64"/>
      <c r="E35" s="64"/>
      <c r="F35" s="64"/>
      <c r="G35" s="96"/>
      <c r="H35" s="213"/>
      <c r="I35" s="64"/>
      <c r="J35" s="208"/>
    </row>
    <row r="36" spans="1:10" ht="16.5" thickBot="1">
      <c r="A36" s="209" t="s">
        <v>256</v>
      </c>
      <c r="B36" s="81" t="s">
        <v>282</v>
      </c>
      <c r="C36" s="64"/>
      <c r="D36" s="64"/>
      <c r="E36" s="64"/>
      <c r="F36" s="64"/>
      <c r="G36" s="64"/>
      <c r="H36" s="64"/>
      <c r="I36" s="64" t="s">
        <v>237</v>
      </c>
      <c r="J36" s="214">
        <f>J7+J34</f>
        <v>28937</v>
      </c>
    </row>
    <row r="37" spans="1:10" ht="16.5" thickTop="1">
      <c r="A37" s="64"/>
      <c r="B37" s="64"/>
      <c r="C37" s="64"/>
      <c r="D37" s="64"/>
      <c r="E37" s="64"/>
      <c r="F37" s="64"/>
      <c r="G37" s="64"/>
      <c r="H37" s="64"/>
      <c r="I37" s="64"/>
      <c r="J37" s="208"/>
    </row>
    <row r="38" spans="1:10" ht="15.75">
      <c r="A38" s="209" t="s">
        <v>280</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281</v>
      </c>
      <c r="B40" s="81" t="s">
        <v>283</v>
      </c>
      <c r="C40" s="64"/>
      <c r="D40" s="64"/>
      <c r="E40" s="64"/>
      <c r="F40" s="64"/>
      <c r="G40" s="64"/>
      <c r="H40" s="64"/>
      <c r="I40" s="64"/>
      <c r="J40" s="214">
        <f>J36+J38</f>
        <v>28937</v>
      </c>
    </row>
    <row r="41" spans="1:10" ht="19.5" thickTop="1">
      <c r="A41" s="794"/>
      <c r="B41" s="794"/>
      <c r="C41" s="794"/>
      <c r="D41" s="794"/>
      <c r="E41" s="794"/>
      <c r="F41" s="794"/>
      <c r="G41" s="794"/>
      <c r="H41" s="794"/>
      <c r="I41" s="794"/>
      <c r="J41" s="794"/>
    </row>
    <row r="42" spans="1:10" s="216"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75">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Green</v>
      </c>
      <c r="C2" s="64"/>
      <c r="D2" s="64"/>
      <c r="E2" s="64"/>
      <c r="F2" s="218"/>
      <c r="G2" s="161"/>
    </row>
    <row r="3" spans="1:7" ht="15" customHeight="1">
      <c r="A3" s="64"/>
      <c r="B3" s="64"/>
      <c r="C3" s="64"/>
      <c r="D3" s="64"/>
      <c r="E3" s="64"/>
      <c r="F3" s="64"/>
      <c r="G3" s="161">
        <f>inputPrYr!$C$5</f>
        <v>2014</v>
      </c>
    </row>
    <row r="4" spans="1:7" ht="20.25" customHeight="1">
      <c r="A4" s="64"/>
      <c r="B4" s="795" t="s">
        <v>830</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831</v>
      </c>
      <c r="C7" s="174" t="s">
        <v>832</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233</v>
      </c>
      <c r="E8" s="177" t="s">
        <v>232</v>
      </c>
      <c r="F8" s="180" t="s">
        <v>231</v>
      </c>
      <c r="G8" s="644"/>
    </row>
    <row r="9" spans="1:7" ht="15" customHeight="1">
      <c r="A9" s="64"/>
      <c r="B9" s="85" t="s">
        <v>131</v>
      </c>
      <c r="C9" s="221">
        <f>IF((inputPrYr!E17)&gt;0,(inputPrYr!E17),"  ")</f>
        <v>27354</v>
      </c>
      <c r="D9" s="221">
        <f>IF(inputPrYr!E17&gt;0,D18-SUM(D10:D15),0)</f>
        <v>3059.7</v>
      </c>
      <c r="E9" s="221">
        <f>IF(inputPrYr!E17=0,0,E20-SUM(E10:E15))</f>
        <v>0</v>
      </c>
      <c r="F9" s="221">
        <f>IF(inputPrYr!E17=0,0,F22-SUM(F10:F15))</f>
        <v>15.58</v>
      </c>
      <c r="G9" s="645"/>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5"/>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45"/>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5"/>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27354</v>
      </c>
      <c r="D16" s="222">
        <f>SUM(D9:D15)</f>
        <v>3059.7</v>
      </c>
      <c r="E16" s="222">
        <f>SUM(E9:E15)</f>
        <v>0</v>
      </c>
      <c r="F16" s="222">
        <f>SUM(F9:F15)</f>
        <v>15.58</v>
      </c>
      <c r="G16" s="645"/>
    </row>
    <row r="17" spans="1:7" ht="15" customHeight="1" thickTop="1">
      <c r="A17" s="64"/>
      <c r="B17" s="64"/>
      <c r="C17" s="64"/>
      <c r="D17" s="64"/>
      <c r="E17" s="64"/>
      <c r="F17" s="64"/>
      <c r="G17" s="64"/>
    </row>
    <row r="18" spans="1:7" ht="15" customHeight="1">
      <c r="A18" s="64"/>
      <c r="B18" s="69" t="s">
        <v>160</v>
      </c>
      <c r="C18" s="223"/>
      <c r="D18" s="206">
        <f>(inputOth!E33)</f>
        <v>3059.7</v>
      </c>
      <c r="E18" s="223"/>
      <c r="F18" s="64"/>
      <c r="G18" s="64"/>
    </row>
    <row r="19" spans="1:7" ht="15" customHeight="1">
      <c r="A19" s="64"/>
      <c r="B19" s="64"/>
      <c r="C19" s="64"/>
      <c r="D19" s="64"/>
      <c r="E19" s="64"/>
      <c r="F19" s="64"/>
      <c r="G19" s="64"/>
    </row>
    <row r="20" spans="1:7" ht="15" customHeight="1">
      <c r="A20" s="64"/>
      <c r="B20" s="69" t="s">
        <v>161</v>
      </c>
      <c r="C20" s="64"/>
      <c r="D20" s="64"/>
      <c r="E20" s="206">
        <f>(inputOth!E34)</f>
        <v>0</v>
      </c>
      <c r="F20" s="64"/>
      <c r="G20" s="64"/>
    </row>
    <row r="21" spans="1:7" ht="15" customHeight="1">
      <c r="A21" s="64"/>
      <c r="B21" s="64"/>
      <c r="C21" s="64"/>
      <c r="D21" s="64"/>
      <c r="E21" s="64"/>
      <c r="F21" s="64"/>
      <c r="G21" s="64"/>
    </row>
    <row r="22" spans="1:7" ht="15" customHeight="1">
      <c r="A22" s="64"/>
      <c r="B22" s="69" t="s">
        <v>230</v>
      </c>
      <c r="C22" s="64"/>
      <c r="D22" s="64"/>
      <c r="E22" s="64"/>
      <c r="F22" s="206">
        <f>inputOth!E35</f>
        <v>15.58</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0.11185567010309277</v>
      </c>
      <c r="E26" s="64"/>
      <c r="F26" s="64"/>
      <c r="G26" s="64"/>
    </row>
    <row r="27" spans="1:7" ht="15" customHeight="1">
      <c r="A27" s="64"/>
      <c r="B27" s="64"/>
      <c r="C27" s="64"/>
      <c r="D27" s="64"/>
      <c r="E27" s="64"/>
      <c r="F27" s="64"/>
      <c r="G27" s="64"/>
    </row>
    <row r="28" spans="1:7" ht="15" customHeight="1">
      <c r="A28" s="64"/>
      <c r="B28" s="69"/>
      <c r="C28" s="69" t="s">
        <v>163</v>
      </c>
      <c r="D28" s="64"/>
      <c r="E28" s="212">
        <f>IF(C16=0,0,E20/C16)</f>
        <v>0</v>
      </c>
      <c r="F28" s="64"/>
      <c r="G28" s="64"/>
    </row>
    <row r="29" spans="1:7" ht="15" customHeight="1">
      <c r="A29" s="64"/>
      <c r="B29" s="64"/>
      <c r="C29" s="64"/>
      <c r="D29" s="64"/>
      <c r="E29" s="64"/>
      <c r="F29" s="64"/>
      <c r="G29" s="64"/>
    </row>
    <row r="30" spans="1:7" ht="15" customHeight="1">
      <c r="A30" s="64"/>
      <c r="B30" s="64"/>
      <c r="C30" s="64"/>
      <c r="D30" s="64" t="s">
        <v>229</v>
      </c>
      <c r="E30" s="64"/>
      <c r="F30" s="212">
        <f>IF(C16=0,0,F22/C16)</f>
        <v>0.0005695693500036557</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Green</v>
      </c>
      <c r="B1" s="64"/>
      <c r="C1" s="64"/>
      <c r="D1" s="64"/>
      <c r="E1" s="64"/>
      <c r="F1" s="64">
        <f>inputPrYr!C5</f>
        <v>2014</v>
      </c>
    </row>
    <row r="2" spans="1:6" ht="15.75">
      <c r="A2" s="64"/>
      <c r="B2" s="64"/>
      <c r="C2" s="64"/>
      <c r="D2" s="64"/>
      <c r="E2" s="64"/>
      <c r="F2" s="64"/>
    </row>
    <row r="3" spans="1:6" ht="15.75">
      <c r="A3" s="796" t="s">
        <v>290</v>
      </c>
      <c r="B3" s="796"/>
      <c r="C3" s="796"/>
      <c r="D3" s="796"/>
      <c r="E3" s="796"/>
      <c r="F3" s="796"/>
    </row>
    <row r="4" spans="1:6" ht="15.75">
      <c r="A4" s="225"/>
      <c r="B4" s="225"/>
      <c r="C4" s="225"/>
      <c r="D4" s="225"/>
      <c r="E4" s="225"/>
      <c r="F4" s="225"/>
    </row>
    <row r="5" spans="1:6" ht="15.75">
      <c r="A5" s="226" t="s">
        <v>641</v>
      </c>
      <c r="B5" s="226" t="s">
        <v>643</v>
      </c>
      <c r="C5" s="226" t="s">
        <v>180</v>
      </c>
      <c r="D5" s="226" t="s">
        <v>309</v>
      </c>
      <c r="E5" s="226" t="s">
        <v>310</v>
      </c>
      <c r="F5" s="226" t="s">
        <v>322</v>
      </c>
    </row>
    <row r="6" spans="1:6" ht="15.75">
      <c r="A6" s="227" t="s">
        <v>640</v>
      </c>
      <c r="B6" s="227" t="s">
        <v>642</v>
      </c>
      <c r="C6" s="227" t="s">
        <v>321</v>
      </c>
      <c r="D6" s="227" t="s">
        <v>321</v>
      </c>
      <c r="E6" s="227" t="s">
        <v>321</v>
      </c>
      <c r="F6" s="227" t="s">
        <v>311</v>
      </c>
    </row>
    <row r="7" spans="1:6" ht="15.75">
      <c r="A7" s="228" t="s">
        <v>319</v>
      </c>
      <c r="B7" s="228" t="s">
        <v>320</v>
      </c>
      <c r="C7" s="229">
        <f>F1-2</f>
        <v>2012</v>
      </c>
      <c r="D7" s="229">
        <f>F1-1</f>
        <v>2013</v>
      </c>
      <c r="E7" s="229">
        <f>F1</f>
        <v>2014</v>
      </c>
      <c r="F7" s="228" t="s">
        <v>312</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639</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644</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385</v>
      </c>
    </row>
    <row r="2" ht="18.75">
      <c r="A2" s="363"/>
    </row>
    <row r="3" ht="18.75">
      <c r="A3" s="363"/>
    </row>
    <row r="4" ht="51.75" customHeight="1">
      <c r="A4" s="573" t="s">
        <v>733</v>
      </c>
    </row>
    <row r="5" ht="18.75">
      <c r="A5" s="363"/>
    </row>
    <row r="6" ht="15.75">
      <c r="A6" s="364"/>
    </row>
    <row r="7" ht="47.25">
      <c r="A7" s="365" t="s">
        <v>386</v>
      </c>
    </row>
    <row r="8" ht="15.75">
      <c r="A8" s="364"/>
    </row>
    <row r="9" ht="15.75">
      <c r="A9" s="364"/>
    </row>
    <row r="10" ht="63">
      <c r="A10" s="365" t="s">
        <v>387</v>
      </c>
    </row>
    <row r="11" ht="15.75">
      <c r="A11" s="366"/>
    </row>
    <row r="12" ht="15.75">
      <c r="A12" s="364"/>
    </row>
    <row r="13" ht="47.25">
      <c r="A13" s="365" t="s">
        <v>388</v>
      </c>
    </row>
    <row r="14" ht="15.75">
      <c r="A14" s="366"/>
    </row>
    <row r="15" ht="15.75">
      <c r="A15" s="364"/>
    </row>
    <row r="16" ht="47.25">
      <c r="A16" s="365" t="s">
        <v>389</v>
      </c>
    </row>
    <row r="17" ht="15.75">
      <c r="A17" s="366"/>
    </row>
    <row r="18" ht="15.75">
      <c r="A18" s="366"/>
    </row>
    <row r="19" ht="47.25">
      <c r="A19" s="365" t="s">
        <v>390</v>
      </c>
    </row>
    <row r="20" ht="15.75">
      <c r="A20" s="366"/>
    </row>
    <row r="21" ht="15.75">
      <c r="A21" s="366"/>
    </row>
    <row r="22" ht="47.25">
      <c r="A22" s="365" t="s">
        <v>391</v>
      </c>
    </row>
    <row r="23" ht="15.75">
      <c r="A23" s="366"/>
    </row>
    <row r="24" ht="15.75">
      <c r="A24" s="366"/>
    </row>
    <row r="25" ht="31.5">
      <c r="A25" s="365" t="s">
        <v>392</v>
      </c>
    </row>
    <row r="26" ht="15.75">
      <c r="A26" s="364"/>
    </row>
    <row r="27" ht="15.75">
      <c r="A27" s="364"/>
    </row>
    <row r="28" ht="60">
      <c r="A28" s="367" t="s">
        <v>393</v>
      </c>
    </row>
    <row r="29" ht="15">
      <c r="A29" s="368"/>
    </row>
    <row r="30" ht="15">
      <c r="A30" s="368"/>
    </row>
    <row r="31" ht="47.25">
      <c r="A31" s="365" t="s">
        <v>394</v>
      </c>
    </row>
    <row r="32" ht="15.75">
      <c r="A32" s="364"/>
    </row>
    <row r="33" ht="15.75">
      <c r="A33" s="364"/>
    </row>
    <row r="34" ht="66.75" customHeight="1">
      <c r="A34" s="502" t="s">
        <v>734</v>
      </c>
    </row>
    <row r="35" ht="15.75">
      <c r="A35" s="364"/>
    </row>
    <row r="36" ht="15.75">
      <c r="A36" s="364"/>
    </row>
    <row r="37" ht="63">
      <c r="A37" s="369" t="s">
        <v>395</v>
      </c>
    </row>
    <row r="38" ht="15.75">
      <c r="A38" s="366"/>
    </row>
    <row r="39" ht="15.75">
      <c r="A39" s="364"/>
    </row>
    <row r="40" ht="63">
      <c r="A40" s="365" t="s">
        <v>396</v>
      </c>
    </row>
    <row r="41" ht="15.75">
      <c r="A41" s="366"/>
    </row>
    <row r="42" ht="15.75">
      <c r="A42" s="366"/>
    </row>
    <row r="43" ht="82.5" customHeight="1">
      <c r="A43" s="356" t="s">
        <v>735</v>
      </c>
    </row>
    <row r="44" ht="15.75">
      <c r="A44" s="366"/>
    </row>
    <row r="45" ht="15.75">
      <c r="A45" s="366"/>
    </row>
    <row r="46" ht="69" customHeight="1">
      <c r="A46" s="356" t="s">
        <v>736</v>
      </c>
    </row>
    <row r="47" ht="15.75">
      <c r="A47" s="366"/>
    </row>
    <row r="48" ht="15.75">
      <c r="A48" s="366"/>
    </row>
    <row r="49" ht="69" customHeight="1">
      <c r="A49" s="356" t="s">
        <v>737</v>
      </c>
    </row>
    <row r="50" ht="15.75" customHeight="1">
      <c r="A50" s="366"/>
    </row>
    <row r="51" ht="21.75" customHeight="1">
      <c r="A51" s="366"/>
    </row>
    <row r="52" ht="66" customHeight="1">
      <c r="A52" s="356" t="s">
        <v>961</v>
      </c>
    </row>
    <row r="53" ht="15.75">
      <c r="A53" s="366"/>
    </row>
    <row r="54" ht="15.75">
      <c r="A54" s="366"/>
    </row>
    <row r="55" ht="63">
      <c r="A55" s="365" t="s">
        <v>397</v>
      </c>
    </row>
    <row r="56" ht="15.75">
      <c r="A56" s="366"/>
    </row>
    <row r="57" ht="15.75">
      <c r="A57" s="366"/>
    </row>
    <row r="58" ht="63">
      <c r="A58" s="365" t="s">
        <v>398</v>
      </c>
    </row>
    <row r="59" ht="15.75">
      <c r="A59" s="366"/>
    </row>
    <row r="60" ht="15.75">
      <c r="A60" s="366"/>
    </row>
    <row r="61" ht="47.25">
      <c r="A61" s="365" t="s">
        <v>399</v>
      </c>
    </row>
    <row r="62" ht="15.75">
      <c r="A62" s="366"/>
    </row>
    <row r="63" ht="15.75">
      <c r="A63" s="366"/>
    </row>
    <row r="64" ht="47.25">
      <c r="A64" s="365" t="s">
        <v>400</v>
      </c>
    </row>
    <row r="65" ht="15.75">
      <c r="A65" s="366"/>
    </row>
    <row r="66" ht="15.75">
      <c r="A66" s="366"/>
    </row>
    <row r="67" ht="78.75">
      <c r="A67" s="365" t="s">
        <v>401</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2013-07-19T13:44:15Z</cp:lastPrinted>
  <dcterms:created xsi:type="dcterms:W3CDTF">1998-12-22T16:13:18Z</dcterms:created>
  <dcterms:modified xsi:type="dcterms:W3CDTF">2013-11-07T20:48:35Z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