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9" activeTab="5"/>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Statutes" sheetId="10" r:id="rId10"/>
    <sheet name="debt" sheetId="11" r:id="rId11"/>
    <sheet name="lpform" sheetId="12" r:id="rId12"/>
    <sheet name="Library Grant " sheetId="13" state="hidden" r:id="rId13"/>
    <sheet name="general" sheetId="14" r:id="rId14"/>
    <sheet name="GenDetail" sheetId="15" r:id="rId15"/>
    <sheet name="DebtSvs-Library" sheetId="16" r:id="rId16"/>
    <sheet name="levy page9" sheetId="17" state="hidden" r:id="rId17"/>
    <sheet name="levy page10" sheetId="18" state="hidden" r:id="rId18"/>
    <sheet name="levy page11" sheetId="19" state="hidden" r:id="rId19"/>
    <sheet name="levy page12" sheetId="20" state="hidden" r:id="rId20"/>
    <sheet name="levy page13" sheetId="21" state="hidden" r:id="rId21"/>
    <sheet name="Sp Hiway" sheetId="22" r:id="rId22"/>
    <sheet name="nolevypage15" sheetId="23" r:id="rId23"/>
    <sheet name="nolevypage16" sheetId="24" r:id="rId24"/>
    <sheet name="nolevypage17" sheetId="25" state="hidden" r:id="rId25"/>
    <sheet name="SinNoLevy18" sheetId="26" r:id="rId26"/>
    <sheet name="SinNoLevy19" sheetId="27" r:id="rId27"/>
    <sheet name="SinNoLevy20" sheetId="28" state="hidden" r:id="rId28"/>
    <sheet name="SinNoLevy21" sheetId="29" state="hidden" r:id="rId29"/>
    <sheet name="NonBudA" sheetId="30" r:id="rId30"/>
    <sheet name="NonBudB" sheetId="31" state="hidden" r:id="rId31"/>
    <sheet name="NonBudFunds" sheetId="32" r:id="rId32"/>
    <sheet name="nhood" sheetId="33" state="hidden" r:id="rId33"/>
    <sheet name="Ordinance" sheetId="34" r:id="rId34"/>
    <sheet name="Tab A" sheetId="35" r:id="rId35"/>
    <sheet name="Tab B" sheetId="36" r:id="rId36"/>
    <sheet name="Tab C" sheetId="37" r:id="rId37"/>
    <sheet name="Tab D" sheetId="38" r:id="rId38"/>
    <sheet name="Tab E" sheetId="39" r:id="rId39"/>
    <sheet name="Mill Rate Computation" sheetId="40" r:id="rId40"/>
    <sheet name="Helpful Links" sheetId="41" r:id="rId41"/>
    <sheet name="Legend" sheetId="42" r:id="rId42"/>
  </sheets>
  <definedNames>
    <definedName name="_xlnm.Print_Area" localSheetId="15">'DebtSvs-Library'!$B$1:$E$83</definedName>
    <definedName name="_xlnm.Print_Area" localSheetId="14">'GenDetail'!$A$1:$D$61</definedName>
    <definedName name="_xlnm.Print_Area" localSheetId="13">'general'!$B$1:$E$121</definedName>
    <definedName name="_xlnm.Print_Area" localSheetId="1">'inputPrYr'!$A$1:$E$118</definedName>
    <definedName name="_xlnm.Print_Area" localSheetId="0">'Instructions'!$A$1:$A$102</definedName>
    <definedName name="_xlnm.Print_Area" localSheetId="17">'levy page10'!$B$1:$E$83</definedName>
    <definedName name="_xlnm.Print_Area" localSheetId="18">'levy page11'!$A$1:$E$83</definedName>
    <definedName name="_xlnm.Print_Area" localSheetId="19">'levy page12'!$A$1:$E$83</definedName>
    <definedName name="_xlnm.Print_Area" localSheetId="20">'levy page13'!$A$1:$E$83</definedName>
    <definedName name="_xlnm.Print_Area" localSheetId="16">'levy page9'!$A$1:$E$83</definedName>
    <definedName name="_xlnm.Print_Area" localSheetId="12">'Library Grant '!$A$1:$J$40</definedName>
    <definedName name="_xlnm.Print_Area" localSheetId="11">'lpform'!$B$1:$I$38</definedName>
    <definedName name="_xlnm.Print_Area" localSheetId="39">'Mill Rate Computation'!#REF!</definedName>
    <definedName name="_xlnm.Print_Area" localSheetId="4">'summ'!$A$2:$H$61</definedName>
  </definedNames>
  <calcPr fullCalcOnLoad="1"/>
</workbook>
</file>

<file path=xl/comments14.xml><?xml version="1.0" encoding="utf-8"?>
<comments xmlns="http://schemas.openxmlformats.org/spreadsheetml/2006/main">
  <authors>
    <author>Cindy Ehart</author>
  </authors>
  <commentList>
    <comment ref="C10" authorId="0">
      <text>
        <r>
          <rPr>
            <b/>
            <sz val="8"/>
            <rFont val="Tahoma"/>
            <family val="0"/>
          </rPr>
          <t>Cindy Ehart:</t>
        </r>
        <r>
          <rPr>
            <sz val="8"/>
            <rFont val="Tahoma"/>
            <family val="0"/>
          </rPr>
          <t xml:space="preserve">
personal plus ad valorem
</t>
        </r>
      </text>
    </comment>
  </commentList>
</comments>
</file>

<file path=xl/sharedStrings.xml><?xml version="1.0" encoding="utf-8"?>
<sst xmlns="http://schemas.openxmlformats.org/spreadsheetml/2006/main" count="2073" uniqueCount="1094">
  <si>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</si>
  <si>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</si>
  <si>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</si>
  <si>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</si>
  <si>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</si>
  <si>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</si>
  <si>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</si>
  <si>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</si>
  <si>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</si>
  <si>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</si>
  <si>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</si>
  <si>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</si>
  <si>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</si>
  <si>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</si>
  <si>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</si>
  <si>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</si>
  <si>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</si>
  <si>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</si>
  <si>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</si>
  <si>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</si>
  <si>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</si>
  <si>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</si>
  <si>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</si>
  <si>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</si>
  <si>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</si>
  <si>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</si>
  <si>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</si>
  <si>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</si>
  <si>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</si>
  <si>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</si>
  <si>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</si>
  <si>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</si>
  <si>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</si>
  <si>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</si>
  <si>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</si>
  <si>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</si>
  <si>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</si>
  <si>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</si>
  <si>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</si>
  <si>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</si>
  <si>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</si>
  <si>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</si>
  <si>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</si>
  <si>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</si>
  <si>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</si>
  <si>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</si>
  <si>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</si>
  <si>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</si>
  <si>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</si>
  <si>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</si>
  <si>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</si>
  <si>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</si>
  <si>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</si>
  <si>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</si>
  <si>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</si>
  <si>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</si>
  <si>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</si>
  <si>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</si>
  <si>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</si>
  <si>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</si>
  <si>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</si>
  <si>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</si>
  <si>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</si>
  <si>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</si>
  <si>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</si>
  <si>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</si>
  <si>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</si>
  <si>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</si>
  <si>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</si>
  <si>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</si>
  <si>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</si>
  <si>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</si>
  <si>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</si>
  <si>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</si>
  <si>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</si>
  <si>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</si>
  <si>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</si>
  <si>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</si>
  <si>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</si>
  <si>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</si>
  <si>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</si>
  <si>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</si>
  <si>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</si>
  <si>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</si>
  <si>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</si>
  <si>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</si>
  <si>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</si>
  <si>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</si>
  <si>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</si>
  <si>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</si>
  <si>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</si>
  <si>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</si>
  <si>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</si>
  <si>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</si>
  <si>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</si>
  <si>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</si>
  <si>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</si>
  <si>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</si>
  <si>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</si>
  <si>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</si>
  <si>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</si>
  <si>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</si>
  <si>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</si>
  <si>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</si>
  <si>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</si>
  <si>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</si>
  <si>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</si>
  <si>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</si>
  <si>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</si>
  <si>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</si>
  <si>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</si>
  <si>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</si>
  <si>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</si>
  <si>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</si>
  <si>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</si>
  <si>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</si>
  <si>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</si>
  <si>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</si>
  <si>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</si>
  <si>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</si>
  <si>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</si>
  <si>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</si>
  <si>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</si>
  <si>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</si>
  <si>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</si>
  <si>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</si>
  <si>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</si>
  <si>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</si>
  <si>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</si>
  <si>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</si>
  <si>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</si>
  <si>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</si>
  <si>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</si>
  <si>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</si>
  <si>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</si>
  <si>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</si>
  <si>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</si>
  <si>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</si>
  <si>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</si>
  <si>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</si>
  <si>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</si>
  <si>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</si>
  <si>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</si>
  <si>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</si>
  <si>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</si>
  <si>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</si>
  <si>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</si>
  <si>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</si>
  <si>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</si>
  <si>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</si>
  <si>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</si>
  <si>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</si>
  <si>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</si>
  <si>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</si>
  <si>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</si>
  <si>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</si>
  <si>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</si>
  <si>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</si>
  <si>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</si>
  <si>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</si>
  <si>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</si>
  <si>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</si>
  <si>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</si>
  <si>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</si>
  <si>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</si>
  <si>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</si>
  <si>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</si>
  <si>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</si>
  <si>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</si>
  <si>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</si>
  <si>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</si>
  <si>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</si>
  <si>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</si>
  <si>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</si>
  <si>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</si>
  <si>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</si>
  <si>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</si>
  <si>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</si>
  <si>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</si>
  <si>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</si>
  <si>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</si>
  <si>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</si>
  <si>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</si>
  <si>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</si>
  <si>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</si>
  <si>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</si>
  <si>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</si>
  <si>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</si>
  <si>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</si>
  <si>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</si>
  <si>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</si>
  <si>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</si>
  <si>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</si>
  <si>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</si>
  <si>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</si>
  <si>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</si>
  <si>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</si>
  <si>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</si>
  <si>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</si>
  <si>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</si>
  <si>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</si>
  <si>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</si>
  <si>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</si>
  <si>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</si>
  <si>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</si>
  <si>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</si>
  <si>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</si>
  <si>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</si>
  <si>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</si>
  <si>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</si>
  <si>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</si>
  <si>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</si>
  <si>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</si>
  <si>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</si>
  <si>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</si>
  <si>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</si>
  <si>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</si>
  <si>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</si>
  <si>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</si>
  <si>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</si>
  <si>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</si>
  <si>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</si>
  <si>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</si>
  <si>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</si>
  <si>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</si>
  <si>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</si>
  <si>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</si>
  <si>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</si>
  <si>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</si>
  <si>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</si>
  <si>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</si>
  <si>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</si>
  <si>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</si>
  <si>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</si>
  <si>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</si>
  <si>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</si>
  <si>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</si>
  <si>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</si>
  <si>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</si>
  <si>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</si>
  <si>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</si>
  <si>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</si>
  <si>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</si>
  <si>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</si>
  <si>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</si>
  <si>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</si>
  <si>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</si>
  <si>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</si>
  <si>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</si>
  <si>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</si>
  <si>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</si>
  <si>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</si>
  <si>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</si>
  <si>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</si>
  <si>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</si>
  <si>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</si>
  <si>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</si>
  <si>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</si>
  <si>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</si>
  <si>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</si>
  <si>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</si>
  <si>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</si>
  <si>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</si>
  <si>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</si>
  <si>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</si>
  <si>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</si>
  <si>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</si>
  <si>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</si>
  <si>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</si>
  <si>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</si>
  <si>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</si>
  <si>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</si>
  <si>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</si>
  <si>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</si>
  <si>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</si>
  <si>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</si>
  <si>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</si>
  <si>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</si>
  <si>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</si>
  <si>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</si>
  <si>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</si>
  <si>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</si>
  <si>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</si>
  <si>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</si>
  <si>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</si>
  <si>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</si>
  <si>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</si>
  <si>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</si>
  <si>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</si>
  <si>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</si>
  <si>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</si>
  <si>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</si>
  <si>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</si>
  <si>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</si>
  <si>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</si>
  <si>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</si>
  <si>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</si>
  <si>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</si>
  <si>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</si>
  <si>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</si>
  <si>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</si>
  <si>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</si>
  <si>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</si>
  <si>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</si>
  <si>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</si>
  <si>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</si>
  <si>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</si>
  <si>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</si>
  <si>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</si>
  <si>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</si>
  <si>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</si>
  <si>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</si>
  <si>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</si>
  <si>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</si>
  <si>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</si>
  <si>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</si>
  <si>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</si>
  <si>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</si>
  <si>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</si>
  <si>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</si>
  <si>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</si>
  <si>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</si>
  <si>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</si>
  <si>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</si>
  <si>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</si>
  <si>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</si>
  <si>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</si>
  <si>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</si>
  <si>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</si>
  <si>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</si>
  <si>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</si>
  <si>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</si>
  <si>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</si>
  <si>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</si>
  <si>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</si>
  <si>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</si>
  <si>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</si>
  <si>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</si>
  <si>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</si>
  <si>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</si>
  <si>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</si>
  <si>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</si>
  <si>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</si>
  <si>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</si>
  <si>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</si>
  <si>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</si>
  <si>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</si>
  <si>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</si>
  <si>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</si>
  <si>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</si>
  <si>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</si>
  <si>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</si>
  <si>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</si>
  <si>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</si>
  <si>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</si>
  <si>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</si>
  <si>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</si>
  <si>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</si>
  <si>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</si>
  <si>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</si>
  <si>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</si>
  <si>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</si>
  <si>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</si>
  <si>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</si>
  <si>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</si>
  <si>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</si>
  <si>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</si>
  <si>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</si>
  <si>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</si>
  <si>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</si>
  <si>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</si>
  <si>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</si>
  <si>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</si>
  <si>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</si>
  <si>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</si>
  <si>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</si>
  <si>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</si>
  <si>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</si>
  <si>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</si>
  <si>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</si>
  <si>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</si>
  <si>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</si>
  <si>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</si>
  <si>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</si>
  <si>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</si>
  <si>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</si>
  <si>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</si>
  <si>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</si>
  <si>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</si>
  <si>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</si>
  <si>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</si>
  <si>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</si>
  <si>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</si>
  <si>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</si>
  <si>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</si>
  <si>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</si>
  <si>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</si>
  <si>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</si>
  <si>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</si>
  <si>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</si>
  <si>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</si>
  <si>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</si>
  <si>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</si>
  <si>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</si>
  <si>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</si>
  <si>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</si>
  <si>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</si>
  <si>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</si>
  <si>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</si>
  <si>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</si>
  <si>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</si>
  <si>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</si>
  <si>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</si>
  <si>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</si>
  <si>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</si>
  <si>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</si>
  <si>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</si>
  <si>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</si>
  <si>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</si>
  <si>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</si>
  <si>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</si>
  <si>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</si>
  <si>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</si>
  <si>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</si>
  <si>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</si>
  <si>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</si>
  <si>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</si>
  <si>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</si>
  <si>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</si>
  <si>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</si>
  <si>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</si>
  <si>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</si>
  <si>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</si>
  <si>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</si>
  <si>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</si>
  <si>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</si>
  <si>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</si>
  <si>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</si>
  <si>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</si>
  <si>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</si>
  <si>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</si>
  <si>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</si>
  <si>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</si>
  <si>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</si>
  <si>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</si>
  <si>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</si>
  <si>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</si>
  <si>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</si>
  <si>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</si>
  <si>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</si>
  <si>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</si>
  <si>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</si>
  <si>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</si>
  <si>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</si>
  <si>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</si>
  <si>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</si>
  <si>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</si>
  <si>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</si>
  <si>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</si>
  <si>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</si>
  <si>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</si>
  <si>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</si>
  <si>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</si>
  <si>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</si>
  <si>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</si>
  <si>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</si>
  <si>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</si>
  <si>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</si>
  <si>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</si>
  <si>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</si>
  <si>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</si>
  <si>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</si>
  <si>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</si>
  <si>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</si>
  <si>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</si>
  <si>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</si>
  <si>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</si>
  <si>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</si>
  <si>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</si>
  <si>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</si>
  <si>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</si>
  <si>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</si>
  <si>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</si>
  <si>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</si>
  <si>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</si>
  <si>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</si>
  <si>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</si>
  <si>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</si>
  <si>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</si>
  <si>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</si>
  <si>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</si>
  <si>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</si>
  <si>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</si>
  <si>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</si>
  <si>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</si>
  <si>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</si>
  <si>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</si>
  <si>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</si>
  <si>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</si>
  <si>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</si>
  <si>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</si>
  <si>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</si>
  <si>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</si>
  <si>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</si>
  <si>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</si>
  <si>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</si>
  <si>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</si>
  <si>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</si>
  <si>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</si>
  <si>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</si>
  <si>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</si>
  <si>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</si>
  <si>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</si>
  <si>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</si>
  <si>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</si>
  <si>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</si>
  <si>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</si>
  <si>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</si>
  <si>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</si>
  <si>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</si>
  <si>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</si>
  <si>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</si>
  <si>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</si>
  <si>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</si>
  <si>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</si>
  <si>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</si>
  <si>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</si>
  <si>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</si>
  <si>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</si>
  <si>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</si>
  <si>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</si>
  <si>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</si>
  <si>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</si>
  <si>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</si>
  <si>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</si>
  <si>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</si>
  <si>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</si>
  <si>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</si>
  <si>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</si>
  <si>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</si>
  <si>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</si>
  <si>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</si>
  <si>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</si>
  <si>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</si>
  <si>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</si>
  <si>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</si>
  <si>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</si>
  <si>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</si>
  <si>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</si>
  <si>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</si>
  <si>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</si>
  <si>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</si>
  <si>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</si>
  <si>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</si>
  <si>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</si>
  <si>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</si>
  <si>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</si>
  <si>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</si>
  <si>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</si>
  <si>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</si>
  <si>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</si>
  <si>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</si>
  <si>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</si>
  <si>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</si>
  <si>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</si>
  <si>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</si>
  <si>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</si>
  <si>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</si>
  <si>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</si>
  <si>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</si>
  <si>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</si>
  <si>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</si>
  <si>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</si>
  <si>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</si>
  <si>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</si>
  <si>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</si>
  <si>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</si>
  <si>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</si>
  <si>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</si>
  <si>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</si>
  <si>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</si>
  <si>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</si>
  <si>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</si>
  <si>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</si>
  <si>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</si>
  <si>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</si>
  <si>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</si>
  <si>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</si>
  <si>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</si>
  <si>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</si>
  <si>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</si>
  <si>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</si>
  <si>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</si>
  <si>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</si>
  <si>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</si>
  <si>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</si>
  <si>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</si>
  <si>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</si>
  <si>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</si>
  <si>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</si>
  <si>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</si>
  <si>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</si>
  <si>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</si>
  <si>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</si>
  <si>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</si>
  <si>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</si>
  <si>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</si>
  <si>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</si>
  <si>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</si>
  <si>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</si>
  <si>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</si>
  <si>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</si>
  <si>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</si>
  <si>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</si>
  <si>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</si>
  <si>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</si>
  <si>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</si>
  <si>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</si>
  <si>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</si>
  <si>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</si>
  <si>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</si>
  <si>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</si>
  <si>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</si>
  <si>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</si>
  <si>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</si>
  <si>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</si>
  <si>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</si>
  <si>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</si>
  <si>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</si>
  <si>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</si>
  <si>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</si>
  <si>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</si>
  <si>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</si>
  <si>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</si>
  <si>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</si>
  <si>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</si>
  <si>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</si>
  <si>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</si>
  <si>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</si>
  <si>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</si>
  <si>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</si>
  <si>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</si>
  <si>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</si>
  <si>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</si>
  <si>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</si>
  <si>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</si>
  <si>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</si>
  <si>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</si>
  <si>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</si>
  <si>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</si>
  <si>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</si>
  <si>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</si>
  <si>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</si>
  <si>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</si>
  <si>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</si>
  <si>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</si>
  <si>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</si>
  <si>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</si>
  <si>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</si>
  <si>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</si>
  <si>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</si>
  <si>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</si>
  <si>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</si>
  <si>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</si>
  <si>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</si>
  <si>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</si>
  <si>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</si>
  <si>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</si>
  <si>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</si>
  <si>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</si>
  <si>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</si>
  <si>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</si>
  <si>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</si>
  <si>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</si>
  <si>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</si>
  <si>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</si>
  <si>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</si>
  <si>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</si>
  <si>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</si>
  <si>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</si>
  <si>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</si>
  <si>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</si>
  <si>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</si>
  <si>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</si>
  <si>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</si>
  <si>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</si>
  <si>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</si>
  <si>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</si>
  <si>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</si>
  <si>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</si>
  <si>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</si>
  <si>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</si>
  <si>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</si>
  <si>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</si>
  <si>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</si>
  <si>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</si>
  <si>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</si>
  <si>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</si>
  <si>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</si>
  <si>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</si>
  <si>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</si>
  <si>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</si>
  <si>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</si>
  <si>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</si>
  <si>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</si>
  <si>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</si>
  <si>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</si>
  <si>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</si>
  <si>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</si>
  <si>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</si>
  <si>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</si>
  <si>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</si>
  <si>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</si>
  <si>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</si>
  <si>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</si>
  <si>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</si>
  <si>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</si>
  <si>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</si>
  <si>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</si>
  <si>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</si>
  <si>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</si>
  <si>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</si>
  <si>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</si>
  <si>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</si>
  <si>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</si>
  <si>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</si>
  <si>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</si>
  <si>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</si>
  <si>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</si>
  <si>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</si>
  <si>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</si>
  <si>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</si>
  <si>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</si>
  <si>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</si>
  <si>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</si>
  <si>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</si>
  <si>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</si>
  <si>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</si>
  <si>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</si>
  <si>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</si>
  <si>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</si>
  <si>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</si>
  <si>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</si>
  <si>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</si>
  <si>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</si>
  <si>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</si>
  <si>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</si>
  <si>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</si>
  <si>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</si>
  <si>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</si>
  <si>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</si>
  <si>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</si>
  <si>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</si>
  <si>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</si>
  <si>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</si>
  <si>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Compensating Use Tax</t>
  </si>
  <si>
    <t>Local Sales Tax</t>
  </si>
  <si>
    <t>Franchise Tax</t>
  </si>
  <si>
    <t>Licenses</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</si>
  <si>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</si>
  <si>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</si>
  <si>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</si>
  <si>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</si>
  <si>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</si>
  <si>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</si>
  <si>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</si>
  <si>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</si>
  <si>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</si>
  <si>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</si>
  <si>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</si>
  <si>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</si>
  <si>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</si>
  <si>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</si>
  <si>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</si>
  <si>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</si>
  <si>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</si>
  <si>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</si>
  <si>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</si>
  <si>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</si>
  <si>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</si>
  <si>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</si>
  <si>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</si>
  <si>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</si>
  <si>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</si>
  <si>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</si>
  <si>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</si>
  <si>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</si>
  <si>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</si>
  <si>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</si>
  <si>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</si>
  <si>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</si>
  <si>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</si>
  <si>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</si>
  <si>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</si>
  <si>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</si>
  <si>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</si>
  <si>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</si>
  <si>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</si>
  <si>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</si>
  <si>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</si>
  <si>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</si>
  <si>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</si>
  <si>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</si>
  <si>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</si>
  <si>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</si>
  <si>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</si>
  <si>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</si>
  <si>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</si>
  <si>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</si>
  <si>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</si>
  <si>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</si>
  <si>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</si>
  <si>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</si>
  <si>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</si>
  <si>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</si>
  <si>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</si>
  <si>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</si>
  <si>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</si>
  <si>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</si>
  <si>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</si>
  <si>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</si>
  <si>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</si>
  <si>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</si>
  <si>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</si>
  <si>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</si>
  <si>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</si>
  <si>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</si>
  <si>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</si>
  <si>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</si>
  <si>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</si>
  <si>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</si>
  <si>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</si>
  <si>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</si>
  <si>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</si>
  <si>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</si>
  <si>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</si>
  <si>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</si>
  <si>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</si>
  <si>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</si>
  <si>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</si>
  <si>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</si>
  <si>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</si>
  <si>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</si>
  <si>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</si>
  <si>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</si>
  <si>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</si>
  <si>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</si>
  <si>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</si>
  <si>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</si>
  <si>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</si>
  <si>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</si>
  <si>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</si>
  <si>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</si>
  <si>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</si>
  <si>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</si>
  <si>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</si>
  <si>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</si>
  <si>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</si>
  <si>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</si>
  <si>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</si>
  <si>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</si>
  <si>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</si>
  <si>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</si>
  <si>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</si>
  <si>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</si>
  <si>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</si>
  <si>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</si>
  <si>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</si>
  <si>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</si>
  <si>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</si>
  <si>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</si>
  <si>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</si>
  <si>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</si>
  <si>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</si>
  <si>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</si>
  <si>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</si>
  <si>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</si>
  <si>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</si>
  <si>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</si>
  <si>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</si>
  <si>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</si>
  <si>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</si>
  <si>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</si>
  <si>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</si>
  <si>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</si>
  <si>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</si>
  <si>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</si>
  <si>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</si>
  <si>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</si>
  <si>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</si>
  <si>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</si>
  <si>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</si>
  <si>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</si>
  <si>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</si>
  <si>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</si>
  <si>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</si>
  <si>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</si>
  <si>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</si>
  <si>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</si>
  <si>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</si>
  <si>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</si>
  <si>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</si>
  <si>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</si>
  <si>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</si>
  <si>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</si>
  <si>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</si>
  <si>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</si>
  <si>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</si>
  <si>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</si>
  <si>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</si>
  <si>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</si>
  <si>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</si>
  <si>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</si>
  <si>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</si>
  <si>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</si>
  <si>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</si>
  <si>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</si>
  <si>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</si>
  <si>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</si>
  <si>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</si>
  <si>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</si>
  <si>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</si>
  <si>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</si>
  <si>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</si>
  <si>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</si>
  <si>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</si>
  <si>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</si>
  <si>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</si>
  <si>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</si>
  <si>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</si>
  <si>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</si>
  <si>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</si>
  <si>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</si>
  <si>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</si>
  <si>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</si>
  <si>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</si>
  <si>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</si>
  <si>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</si>
  <si>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</si>
  <si>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</si>
  <si>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</si>
  <si>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</si>
  <si>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</si>
  <si>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</si>
  <si>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</si>
  <si>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</si>
  <si>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</si>
  <si>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</si>
  <si>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</si>
  <si>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</si>
  <si>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</si>
  <si>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</si>
  <si>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</si>
  <si>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</si>
  <si>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</si>
  <si>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</si>
  <si>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</si>
  <si>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</si>
  <si>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</si>
  <si>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</si>
  <si>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</si>
  <si>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</si>
  <si>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</si>
  <si>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</si>
  <si>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</si>
  <si>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</si>
  <si>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</si>
  <si>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</si>
  <si>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</si>
  <si>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</si>
  <si>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</si>
  <si>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</si>
  <si>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</si>
  <si>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</si>
  <si>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</si>
  <si>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</si>
  <si>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</si>
  <si>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</si>
  <si>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</si>
  <si>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</si>
  <si>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</si>
  <si>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</si>
  <si>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</si>
  <si>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</si>
  <si>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</si>
  <si>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</si>
  <si>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Merriam</t>
  </si>
  <si>
    <t>Johnson County</t>
  </si>
  <si>
    <t>Special Alcohol</t>
  </si>
  <si>
    <t>Special Parks &amp; Recreation</t>
  </si>
  <si>
    <t>Transient Guest Tax</t>
  </si>
  <si>
    <t>Risk Management Reserve</t>
  </si>
  <si>
    <t>Equipment Reserve</t>
  </si>
  <si>
    <t>Capital Improvement</t>
  </si>
  <si>
    <t>TIF A</t>
  </si>
  <si>
    <t>TIF B</t>
  </si>
  <si>
    <t>Special Law Enforcement</t>
  </si>
  <si>
    <t>Juliana Pinnick</t>
  </si>
  <si>
    <t>July 22, 2013</t>
  </si>
  <si>
    <t>7:00 PM</t>
  </si>
  <si>
    <t>4/1, 10/1</t>
  </si>
  <si>
    <t>2005 GO Bond Issue*</t>
  </si>
  <si>
    <t>3.55 to 5.00</t>
  </si>
  <si>
    <t>2008 GO Bond Issue*</t>
  </si>
  <si>
    <t>3.25 to 3.50</t>
  </si>
  <si>
    <t>2010 GO Refunding Bonds</t>
  </si>
  <si>
    <t>2.00</t>
  </si>
  <si>
    <t>2012 GO Refunding Bonds</t>
  </si>
  <si>
    <t>1.25 to 2.00</t>
  </si>
  <si>
    <t>none</t>
  </si>
  <si>
    <t>*Some maturities refunded by 2012 Refunding Bonds. Retirement dates are for unrefunded maturities.</t>
  </si>
  <si>
    <t>**Series 1996A Subordinate Special Obligation TIF</t>
  </si>
  <si>
    <t>**Following payoff of the senior revenue bond, the 1996A subordinate bond principal was reduced by $2,412,691 in 2012 under terms of the trust indenture.</t>
  </si>
  <si>
    <t xml:space="preserve">   Amounts were previously reported as contractual payments to the developer.</t>
  </si>
  <si>
    <t>NONE</t>
  </si>
  <si>
    <t>County Sales Taxes</t>
  </si>
  <si>
    <t>Charges for Service</t>
  </si>
  <si>
    <t>Court Fines</t>
  </si>
  <si>
    <t>Grants</t>
  </si>
  <si>
    <t>Transfers from Capital Improvement Fund</t>
  </si>
  <si>
    <t>Loss from County Clerk - TIF Districts</t>
  </si>
  <si>
    <t>Salaries and Wages</t>
  </si>
  <si>
    <t>Employee Benefits</t>
  </si>
  <si>
    <t xml:space="preserve">Contractual </t>
  </si>
  <si>
    <t>Commodities</t>
  </si>
  <si>
    <t>Health &amp; Welfare</t>
  </si>
  <si>
    <t>Capital Outlay</t>
  </si>
  <si>
    <t>Transfers to Equipment Reserve Fund</t>
  </si>
  <si>
    <t>Transfers to Capital Improvement Fund</t>
  </si>
  <si>
    <t>Allowance for Sales Tax Revenue Shortages</t>
  </si>
  <si>
    <t>Special Assessments Revenues</t>
  </si>
  <si>
    <t>Loss from County Clerk TIF District</t>
  </si>
  <si>
    <t>Principal Payments</t>
  </si>
  <si>
    <t>Interest Payments</t>
  </si>
  <si>
    <t>Overlay and Street Repairs</t>
  </si>
  <si>
    <t>Alcohol Tax Revenues</t>
  </si>
  <si>
    <t>Drug/Alcohol Prevention &amp; Education</t>
  </si>
  <si>
    <t>Rental Income</t>
  </si>
  <si>
    <t>Special Event Revenue</t>
  </si>
  <si>
    <t>Farmers Market Revenue</t>
  </si>
  <si>
    <t>Transfer to Capital Improvement Fund</t>
  </si>
  <si>
    <t>Allowance for Transient Guest Tax shortages</t>
  </si>
  <si>
    <t>Contractual Services</t>
  </si>
  <si>
    <t>Risk Management Expenditures</t>
  </si>
  <si>
    <t>Insurance Proceeds</t>
  </si>
  <si>
    <t>Insurance Claims &amp; Settlements</t>
  </si>
  <si>
    <t>Transfers from General Fund</t>
  </si>
  <si>
    <t>Proceeds from Sale of Assets</t>
  </si>
  <si>
    <t>Federal Grants</t>
  </si>
  <si>
    <t>Technology</t>
  </si>
  <si>
    <t>Streetlights</t>
  </si>
  <si>
    <t>Other Equipment</t>
  </si>
  <si>
    <t>Transfers from Transient Guest Tax Fund</t>
  </si>
  <si>
    <t>Special City Sales Taxes</t>
  </si>
  <si>
    <t xml:space="preserve">TIF Revenues -  MTC </t>
  </si>
  <si>
    <t xml:space="preserve">TIF Revenues - I-35 District </t>
  </si>
  <si>
    <t>Capital Improvements (non-TIF)</t>
  </si>
  <si>
    <t>Capital Improvements (MTC TIF)</t>
  </si>
  <si>
    <t>Capital Improvements ( I-35 TIF)</t>
  </si>
  <si>
    <t>Transfer to Bond Fund (non-TIF)</t>
  </si>
  <si>
    <t>Transfer to Bond Fund (I-35 District GOs)</t>
  </si>
  <si>
    <t>Project Administration (non-TIF)</t>
  </si>
  <si>
    <t>Future Capital Projects (non-TIF)</t>
  </si>
  <si>
    <t>Future Capital Projects (MTC-TIF)</t>
  </si>
  <si>
    <t>Future Capital Projects (I-35-TIF)</t>
  </si>
  <si>
    <t xml:space="preserve">Salaries &amp; Wages </t>
  </si>
  <si>
    <t>Contractual</t>
  </si>
  <si>
    <t>Special Events (excl. salary/benefits)</t>
  </si>
  <si>
    <t>Salaries &amp; Wages*</t>
  </si>
  <si>
    <t xml:space="preserve">sale tax transfer reductions. </t>
  </si>
  <si>
    <t>*prior to 2013, were reimbursed via Gen Fund</t>
  </si>
  <si>
    <t>Employee Benefits*</t>
  </si>
  <si>
    <t xml:space="preserve">Transfer to General Fund </t>
  </si>
  <si>
    <t>Fines, Forfeitures</t>
  </si>
  <si>
    <t>Miscellaneou</t>
  </si>
  <si>
    <t>Interest Income</t>
  </si>
  <si>
    <t>Equipment</t>
  </si>
  <si>
    <t>TIF  - Merriam</t>
  </si>
  <si>
    <t>TIF - Other Taxing Jurisdictions</t>
  </si>
  <si>
    <t>TIF - State Guarantee</t>
  </si>
  <si>
    <t>TIF Project Expenditures</t>
  </si>
  <si>
    <t>Principal on Contractual Obligations</t>
  </si>
  <si>
    <t>Interest on Contractual Obligations</t>
  </si>
  <si>
    <t>Legal</t>
  </si>
  <si>
    <t>Drainage Board, City of OP, Mitigation Fees</t>
  </si>
  <si>
    <t>Johnson Co. SMAC  &amp; CARS Grants</t>
  </si>
  <si>
    <t>Transient Guest</t>
  </si>
  <si>
    <t>Bond &amp; Interest</t>
  </si>
  <si>
    <t>12-1, 118</t>
  </si>
  <si>
    <t>12-1, 117</t>
  </si>
  <si>
    <t>12-1698, CO 15</t>
  </si>
  <si>
    <t>Bond Issuance Costs</t>
  </si>
  <si>
    <t>Payment to Bond Escrow Agent</t>
  </si>
  <si>
    <t>Refunding Bonds Issued w/ Premium</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</si>
</sst>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 numFmtId="199" formatCode="[$-409]d\-mmm;@"/>
  </numFmts>
  <fonts count="102">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
      <b/>
      <sz val="8"/>
      <name val="Courier"/>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s>
  <cellStyleXfs count="4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902">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479"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6" borderId="0" xfId="478"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5"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166" fontId="5" fillId="34" borderId="10" xfId="0" applyNumberFormat="1" applyFont="1" applyFill="1" applyBorder="1" applyAlignment="1" applyProtection="1">
      <alignment vertical="center"/>
      <protection/>
    </xf>
    <xf numFmtId="37" fontId="5" fillId="34" borderId="10"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5" xfId="0" applyNumberFormat="1" applyFont="1" applyFill="1" applyBorder="1" applyAlignment="1" applyProtection="1">
      <alignment horizontal="center" vertical="center"/>
      <protection/>
    </xf>
    <xf numFmtId="182" fontId="5" fillId="34" borderId="25"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206" applyFont="1" applyAlignment="1">
      <alignment vertical="center" wrapText="1"/>
      <protection/>
    </xf>
    <xf numFmtId="0" fontId="5" fillId="0" borderId="0" xfId="84" applyFont="1" applyAlignment="1">
      <alignment vertical="center"/>
      <protection/>
    </xf>
    <xf numFmtId="0" fontId="5" fillId="0" borderId="0" xfId="84" applyFont="1" applyAlignment="1">
      <alignment vertical="center" wrapText="1"/>
      <protection/>
    </xf>
    <xf numFmtId="0" fontId="5" fillId="0" borderId="0" xfId="447"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07" applyFont="1">
      <alignment/>
      <protection/>
    </xf>
    <xf numFmtId="0" fontId="0" fillId="0" borderId="0" xfId="20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33" applyFont="1" applyAlignment="1">
      <alignment vertical="center"/>
      <protection/>
    </xf>
    <xf numFmtId="0" fontId="5" fillId="0" borderId="0" xfId="145" applyFont="1" applyAlignment="1">
      <alignment vertical="center" wrapText="1"/>
      <protection/>
    </xf>
    <xf numFmtId="0" fontId="6" fillId="0" borderId="0" xfId="137" applyFont="1" applyAlignment="1">
      <alignment vertical="center"/>
      <protection/>
    </xf>
    <xf numFmtId="0" fontId="5" fillId="34" borderId="0" xfId="0" applyFont="1" applyFill="1" applyAlignment="1">
      <alignment/>
    </xf>
    <xf numFmtId="0" fontId="87"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104" applyFont="1" applyFill="1" applyAlignment="1" applyProtection="1">
      <alignment horizontal="right" vertical="center"/>
      <protection/>
    </xf>
    <xf numFmtId="0" fontId="5" fillId="34" borderId="0" xfId="67"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1"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1" borderId="12" xfId="0" applyNumberFormat="1" applyFont="1" applyFill="1" applyBorder="1" applyAlignment="1" applyProtection="1">
      <alignment horizontal="center" vertical="center"/>
      <protection/>
    </xf>
    <xf numFmtId="0" fontId="88" fillId="34" borderId="0" xfId="0" applyFont="1" applyFill="1" applyAlignment="1" applyProtection="1">
      <alignment horizontal="center" vertical="center"/>
      <protection/>
    </xf>
    <xf numFmtId="0" fontId="88"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2" borderId="0" xfId="0" applyFont="1" applyFill="1" applyAlignment="1" applyProtection="1">
      <alignment vertical="center" shrinkToFit="1"/>
      <protection/>
    </xf>
    <xf numFmtId="0" fontId="0" fillId="42" borderId="0" xfId="0" applyFill="1" applyBorder="1" applyAlignment="1" applyProtection="1">
      <alignment vertical="center"/>
      <protection/>
    </xf>
    <xf numFmtId="0" fontId="18" fillId="42" borderId="0" xfId="0" applyFont="1" applyFill="1" applyBorder="1" applyAlignment="1" applyProtection="1">
      <alignment horizontal="center" vertical="center"/>
      <protection/>
    </xf>
    <xf numFmtId="37" fontId="5" fillId="42" borderId="0" xfId="0" applyNumberFormat="1" applyFont="1" applyFill="1" applyBorder="1" applyAlignment="1" applyProtection="1">
      <alignment horizontal="left" vertical="center"/>
      <protection/>
    </xf>
    <xf numFmtId="0" fontId="5" fillId="42" borderId="0" xfId="0" applyFont="1" applyFill="1" applyBorder="1" applyAlignment="1" applyProtection="1">
      <alignment vertical="center"/>
      <protection/>
    </xf>
    <xf numFmtId="37" fontId="5" fillId="42" borderId="0" xfId="0" applyNumberFormat="1" applyFont="1" applyFill="1" applyBorder="1" applyAlignment="1" applyProtection="1">
      <alignment vertical="center"/>
      <protection/>
    </xf>
    <xf numFmtId="3" fontId="5" fillId="43" borderId="12" xfId="0" applyNumberFormat="1" applyFont="1" applyFill="1" applyBorder="1" applyAlignment="1" applyProtection="1">
      <alignment vertical="center"/>
      <protection/>
    </xf>
    <xf numFmtId="3" fontId="5" fillId="43" borderId="25"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43"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6" fillId="0" borderId="0" xfId="0" applyFont="1" applyAlignment="1" applyProtection="1">
      <alignment vertical="center"/>
      <protection/>
    </xf>
    <xf numFmtId="0" fontId="0" fillId="42" borderId="0" xfId="0" applyFill="1" applyAlignment="1" applyProtection="1">
      <alignment vertical="center"/>
      <protection locked="0"/>
    </xf>
    <xf numFmtId="0" fontId="5" fillId="0" borderId="0" xfId="100" applyFont="1">
      <alignment/>
      <protection/>
    </xf>
    <xf numFmtId="37" fontId="5" fillId="34" borderId="13" xfId="100" applyNumberFormat="1" applyFont="1" applyFill="1" applyBorder="1" applyAlignment="1" applyProtection="1">
      <alignment horizontal="center"/>
      <protection/>
    </xf>
    <xf numFmtId="37" fontId="5" fillId="34" borderId="14" xfId="100" applyNumberFormat="1" applyFont="1" applyFill="1" applyBorder="1" applyAlignment="1" applyProtection="1">
      <alignment horizontal="center"/>
      <protection/>
    </xf>
    <xf numFmtId="0" fontId="5" fillId="42" borderId="0" xfId="100" applyFont="1" applyFill="1" applyBorder="1" applyAlignment="1" applyProtection="1">
      <alignment vertical="center"/>
      <protection locked="0"/>
    </xf>
    <xf numFmtId="0" fontId="33" fillId="42" borderId="0" xfId="100" applyFont="1" applyFill="1" applyBorder="1" applyAlignment="1" applyProtection="1">
      <alignment vertical="center"/>
      <protection locked="0"/>
    </xf>
    <xf numFmtId="194" fontId="33" fillId="44" borderId="12" xfId="100" applyNumberFormat="1" applyFont="1" applyFill="1" applyBorder="1" applyAlignment="1" applyProtection="1">
      <alignment horizontal="center" vertical="center"/>
      <protection locked="0"/>
    </xf>
    <xf numFmtId="0" fontId="5" fillId="42" borderId="26" xfId="100" applyFont="1" applyFill="1" applyBorder="1" applyAlignment="1" applyProtection="1">
      <alignment vertical="center"/>
      <protection/>
    </xf>
    <xf numFmtId="194" fontId="33" fillId="42" borderId="15" xfId="100" applyNumberFormat="1" applyFont="1" applyFill="1" applyBorder="1" applyAlignment="1" applyProtection="1">
      <alignment horizontal="center" vertical="center"/>
      <protection/>
    </xf>
    <xf numFmtId="0" fontId="33" fillId="42" borderId="0" xfId="100" applyFont="1" applyFill="1" applyBorder="1" applyAlignment="1" applyProtection="1">
      <alignment horizontal="left" vertical="center"/>
      <protection/>
    </xf>
    <xf numFmtId="0" fontId="33" fillId="42" borderId="26" xfId="100" applyFont="1" applyFill="1" applyBorder="1" applyAlignment="1" applyProtection="1">
      <alignment vertical="center"/>
      <protection/>
    </xf>
    <xf numFmtId="0" fontId="33" fillId="42" borderId="0" xfId="100" applyFont="1" applyFill="1" applyBorder="1" applyAlignment="1" applyProtection="1">
      <alignment vertical="center"/>
      <protection/>
    </xf>
    <xf numFmtId="194" fontId="33" fillId="42" borderId="21" xfId="100" applyNumberFormat="1" applyFont="1" applyFill="1" applyBorder="1" applyAlignment="1" applyProtection="1">
      <alignment horizontal="center" vertical="center"/>
      <protection/>
    </xf>
    <xf numFmtId="194" fontId="33" fillId="42" borderId="15" xfId="100" applyNumberFormat="1" applyFont="1" applyFill="1" applyBorder="1" applyAlignment="1" applyProtection="1">
      <alignment vertical="center"/>
      <protection/>
    </xf>
    <xf numFmtId="0" fontId="35" fillId="45" borderId="10" xfId="100" applyFont="1" applyFill="1" applyBorder="1" applyAlignment="1" applyProtection="1">
      <alignment vertical="center"/>
      <protection/>
    </xf>
    <xf numFmtId="0" fontId="33" fillId="45" borderId="16" xfId="100" applyFont="1" applyFill="1" applyBorder="1" applyAlignment="1" applyProtection="1">
      <alignment vertical="center"/>
      <protection/>
    </xf>
    <xf numFmtId="0" fontId="5" fillId="45" borderId="16" xfId="100" applyFont="1" applyFill="1" applyBorder="1" applyAlignment="1" applyProtection="1">
      <alignment vertical="center"/>
      <protection/>
    </xf>
    <xf numFmtId="0" fontId="33" fillId="42" borderId="15" xfId="100" applyFont="1" applyFill="1" applyBorder="1" applyAlignment="1" applyProtection="1">
      <alignment horizontal="left" vertical="center"/>
      <protection/>
    </xf>
    <xf numFmtId="194" fontId="35" fillId="45" borderId="21" xfId="100" applyNumberFormat="1" applyFont="1" applyFill="1" applyBorder="1" applyAlignment="1" applyProtection="1">
      <alignment horizontal="center" vertical="center"/>
      <protection/>
    </xf>
    <xf numFmtId="178" fontId="5" fillId="43" borderId="12" xfId="0" applyNumberFormat="1" applyFont="1" applyFill="1" applyBorder="1" applyAlignment="1" applyProtection="1">
      <alignment vertical="center"/>
      <protection/>
    </xf>
    <xf numFmtId="0" fontId="6" fillId="0" borderId="0" xfId="138" applyFont="1" applyAlignment="1">
      <alignment vertical="center"/>
      <protection/>
    </xf>
    <xf numFmtId="0" fontId="5" fillId="0" borderId="0" xfId="104" applyFont="1" applyAlignment="1">
      <alignment vertical="center" wrapText="1"/>
      <protection/>
    </xf>
    <xf numFmtId="0" fontId="5" fillId="0" borderId="0" xfId="104"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5" borderId="21" xfId="100" applyNumberFormat="1" applyFont="1" applyFill="1" applyBorder="1" applyAlignment="1" applyProtection="1">
      <alignment horizontal="center" vertical="center"/>
      <protection/>
    </xf>
    <xf numFmtId="0" fontId="15" fillId="45" borderId="10" xfId="100" applyFont="1" applyFill="1" applyBorder="1" applyAlignment="1" applyProtection="1">
      <alignment vertical="center"/>
      <protection/>
    </xf>
    <xf numFmtId="0" fontId="39" fillId="46" borderId="0" xfId="0" applyFont="1" applyFill="1" applyAlignment="1">
      <alignment/>
    </xf>
    <xf numFmtId="0" fontId="39" fillId="42" borderId="0" xfId="0" applyFont="1" applyFill="1" applyAlignment="1">
      <alignment/>
    </xf>
    <xf numFmtId="0" fontId="89" fillId="46" borderId="0" xfId="0" applyFont="1" applyFill="1" applyAlignment="1">
      <alignment horizontal="center" wrapText="1"/>
    </xf>
    <xf numFmtId="0" fontId="89" fillId="42" borderId="0" xfId="0" applyFont="1" applyFill="1" applyAlignment="1">
      <alignment/>
    </xf>
    <xf numFmtId="0" fontId="39" fillId="42" borderId="0" xfId="0" applyFont="1" applyFill="1" applyAlignment="1">
      <alignment horizontal="center"/>
    </xf>
    <xf numFmtId="0" fontId="89"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194" fontId="39" fillId="42" borderId="30" xfId="0" applyNumberFormat="1" applyFont="1" applyFill="1" applyBorder="1" applyAlignment="1">
      <alignment/>
    </xf>
    <xf numFmtId="0" fontId="39" fillId="42" borderId="0" xfId="0" applyFont="1" applyFill="1" applyBorder="1" applyAlignment="1">
      <alignment/>
    </xf>
    <xf numFmtId="194" fontId="39" fillId="42" borderId="10" xfId="0" applyNumberFormat="1" applyFont="1" applyFill="1" applyBorder="1" applyAlignment="1">
      <alignment horizontal="center"/>
    </xf>
    <xf numFmtId="0" fontId="39" fillId="42" borderId="31" xfId="0" applyFont="1" applyFill="1" applyBorder="1" applyAlignment="1">
      <alignment/>
    </xf>
    <xf numFmtId="0" fontId="39" fillId="42" borderId="32" xfId="0" applyFont="1" applyFill="1" applyBorder="1" applyAlignment="1">
      <alignment/>
    </xf>
    <xf numFmtId="0" fontId="39" fillId="42" borderId="33" xfId="0" applyFont="1" applyFill="1" applyBorder="1" applyAlignment="1">
      <alignment/>
    </xf>
    <xf numFmtId="0" fontId="39" fillId="42" borderId="34" xfId="0" applyFont="1" applyFill="1" applyBorder="1" applyAlignment="1">
      <alignment/>
    </xf>
    <xf numFmtId="194" fontId="39" fillId="42" borderId="0" xfId="0" applyNumberFormat="1" applyFont="1" applyFill="1" applyAlignment="1">
      <alignment/>
    </xf>
    <xf numFmtId="0" fontId="39" fillId="42" borderId="27" xfId="0" applyFont="1" applyFill="1" applyBorder="1" applyAlignment="1">
      <alignment/>
    </xf>
    <xf numFmtId="0" fontId="39" fillId="42" borderId="35" xfId="0" applyFont="1" applyFill="1" applyBorder="1" applyAlignment="1">
      <alignment/>
    </xf>
    <xf numFmtId="194" fontId="39" fillId="44" borderId="30" xfId="0" applyNumberFormat="1" applyFont="1" applyFill="1" applyBorder="1" applyAlignment="1" applyProtection="1">
      <alignment horizontal="center"/>
      <protection locked="0"/>
    </xf>
    <xf numFmtId="182" fontId="39" fillId="42" borderId="0" xfId="0" applyNumberFormat="1" applyFont="1" applyFill="1" applyBorder="1" applyAlignment="1">
      <alignment horizontal="center"/>
    </xf>
    <xf numFmtId="0" fontId="90" fillId="0" borderId="0" xfId="0" applyFont="1" applyBorder="1" applyAlignment="1">
      <alignment/>
    </xf>
    <xf numFmtId="0" fontId="39" fillId="0" borderId="0" xfId="0" applyFont="1" applyBorder="1" applyAlignment="1">
      <alignment/>
    </xf>
    <xf numFmtId="0" fontId="89" fillId="0" borderId="0" xfId="0" applyFont="1" applyBorder="1" applyAlignment="1">
      <alignment horizontal="centerContinuous"/>
    </xf>
    <xf numFmtId="0" fontId="39" fillId="0" borderId="0" xfId="0" applyFont="1" applyBorder="1" applyAlignment="1">
      <alignment horizontal="centerContinuous"/>
    </xf>
    <xf numFmtId="0" fontId="39" fillId="46" borderId="0"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5" fontId="39" fillId="42" borderId="33" xfId="0" applyNumberFormat="1" applyFont="1" applyFill="1" applyBorder="1" applyAlignment="1">
      <alignment horizontal="center"/>
    </xf>
    <xf numFmtId="0" fontId="39" fillId="42" borderId="33" xfId="0" applyFont="1" applyFill="1" applyBorder="1" applyAlignment="1">
      <alignment horizontal="center"/>
    </xf>
    <xf numFmtId="182" fontId="39" fillId="42" borderId="33" xfId="0" applyNumberFormat="1" applyFont="1" applyFill="1" applyBorder="1" applyAlignment="1">
      <alignment horizontal="center"/>
    </xf>
    <xf numFmtId="195" fontId="39" fillId="42" borderId="33" xfId="0" applyNumberFormat="1" applyFont="1" applyFill="1" applyBorder="1" applyAlignment="1">
      <alignment horizontal="center"/>
    </xf>
    <xf numFmtId="0" fontId="39" fillId="42" borderId="0" xfId="0" applyFont="1" applyFill="1" applyAlignment="1">
      <alignment horizontal="center" wrapText="1"/>
    </xf>
    <xf numFmtId="0" fontId="89"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0" fontId="39" fillId="42" borderId="35" xfId="0" applyFont="1" applyFill="1" applyBorder="1" applyAlignment="1">
      <alignment/>
    </xf>
    <xf numFmtId="0" fontId="39" fillId="42" borderId="31"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178" fontId="39" fillId="42" borderId="0" xfId="0" applyNumberFormat="1" applyFont="1" applyFill="1" applyBorder="1" applyAlignment="1">
      <alignment horizontal="center"/>
    </xf>
    <xf numFmtId="0" fontId="39" fillId="42" borderId="32" xfId="0" applyFont="1" applyFill="1" applyBorder="1" applyAlignment="1">
      <alignment/>
    </xf>
    <xf numFmtId="5" fontId="39" fillId="42" borderId="0" xfId="0" applyNumberFormat="1" applyFont="1" applyFill="1" applyBorder="1" applyAlignment="1">
      <alignment horizontal="center"/>
    </xf>
    <xf numFmtId="0" fontId="39" fillId="46" borderId="0" xfId="0" applyFont="1" applyFill="1" applyAlignment="1">
      <alignment/>
    </xf>
    <xf numFmtId="182" fontId="39" fillId="44" borderId="10" xfId="0" applyNumberFormat="1" applyFont="1" applyFill="1" applyBorder="1" applyAlignment="1" applyProtection="1">
      <alignment horizontal="center"/>
      <protection locked="0"/>
    </xf>
    <xf numFmtId="195" fontId="39" fillId="42" borderId="0" xfId="0" applyNumberFormat="1" applyFont="1" applyFill="1" applyBorder="1" applyAlignment="1">
      <alignment/>
    </xf>
    <xf numFmtId="0" fontId="39" fillId="47"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91"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182" fontId="33" fillId="42" borderId="17" xfId="100" applyNumberFormat="1" applyFont="1" applyFill="1" applyBorder="1" applyAlignment="1" applyProtection="1">
      <alignment horizontal="center" vertical="center"/>
      <protection locked="0"/>
    </xf>
    <xf numFmtId="0" fontId="5" fillId="42" borderId="0" xfId="100" applyFont="1" applyFill="1" applyBorder="1" applyAlignment="1" applyProtection="1">
      <alignment vertical="center"/>
      <protection/>
    </xf>
    <xf numFmtId="0" fontId="5" fillId="42" borderId="15" xfId="100" applyFont="1" applyFill="1" applyBorder="1" applyAlignment="1" applyProtection="1">
      <alignment vertical="center"/>
      <protection/>
    </xf>
    <xf numFmtId="0" fontId="5" fillId="42" borderId="26" xfId="100" applyFont="1" applyFill="1" applyBorder="1" applyAlignment="1" applyProtection="1">
      <alignment vertical="center"/>
      <protection/>
    </xf>
    <xf numFmtId="0" fontId="5" fillId="45" borderId="16" xfId="100" applyFont="1" applyFill="1" applyBorder="1" applyAlignment="1" applyProtection="1">
      <alignment vertical="center"/>
      <protection/>
    </xf>
    <xf numFmtId="0" fontId="33" fillId="42" borderId="15" xfId="100" applyFont="1" applyFill="1" applyBorder="1" applyAlignment="1" applyProtection="1">
      <alignment vertical="center"/>
      <protection/>
    </xf>
    <xf numFmtId="194" fontId="15" fillId="42" borderId="15" xfId="100" applyNumberFormat="1" applyFont="1" applyFill="1" applyBorder="1" applyAlignment="1" applyProtection="1">
      <alignment horizontal="center" vertical="center"/>
      <protection/>
    </xf>
    <xf numFmtId="0" fontId="15" fillId="42" borderId="0" xfId="100" applyFont="1" applyFill="1" applyBorder="1" applyAlignment="1" applyProtection="1">
      <alignment horizontal="left" vertical="center"/>
      <protection/>
    </xf>
    <xf numFmtId="0" fontId="15" fillId="42" borderId="0" xfId="100" applyFont="1" applyFill="1" applyBorder="1" applyAlignment="1" applyProtection="1">
      <alignment vertical="center"/>
      <protection/>
    </xf>
    <xf numFmtId="194" fontId="15" fillId="42" borderId="21" xfId="100" applyNumberFormat="1" applyFont="1" applyFill="1" applyBorder="1" applyAlignment="1" applyProtection="1">
      <alignment horizontal="center" vertical="center"/>
      <protection/>
    </xf>
    <xf numFmtId="194" fontId="15" fillId="42" borderId="15" xfId="100" applyNumberFormat="1" applyFont="1" applyFill="1" applyBorder="1" applyAlignment="1" applyProtection="1">
      <alignment vertical="center"/>
      <protection/>
    </xf>
    <xf numFmtId="0" fontId="39" fillId="0" borderId="0" xfId="0" applyFont="1" applyAlignment="1">
      <alignment/>
    </xf>
    <xf numFmtId="0" fontId="40" fillId="0" borderId="0" xfId="100" applyFont="1" applyAlignment="1">
      <alignment horizontal="center"/>
      <protection/>
    </xf>
    <xf numFmtId="0" fontId="5" fillId="0" borderId="0" xfId="100" applyFont="1" applyAlignment="1">
      <alignment wrapText="1"/>
      <protection/>
    </xf>
    <xf numFmtId="0" fontId="41" fillId="0" borderId="0" xfId="67" applyFont="1" applyAlignment="1" applyProtection="1">
      <alignment/>
      <protection/>
    </xf>
    <xf numFmtId="0" fontId="5" fillId="0" borderId="0" xfId="408" applyFont="1" applyAlignment="1">
      <alignment vertical="center" wrapText="1"/>
      <protection/>
    </xf>
    <xf numFmtId="0" fontId="5" fillId="0" borderId="0" xfId="428" applyNumberFormat="1" applyFont="1" applyAlignment="1">
      <alignment vertical="center" wrapText="1"/>
      <protection/>
    </xf>
    <xf numFmtId="0" fontId="5" fillId="0" borderId="0" xfId="307" applyFont="1" applyAlignment="1">
      <alignment vertical="center" wrapText="1"/>
      <protection/>
    </xf>
    <xf numFmtId="0" fontId="92" fillId="0" borderId="0" xfId="0" applyFont="1" applyAlignment="1">
      <alignment vertical="center"/>
    </xf>
    <xf numFmtId="182" fontId="5" fillId="44" borderId="26" xfId="101" applyNumberFormat="1" applyFont="1" applyFill="1" applyBorder="1" applyAlignment="1" applyProtection="1">
      <alignment horizontal="center"/>
      <protection locked="0"/>
    </xf>
    <xf numFmtId="0" fontId="33" fillId="42" borderId="15" xfId="101" applyFont="1" applyFill="1" applyBorder="1" applyProtection="1">
      <alignment/>
      <protection/>
    </xf>
    <xf numFmtId="0" fontId="5" fillId="42" borderId="0" xfId="101" applyFont="1" applyFill="1" applyBorder="1" applyProtection="1">
      <alignment/>
      <protection/>
    </xf>
    <xf numFmtId="194" fontId="5" fillId="42" borderId="26" xfId="101" applyNumberFormat="1" applyFont="1" applyFill="1" applyBorder="1" applyAlignment="1" applyProtection="1">
      <alignment horizontal="center"/>
      <protection/>
    </xf>
    <xf numFmtId="0" fontId="5" fillId="42" borderId="21" xfId="101" applyFont="1" applyFill="1" applyBorder="1" applyProtection="1">
      <alignment/>
      <protection/>
    </xf>
    <xf numFmtId="0" fontId="5" fillId="42" borderId="10" xfId="101" applyFont="1" applyFill="1" applyBorder="1" applyProtection="1">
      <alignment/>
      <protection/>
    </xf>
    <xf numFmtId="194" fontId="5" fillId="45" borderId="16" xfId="101" applyNumberFormat="1" applyFont="1" applyFill="1" applyBorder="1" applyAlignment="1" applyProtection="1">
      <alignment horizontal="center"/>
      <protection/>
    </xf>
    <xf numFmtId="0" fontId="5" fillId="0" borderId="0" xfId="101" applyFont="1" applyFill="1" applyBorder="1" applyProtection="1">
      <alignment/>
      <protection/>
    </xf>
    <xf numFmtId="0" fontId="5" fillId="42" borderId="15" xfId="101" applyFont="1" applyFill="1" applyBorder="1" applyProtection="1">
      <alignment/>
      <protection/>
    </xf>
    <xf numFmtId="0" fontId="5" fillId="42" borderId="26" xfId="101" applyFont="1" applyFill="1" applyBorder="1" applyProtection="1">
      <alignment/>
      <protection/>
    </xf>
    <xf numFmtId="178" fontId="5" fillId="42" borderId="26" xfId="101" applyNumberFormat="1" applyFont="1" applyFill="1" applyBorder="1" applyAlignment="1" applyProtection="1">
      <alignment horizontal="center"/>
      <protection/>
    </xf>
    <xf numFmtId="0" fontId="5" fillId="45" borderId="15" xfId="101" applyFont="1" applyFill="1" applyBorder="1" applyProtection="1">
      <alignment/>
      <protection/>
    </xf>
    <xf numFmtId="0" fontId="5" fillId="45" borderId="0" xfId="101" applyFont="1" applyFill="1" applyBorder="1" applyProtection="1">
      <alignment/>
      <protection/>
    </xf>
    <xf numFmtId="0" fontId="5" fillId="45" borderId="21" xfId="101" applyFont="1" applyFill="1" applyBorder="1" applyProtection="1">
      <alignment/>
      <protection/>
    </xf>
    <xf numFmtId="0" fontId="5" fillId="45" borderId="10" xfId="101" applyFont="1" applyFill="1" applyBorder="1" applyProtection="1">
      <alignment/>
      <protection/>
    </xf>
    <xf numFmtId="0" fontId="5" fillId="0" borderId="0" xfId="101" applyFont="1" applyProtection="1">
      <alignment/>
      <protection/>
    </xf>
    <xf numFmtId="194" fontId="5" fillId="42" borderId="16" xfId="101" applyNumberFormat="1" applyFont="1" applyFill="1" applyBorder="1" applyAlignment="1" applyProtection="1">
      <alignment horizontal="center"/>
      <protection/>
    </xf>
    <xf numFmtId="3" fontId="5" fillId="43" borderId="25" xfId="0" applyNumberFormat="1" applyFont="1" applyFill="1" applyBorder="1" applyAlignment="1" applyProtection="1">
      <alignment horizontal="center" vertical="center"/>
      <protection/>
    </xf>
    <xf numFmtId="0" fontId="5" fillId="33" borderId="19" xfId="104"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91"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0" fontId="89" fillId="42" borderId="35" xfId="0" applyFont="1" applyFill="1" applyBorder="1" applyAlignment="1">
      <alignment horizontal="centerContinuous" vertical="center"/>
    </xf>
    <xf numFmtId="194" fontId="89" fillId="42" borderId="0" xfId="0" applyNumberFormat="1" applyFont="1" applyFill="1" applyBorder="1" applyAlignment="1">
      <alignment horizontal="centerContinuous" vertical="center"/>
    </xf>
    <xf numFmtId="0" fontId="89" fillId="42" borderId="0" xfId="0" applyFont="1" applyFill="1" applyBorder="1" applyAlignment="1">
      <alignment horizontal="centerContinuous" vertical="center"/>
    </xf>
    <xf numFmtId="182" fontId="89" fillId="42" borderId="0" xfId="0" applyNumberFormat="1" applyFont="1" applyFill="1" applyBorder="1" applyAlignment="1" applyProtection="1">
      <alignment horizontal="centerContinuous" vertical="center"/>
      <protection locked="0"/>
    </xf>
    <xf numFmtId="195" fontId="89" fillId="42" borderId="0" xfId="0" applyNumberFormat="1" applyFont="1" applyFill="1" applyBorder="1" applyAlignment="1">
      <alignment horizontal="centerContinuous" vertical="center"/>
    </xf>
    <xf numFmtId="0" fontId="89" fillId="42" borderId="31" xfId="0" applyFont="1" applyFill="1" applyBorder="1" applyAlignment="1">
      <alignment horizontal="centerContinuous" vertical="center"/>
    </xf>
    <xf numFmtId="0" fontId="89" fillId="42" borderId="35" xfId="0" applyFont="1" applyFill="1" applyBorder="1" applyAlignment="1">
      <alignment horizontal="centerContinuous"/>
    </xf>
    <xf numFmtId="194" fontId="89" fillId="42" borderId="0" xfId="0" applyNumberFormat="1" applyFont="1" applyFill="1" applyBorder="1" applyAlignment="1">
      <alignment horizontal="centerContinuous"/>
    </xf>
    <xf numFmtId="0" fontId="89" fillId="42" borderId="0" xfId="0" applyFont="1" applyFill="1" applyBorder="1" applyAlignment="1">
      <alignment horizontal="centerContinuous"/>
    </xf>
    <xf numFmtId="182" fontId="89" fillId="42" borderId="0" xfId="0" applyNumberFormat="1" applyFont="1" applyFill="1" applyBorder="1" applyAlignment="1" applyProtection="1">
      <alignment horizontal="centerContinuous"/>
      <protection locked="0"/>
    </xf>
    <xf numFmtId="195" fontId="89" fillId="42" borderId="0" xfId="0" applyNumberFormat="1" applyFont="1" applyFill="1" applyBorder="1" applyAlignment="1">
      <alignment horizontal="centerContinuous"/>
    </xf>
    <xf numFmtId="0" fontId="89" fillId="42" borderId="31" xfId="0" applyFont="1" applyFill="1" applyBorder="1" applyAlignment="1">
      <alignment horizontal="centerContinuous"/>
    </xf>
    <xf numFmtId="194" fontId="39" fillId="0" borderId="0" xfId="0" applyNumberFormat="1" applyFont="1" applyAlignment="1">
      <alignment/>
    </xf>
    <xf numFmtId="194" fontId="39" fillId="42" borderId="33" xfId="0" applyNumberFormat="1" applyFont="1" applyFill="1" applyBorder="1" applyAlignment="1">
      <alignment horizontal="center"/>
    </xf>
    <xf numFmtId="182" fontId="39" fillId="42" borderId="33" xfId="0" applyNumberFormat="1" applyFont="1" applyFill="1" applyBorder="1" applyAlignment="1" applyProtection="1">
      <alignment horizontal="center"/>
      <protection locked="0"/>
    </xf>
    <xf numFmtId="195" fontId="39" fillId="42" borderId="33" xfId="0" applyNumberFormat="1" applyFont="1" applyFill="1" applyBorder="1" applyAlignment="1">
      <alignment/>
    </xf>
    <xf numFmtId="182" fontId="39" fillId="42" borderId="0" xfId="0" applyNumberFormat="1" applyFont="1" applyFill="1" applyBorder="1" applyAlignment="1" applyProtection="1">
      <alignment horizontal="center"/>
      <protection locked="0"/>
    </xf>
    <xf numFmtId="194" fontId="39" fillId="42" borderId="28" xfId="0" applyNumberFormat="1" applyFont="1" applyFill="1" applyBorder="1" applyAlignment="1">
      <alignment horizontal="center"/>
    </xf>
    <xf numFmtId="0" fontId="39" fillId="42" borderId="28" xfId="0" applyFont="1" applyFill="1" applyBorder="1" applyAlignment="1">
      <alignment horizontal="center"/>
    </xf>
    <xf numFmtId="182" fontId="39" fillId="42" borderId="28" xfId="0" applyNumberFormat="1" applyFont="1" applyFill="1" applyBorder="1" applyAlignment="1" applyProtection="1">
      <alignment horizontal="center"/>
      <protection locked="0"/>
    </xf>
    <xf numFmtId="195" fontId="39" fillId="42" borderId="28" xfId="0" applyNumberFormat="1" applyFont="1" applyFill="1" applyBorder="1" applyAlignment="1">
      <alignment/>
    </xf>
    <xf numFmtId="194" fontId="39" fillId="42" borderId="0" xfId="0" applyNumberFormat="1" applyFont="1" applyFill="1" applyBorder="1" applyAlignment="1" applyProtection="1">
      <alignment horizontal="center"/>
      <protection locked="0"/>
    </xf>
    <xf numFmtId="194" fontId="5" fillId="45" borderId="26" xfId="101"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0" fontId="9" fillId="35" borderId="12" xfId="0" applyFont="1" applyFill="1" applyBorder="1" applyAlignment="1" applyProtection="1">
      <alignment vertical="center" shrinkToFit="1"/>
      <protection/>
    </xf>
    <xf numFmtId="3" fontId="5" fillId="42" borderId="18" xfId="0" applyNumberFormat="1" applyFont="1" applyFill="1" applyBorder="1" applyAlignment="1">
      <alignment horizontal="center" vertical="center"/>
    </xf>
    <xf numFmtId="0" fontId="5" fillId="42" borderId="0" xfId="0" applyFont="1" applyFill="1" applyAlignment="1" applyProtection="1">
      <alignment vertical="center"/>
      <protection locked="0"/>
    </xf>
    <xf numFmtId="37" fontId="5" fillId="42"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2" borderId="0" xfId="0" applyFill="1" applyBorder="1" applyAlignment="1" applyProtection="1">
      <alignment vertical="center" wrapText="1"/>
      <protection/>
    </xf>
    <xf numFmtId="177" fontId="5" fillId="42" borderId="0" xfId="42" applyNumberFormat="1" applyFont="1" applyFill="1" applyBorder="1" applyAlignment="1" applyProtection="1">
      <alignment vertical="center"/>
      <protection/>
    </xf>
    <xf numFmtId="0" fontId="9" fillId="42" borderId="0" xfId="0" applyFont="1" applyFill="1" applyBorder="1" applyAlignment="1" applyProtection="1">
      <alignment vertical="center" wrapText="1" shrinkToFit="1"/>
      <protection/>
    </xf>
    <xf numFmtId="178" fontId="5" fillId="34" borderId="12" xfId="0" applyNumberFormat="1" applyFont="1" applyFill="1" applyBorder="1" applyAlignment="1" applyProtection="1">
      <alignment horizontal="right" vertical="center"/>
      <protection/>
    </xf>
    <xf numFmtId="196" fontId="5" fillId="34" borderId="12" xfId="0" applyNumberFormat="1" applyFont="1" applyFill="1" applyBorder="1" applyAlignment="1" applyProtection="1">
      <alignment horizontal="right" vertical="center"/>
      <protection/>
    </xf>
    <xf numFmtId="182" fontId="5" fillId="39" borderId="38" xfId="0" applyNumberFormat="1" applyFont="1" applyFill="1" applyBorder="1" applyAlignment="1" applyProtection="1">
      <alignment horizontal="right" vertical="center"/>
      <protection/>
    </xf>
    <xf numFmtId="3" fontId="5" fillId="43" borderId="39"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right" vertical="center"/>
      <protection/>
    </xf>
    <xf numFmtId="3" fontId="5" fillId="34" borderId="12" xfId="91" applyNumberFormat="1" applyFont="1" applyFill="1" applyBorder="1" applyAlignment="1" applyProtection="1">
      <alignment vertical="center"/>
      <protection/>
    </xf>
    <xf numFmtId="0" fontId="5" fillId="34" borderId="13" xfId="91" applyFont="1" applyFill="1" applyBorder="1" applyAlignment="1" applyProtection="1">
      <alignment horizontal="center" vertical="center"/>
      <protection/>
    </xf>
    <xf numFmtId="0" fontId="5" fillId="34" borderId="14" xfId="91"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2" borderId="10" xfId="0" applyFont="1" applyFill="1" applyBorder="1" applyAlignment="1" applyProtection="1">
      <alignment vertical="center"/>
      <protection locked="0"/>
    </xf>
    <xf numFmtId="0" fontId="35" fillId="45" borderId="15" xfId="100" applyFont="1" applyFill="1" applyBorder="1" applyAlignment="1" applyProtection="1">
      <alignment vertical="center"/>
      <protection locked="0"/>
    </xf>
    <xf numFmtId="0" fontId="5" fillId="45" borderId="0" xfId="100" applyFont="1" applyFill="1" applyBorder="1" applyAlignment="1" applyProtection="1">
      <alignment vertical="center"/>
      <protection locked="0"/>
    </xf>
    <xf numFmtId="0" fontId="33" fillId="45" borderId="0" xfId="100" applyFont="1" applyFill="1" applyBorder="1" applyAlignment="1" applyProtection="1">
      <alignment vertical="center"/>
      <protection locked="0"/>
    </xf>
    <xf numFmtId="194" fontId="35" fillId="45" borderId="17" xfId="100" applyNumberFormat="1" applyFont="1" applyFill="1" applyBorder="1" applyAlignment="1" applyProtection="1">
      <alignment horizontal="center" vertical="center"/>
      <protection locked="0"/>
    </xf>
    <xf numFmtId="0" fontId="5" fillId="45"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6" xfId="67" applyNumberFormat="1" applyFont="1" applyFill="1" applyBorder="1" applyAlignment="1" applyProtection="1">
      <alignment horizontal="right" vertical="center"/>
      <protection/>
    </xf>
    <xf numFmtId="0" fontId="93" fillId="0" borderId="0" xfId="0" applyFont="1" applyAlignment="1" applyProtection="1">
      <alignmen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33" fillId="42" borderId="0"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3" fontId="5" fillId="33" borderId="19" xfId="0" applyNumberFormat="1" applyFont="1" applyFill="1" applyBorder="1" applyAlignment="1" applyProtection="1">
      <alignment horizontal="right" vertical="center"/>
      <protection locked="0"/>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35" fillId="45" borderId="17" xfId="0" applyNumberFormat="1" applyFont="1" applyFill="1" applyBorder="1" applyAlignment="1" applyProtection="1">
      <alignment horizontal="center"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197" fontId="5" fillId="33" borderId="12" xfId="0" applyNumberFormat="1" applyFont="1" applyFill="1" applyBorder="1" applyAlignment="1" applyProtection="1">
      <alignment vertical="center"/>
      <protection locked="0"/>
    </xf>
    <xf numFmtId="197" fontId="5" fillId="33" borderId="12" xfId="0" applyNumberFormat="1" applyFont="1" applyFill="1" applyBorder="1" applyAlignment="1" applyProtection="1">
      <alignment vertical="center"/>
      <protection locked="0"/>
    </xf>
    <xf numFmtId="37" fontId="33" fillId="34" borderId="21" xfId="0" applyNumberFormat="1" applyFont="1" applyFill="1" applyBorder="1" applyAlignment="1" applyProtection="1">
      <alignment horizontal="left" vertical="center"/>
      <protection/>
    </xf>
    <xf numFmtId="0" fontId="42" fillId="42" borderId="10"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94" fillId="0" borderId="0" xfId="0" applyFont="1" applyAlignment="1" applyProtection="1">
      <alignment vertical="center"/>
      <protection locked="0"/>
    </xf>
    <xf numFmtId="3" fontId="5" fillId="33" borderId="19" xfId="0" applyNumberFormat="1" applyFont="1" applyFill="1" applyBorder="1" applyAlignment="1" applyProtection="1">
      <alignment vertical="center"/>
      <protection locked="0"/>
    </xf>
    <xf numFmtId="182" fontId="35" fillId="42" borderId="17" xfId="86" applyNumberFormat="1" applyFont="1" applyFill="1" applyBorder="1" applyAlignment="1" applyProtection="1">
      <alignment horizontal="center" vertical="center"/>
      <protection/>
    </xf>
    <xf numFmtId="0" fontId="5" fillId="42" borderId="0" xfId="86" applyFont="1" applyFill="1" applyBorder="1" applyAlignment="1" applyProtection="1">
      <alignment vertical="center"/>
      <protection/>
    </xf>
    <xf numFmtId="194" fontId="33" fillId="44" borderId="12" xfId="86" applyNumberFormat="1" applyFont="1" applyFill="1" applyBorder="1" applyAlignment="1" applyProtection="1">
      <alignment horizontal="center" vertical="center"/>
      <protection locked="0"/>
    </xf>
    <xf numFmtId="0" fontId="33" fillId="42" borderId="0" xfId="86" applyFont="1" applyFill="1" applyBorder="1" applyAlignment="1" applyProtection="1">
      <alignment vertical="center"/>
      <protection/>
    </xf>
    <xf numFmtId="0" fontId="33" fillId="42" borderId="15" xfId="86" applyFont="1" applyFill="1" applyBorder="1" applyAlignment="1" applyProtection="1">
      <alignment horizontal="left" vertical="center"/>
      <protection/>
    </xf>
    <xf numFmtId="0" fontId="33" fillId="42" borderId="15" xfId="86" applyFont="1" applyFill="1" applyBorder="1" applyAlignment="1" applyProtection="1">
      <alignment vertical="center"/>
      <protection/>
    </xf>
    <xf numFmtId="194" fontId="33" fillId="42" borderId="26" xfId="86" applyNumberFormat="1" applyFont="1" applyFill="1" applyBorder="1" applyAlignment="1" applyProtection="1">
      <alignment horizontal="center" vertical="center"/>
      <protection/>
    </xf>
    <xf numFmtId="194" fontId="35" fillId="45" borderId="17" xfId="86" applyNumberFormat="1" applyFont="1" applyFill="1" applyBorder="1" applyAlignment="1" applyProtection="1">
      <alignment horizontal="center" vertical="center"/>
      <protection/>
    </xf>
    <xf numFmtId="0" fontId="5" fillId="45" borderId="0" xfId="86" applyFont="1" applyFill="1" applyBorder="1" applyAlignment="1" applyProtection="1">
      <alignment vertical="center"/>
      <protection/>
    </xf>
    <xf numFmtId="0" fontId="33" fillId="45" borderId="0" xfId="86" applyFont="1" applyFill="1" applyBorder="1" applyAlignment="1" applyProtection="1">
      <alignment vertical="center"/>
      <protection/>
    </xf>
    <xf numFmtId="0" fontId="35" fillId="45" borderId="15" xfId="86" applyFont="1" applyFill="1" applyBorder="1" applyAlignment="1" applyProtection="1">
      <alignment vertical="center"/>
      <protection/>
    </xf>
    <xf numFmtId="194" fontId="35" fillId="45" borderId="16" xfId="86" applyNumberFormat="1" applyFont="1" applyFill="1" applyBorder="1" applyAlignment="1" applyProtection="1">
      <alignment horizontal="center" vertical="center"/>
      <protection locked="0"/>
    </xf>
    <xf numFmtId="37" fontId="33" fillId="34" borderId="21" xfId="86" applyNumberFormat="1" applyFont="1" applyFill="1" applyBorder="1" applyAlignment="1" applyProtection="1">
      <alignment horizontal="left" vertical="center"/>
      <protection/>
    </xf>
    <xf numFmtId="182" fontId="35" fillId="42" borderId="17" xfId="86" applyNumberFormat="1" applyFont="1" applyFill="1" applyBorder="1" applyAlignment="1" applyProtection="1">
      <alignment horizontal="center" vertical="center"/>
      <protection/>
    </xf>
    <xf numFmtId="0" fontId="42" fillId="42" borderId="10" xfId="86" applyFont="1" applyFill="1" applyBorder="1" applyAlignment="1">
      <alignment horizontal="left" vertical="center"/>
      <protection/>
    </xf>
    <xf numFmtId="0" fontId="5" fillId="42" borderId="0" xfId="86" applyFont="1" applyFill="1" applyBorder="1" applyAlignment="1" applyProtection="1">
      <alignment vertical="center"/>
      <protection/>
    </xf>
    <xf numFmtId="0" fontId="5" fillId="42" borderId="15" xfId="86" applyFont="1" applyFill="1" applyBorder="1" applyAlignment="1" applyProtection="1">
      <alignment vertical="center"/>
      <protection/>
    </xf>
    <xf numFmtId="0" fontId="5" fillId="42" borderId="26" xfId="86" applyFont="1" applyFill="1" applyBorder="1" applyAlignment="1" applyProtection="1">
      <alignment vertical="center"/>
      <protection/>
    </xf>
    <xf numFmtId="194" fontId="33" fillId="42" borderId="15" xfId="86" applyNumberFormat="1" applyFont="1" applyFill="1" applyBorder="1" applyAlignment="1" applyProtection="1">
      <alignment horizontal="center" vertical="center"/>
      <protection/>
    </xf>
    <xf numFmtId="0" fontId="33" fillId="42" borderId="0" xfId="86" applyFont="1" applyFill="1" applyBorder="1" applyAlignment="1" applyProtection="1">
      <alignment horizontal="left" vertical="center"/>
      <protection/>
    </xf>
    <xf numFmtId="0" fontId="33" fillId="42" borderId="26" xfId="86" applyFont="1" applyFill="1" applyBorder="1" applyAlignment="1" applyProtection="1">
      <alignment vertical="center"/>
      <protection/>
    </xf>
    <xf numFmtId="0" fontId="33" fillId="42" borderId="0" xfId="86" applyFont="1" applyFill="1" applyBorder="1" applyAlignment="1" applyProtection="1">
      <alignment vertical="center"/>
      <protection/>
    </xf>
    <xf numFmtId="194" fontId="33" fillId="42" borderId="21" xfId="86" applyNumberFormat="1" applyFont="1" applyFill="1" applyBorder="1" applyAlignment="1" applyProtection="1">
      <alignment horizontal="center" vertical="center"/>
      <protection/>
    </xf>
    <xf numFmtId="0" fontId="5" fillId="45" borderId="16" xfId="86" applyFont="1" applyFill="1" applyBorder="1" applyAlignment="1" applyProtection="1">
      <alignment vertical="center"/>
      <protection/>
    </xf>
    <xf numFmtId="194" fontId="15" fillId="42" borderId="15" xfId="86" applyNumberFormat="1" applyFont="1" applyFill="1" applyBorder="1" applyAlignment="1" applyProtection="1">
      <alignment horizontal="center" vertical="center"/>
      <protection/>
    </xf>
    <xf numFmtId="0" fontId="15" fillId="42" borderId="0" xfId="86" applyFont="1" applyFill="1" applyBorder="1" applyAlignment="1" applyProtection="1">
      <alignment vertical="center"/>
      <protection/>
    </xf>
    <xf numFmtId="194" fontId="15" fillId="42" borderId="21" xfId="86" applyNumberFormat="1" applyFont="1" applyFill="1" applyBorder="1" applyAlignment="1" applyProtection="1">
      <alignment horizontal="center" vertical="center"/>
      <protection/>
    </xf>
    <xf numFmtId="194" fontId="15" fillId="42" borderId="15" xfId="86" applyNumberFormat="1" applyFont="1" applyFill="1" applyBorder="1" applyAlignment="1" applyProtection="1">
      <alignment vertical="center"/>
      <protection/>
    </xf>
    <xf numFmtId="194" fontId="15" fillId="45" borderId="21" xfId="86" applyNumberFormat="1" applyFont="1" applyFill="1" applyBorder="1" applyAlignment="1" applyProtection="1">
      <alignment horizontal="center" vertical="center"/>
      <protection/>
    </xf>
    <xf numFmtId="0" fontId="15" fillId="45" borderId="10" xfId="86" applyFont="1" applyFill="1" applyBorder="1" applyAlignment="1" applyProtection="1">
      <alignment vertical="center"/>
      <protection/>
    </xf>
    <xf numFmtId="0" fontId="5" fillId="42" borderId="0" xfId="91" applyFont="1" applyFill="1">
      <alignment/>
      <protection/>
    </xf>
    <xf numFmtId="0" fontId="0" fillId="0" borderId="0" xfId="91">
      <alignment/>
      <protection/>
    </xf>
    <xf numFmtId="0" fontId="5" fillId="42" borderId="0" xfId="91" applyFont="1" applyFill="1" applyAlignment="1">
      <alignment vertical="center"/>
      <protection/>
    </xf>
    <xf numFmtId="37" fontId="5" fillId="42" borderId="0" xfId="91" applyNumberFormat="1" applyFont="1" applyFill="1" applyAlignment="1">
      <alignment vertical="center"/>
      <protection/>
    </xf>
    <xf numFmtId="0" fontId="5" fillId="42" borderId="10" xfId="91" applyFont="1" applyFill="1" applyBorder="1" applyAlignment="1">
      <alignment vertical="center"/>
      <protection/>
    </xf>
    <xf numFmtId="0" fontId="5" fillId="42" borderId="0" xfId="91" applyFont="1" applyFill="1" applyAlignment="1">
      <alignment horizontal="center" vertical="center"/>
      <protection/>
    </xf>
    <xf numFmtId="0" fontId="6" fillId="42" borderId="0" xfId="91" applyFont="1" applyFill="1" applyAlignment="1">
      <alignment horizontal="center" vertical="center"/>
      <protection/>
    </xf>
    <xf numFmtId="194" fontId="5" fillId="42" borderId="0" xfId="91" applyNumberFormat="1" applyFont="1" applyFill="1" applyAlignment="1">
      <alignment vertical="center"/>
      <protection/>
    </xf>
    <xf numFmtId="194" fontId="5" fillId="42" borderId="18" xfId="91" applyNumberFormat="1" applyFont="1" applyFill="1" applyBorder="1" applyAlignment="1">
      <alignment vertical="center"/>
      <protection/>
    </xf>
    <xf numFmtId="6" fontId="5" fillId="42" borderId="0" xfId="91" applyNumberFormat="1" applyFont="1" applyFill="1" applyBorder="1" applyAlignment="1">
      <alignment vertical="center"/>
      <protection/>
    </xf>
    <xf numFmtId="194" fontId="5" fillId="42" borderId="0" xfId="91" applyNumberFormat="1" applyFont="1" applyFill="1" applyBorder="1" applyAlignment="1">
      <alignment vertical="center"/>
      <protection/>
    </xf>
    <xf numFmtId="0" fontId="93" fillId="45" borderId="0" xfId="91" applyFont="1" applyFill="1" applyAlignment="1">
      <alignment vertical="center"/>
      <protection/>
    </xf>
    <xf numFmtId="0" fontId="93" fillId="42" borderId="0" xfId="91" applyFont="1" applyFill="1" applyAlignment="1">
      <alignment horizontal="center" vertical="center"/>
      <protection/>
    </xf>
    <xf numFmtId="0" fontId="93" fillId="45" borderId="0" xfId="91" applyFont="1" applyFill="1" applyAlignment="1">
      <alignment horizontal="center" vertical="center"/>
      <protection/>
    </xf>
    <xf numFmtId="0" fontId="5" fillId="42" borderId="0" xfId="86" applyFont="1" applyFill="1">
      <alignment/>
      <protection/>
    </xf>
    <xf numFmtId="0" fontId="0" fillId="42" borderId="0" xfId="91" applyFill="1">
      <alignment/>
      <protection/>
    </xf>
    <xf numFmtId="0" fontId="4" fillId="42" borderId="0" xfId="86" applyFont="1" applyFill="1">
      <alignment/>
      <protection/>
    </xf>
    <xf numFmtId="0" fontId="0" fillId="42" borderId="0" xfId="86" applyFill="1">
      <alignment/>
      <protection/>
    </xf>
    <xf numFmtId="0" fontId="5" fillId="42" borderId="0" xfId="91" applyFont="1" applyFill="1" applyAlignment="1">
      <alignment horizontal="left" vertical="center"/>
      <protection/>
    </xf>
    <xf numFmtId="0" fontId="5" fillId="42" borderId="0" xfId="91" applyFont="1" applyFill="1" applyAlignment="1">
      <alignment horizontal="right" vertical="center"/>
      <protection/>
    </xf>
    <xf numFmtId="182" fontId="5" fillId="42" borderId="0" xfId="91" applyNumberFormat="1" applyFont="1" applyFill="1" applyAlignment="1">
      <alignment horizontal="center" vertical="center"/>
      <protection/>
    </xf>
    <xf numFmtId="198" fontId="93" fillId="42" borderId="0" xfId="91" applyNumberFormat="1" applyFont="1" applyFill="1" applyAlignment="1">
      <alignment horizontal="center" vertical="center"/>
      <protection/>
    </xf>
    <xf numFmtId="0" fontId="95" fillId="45" borderId="0" xfId="91" applyFont="1" applyFill="1" applyAlignment="1">
      <alignment horizontal="center" vertical="center"/>
      <protection/>
    </xf>
    <xf numFmtId="0" fontId="11" fillId="0" borderId="0" xfId="67" applyAlignment="1" applyProtection="1">
      <alignment/>
      <protection/>
    </xf>
    <xf numFmtId="194" fontId="39" fillId="42" borderId="0" xfId="0" applyNumberFormat="1" applyFont="1" applyFill="1" applyBorder="1" applyAlignment="1">
      <alignment horizontal="center"/>
    </xf>
    <xf numFmtId="195" fontId="39" fillId="42" borderId="0" xfId="0" applyNumberFormat="1" applyFont="1" applyFill="1" applyBorder="1" applyAlignment="1">
      <alignment horizontal="center"/>
    </xf>
    <xf numFmtId="0" fontId="39" fillId="42" borderId="0" xfId="0" applyFont="1" applyFill="1" applyBorder="1" applyAlignment="1">
      <alignment horizontal="center"/>
    </xf>
    <xf numFmtId="194" fontId="39" fillId="44" borderId="10" xfId="0" applyNumberFormat="1" applyFont="1" applyFill="1" applyBorder="1" applyAlignment="1" applyProtection="1">
      <alignment horizontal="center"/>
      <protection locked="0"/>
    </xf>
    <xf numFmtId="0" fontId="39" fillId="42" borderId="18" xfId="0" applyFont="1" applyFill="1" applyBorder="1" applyAlignment="1">
      <alignment horizontal="center"/>
    </xf>
    <xf numFmtId="0" fontId="89" fillId="42" borderId="0" xfId="0" applyFont="1" applyFill="1" applyAlignment="1">
      <alignment horizontal="center" wrapText="1"/>
    </xf>
    <xf numFmtId="0" fontId="39" fillId="42" borderId="0" xfId="0" applyFont="1" applyFill="1" applyBorder="1" applyAlignment="1">
      <alignment/>
    </xf>
    <xf numFmtId="0" fontId="39" fillId="42" borderId="34" xfId="0" applyFont="1" applyFill="1" applyBorder="1" applyAlignment="1">
      <alignment/>
    </xf>
    <xf numFmtId="0" fontId="89" fillId="42" borderId="0" xfId="0" applyFont="1" applyFill="1" applyAlignment="1">
      <alignment horizontal="center"/>
    </xf>
    <xf numFmtId="194" fontId="39" fillId="42" borderId="0" xfId="0" applyNumberFormat="1" applyFont="1" applyFill="1" applyAlignment="1">
      <alignment horizontal="center"/>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42" borderId="0" xfId="0" applyNumberFormat="1" applyFont="1" applyFill="1" applyBorder="1" applyAlignment="1" applyProtection="1">
      <alignment horizontal="right" vertical="center"/>
      <protection locked="0"/>
    </xf>
    <xf numFmtId="182"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182" fontId="33" fillId="45" borderId="21"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93" fillId="0" borderId="0" xfId="453" applyFont="1" applyAlignment="1">
      <alignment horizontal="left" vertical="center"/>
      <protection/>
    </xf>
    <xf numFmtId="0" fontId="5" fillId="0" borderId="0" xfId="84" applyFont="1">
      <alignment/>
      <protection/>
    </xf>
    <xf numFmtId="0" fontId="96" fillId="0" borderId="0" xfId="84" applyFont="1">
      <alignment/>
      <protection/>
    </xf>
    <xf numFmtId="0" fontId="0" fillId="0" borderId="0" xfId="84">
      <alignment/>
      <protection/>
    </xf>
    <xf numFmtId="0" fontId="5" fillId="0" borderId="0" xfId="0" applyFont="1" applyAlignment="1" applyProtection="1">
      <alignment/>
      <protection locked="0"/>
    </xf>
    <xf numFmtId="0" fontId="5" fillId="33" borderId="12" xfId="0" applyFont="1" applyFill="1" applyBorder="1" applyAlignment="1" applyProtection="1">
      <alignment vertical="center"/>
      <protection locked="0"/>
    </xf>
    <xf numFmtId="164" fontId="5" fillId="33" borderId="12" xfId="0" applyNumberFormat="1" applyFont="1" applyFill="1" applyBorder="1" applyAlignment="1" applyProtection="1">
      <alignment vertical="center"/>
      <protection locked="0"/>
    </xf>
    <xf numFmtId="0" fontId="5" fillId="34" borderId="26" xfId="0" applyFont="1" applyFill="1" applyBorder="1" applyAlignment="1" applyProtection="1">
      <alignment vertical="center"/>
      <protection/>
    </xf>
    <xf numFmtId="0" fontId="30" fillId="0" borderId="0" xfId="453">
      <alignment/>
      <protection/>
    </xf>
    <xf numFmtId="187" fontId="15" fillId="0" borderId="0" xfId="453" applyNumberFormat="1" applyFont="1" applyAlignment="1">
      <alignment horizontal="left" vertical="center"/>
      <protection/>
    </xf>
    <xf numFmtId="49" fontId="5" fillId="0" borderId="0" xfId="453" applyNumberFormat="1" applyFont="1" applyAlignment="1">
      <alignment horizontal="left" vertical="center"/>
      <protection/>
    </xf>
    <xf numFmtId="0" fontId="15" fillId="0" borderId="0" xfId="453" applyFont="1" applyAlignment="1">
      <alignment horizontal="left" vertical="center"/>
      <protection/>
    </xf>
    <xf numFmtId="188" fontId="15" fillId="0" borderId="0" xfId="453" applyNumberFormat="1" applyFont="1" applyAlignment="1">
      <alignment horizontal="left" vertical="center"/>
      <protection/>
    </xf>
    <xf numFmtId="0" fontId="30" fillId="33" borderId="0" xfId="453" applyFill="1" applyAlignment="1" applyProtection="1">
      <alignment horizontal="lef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5" fillId="42" borderId="15" xfId="0" applyFont="1" applyFill="1" applyBorder="1" applyAlignment="1" applyProtection="1">
      <alignment vertical="center"/>
      <protection/>
    </xf>
    <xf numFmtId="0" fontId="5" fillId="42" borderId="26" xfId="0" applyFont="1" applyFill="1" applyBorder="1" applyAlignment="1" applyProtection="1">
      <alignment vertical="center"/>
      <protection/>
    </xf>
    <xf numFmtId="194"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3" fillId="42" borderId="26" xfId="0" applyFont="1" applyFill="1" applyBorder="1" applyAlignment="1" applyProtection="1">
      <alignment vertical="center"/>
      <protection/>
    </xf>
    <xf numFmtId="0" fontId="33" fillId="42" borderId="0" xfId="0" applyFont="1" applyFill="1" applyBorder="1" applyAlignment="1" applyProtection="1">
      <alignment vertical="center"/>
      <protection/>
    </xf>
    <xf numFmtId="194" fontId="33" fillId="42" borderId="21" xfId="0" applyNumberFormat="1" applyFont="1" applyFill="1" applyBorder="1" applyAlignment="1" applyProtection="1">
      <alignment horizontal="center" vertical="center"/>
      <protection/>
    </xf>
    <xf numFmtId="194" fontId="33" fillId="42" borderId="15" xfId="0" applyNumberFormat="1" applyFont="1" applyFill="1" applyBorder="1" applyAlignment="1" applyProtection="1">
      <alignment vertical="center"/>
      <protection/>
    </xf>
    <xf numFmtId="0" fontId="33" fillId="45" borderId="16" xfId="0" applyFont="1" applyFill="1" applyBorder="1" applyAlignment="1" applyProtection="1">
      <alignment vertical="center"/>
      <protection/>
    </xf>
    <xf numFmtId="0" fontId="5" fillId="45" borderId="16"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horizontal="center" vertical="center"/>
      <protection/>
    </xf>
    <xf numFmtId="0" fontId="15" fillId="42" borderId="0" xfId="0" applyFont="1" applyFill="1" applyBorder="1" applyAlignment="1" applyProtection="1">
      <alignment vertical="center"/>
      <protection/>
    </xf>
    <xf numFmtId="194" fontId="15" fillId="42" borderId="21"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vertical="center"/>
      <protection/>
    </xf>
    <xf numFmtId="194" fontId="15" fillId="45" borderId="21" xfId="0" applyNumberFormat="1" applyFont="1" applyFill="1" applyBorder="1" applyAlignment="1" applyProtection="1">
      <alignment horizontal="center" vertical="center"/>
      <protection/>
    </xf>
    <xf numFmtId="0" fontId="15" fillId="45" borderId="10" xfId="0" applyFont="1" applyFill="1" applyBorder="1" applyAlignment="1" applyProtection="1">
      <alignment vertical="center"/>
      <protection/>
    </xf>
    <xf numFmtId="0" fontId="5" fillId="0" borderId="0" xfId="453" applyFont="1" applyAlignment="1">
      <alignment horizontal="left" vertical="center"/>
      <protection/>
    </xf>
    <xf numFmtId="49" fontId="5" fillId="33" borderId="0" xfId="453" applyNumberFormat="1" applyFont="1" applyFill="1" applyAlignment="1" applyProtection="1">
      <alignment horizontal="left" vertical="center"/>
      <protection locked="0"/>
    </xf>
    <xf numFmtId="0" fontId="5" fillId="33" borderId="0" xfId="453" applyFont="1" applyFill="1" applyAlignment="1" applyProtection="1">
      <alignment horizontal="left" vertical="center"/>
      <protection locked="0"/>
    </xf>
    <xf numFmtId="0" fontId="97" fillId="0" borderId="0" xfId="453" applyFont="1">
      <alignment/>
      <protection/>
    </xf>
    <xf numFmtId="187" fontId="98" fillId="0" borderId="0" xfId="453" applyNumberFormat="1" applyFont="1" applyAlignment="1">
      <alignment horizontal="left" vertical="center"/>
      <protection/>
    </xf>
    <xf numFmtId="0" fontId="98" fillId="0" borderId="0" xfId="453" applyNumberFormat="1" applyFont="1" applyAlignment="1">
      <alignment horizontal="left" vertical="center"/>
      <protection/>
    </xf>
    <xf numFmtId="1" fontId="98" fillId="0" borderId="0" xfId="453" applyNumberFormat="1" applyFont="1" applyAlignment="1">
      <alignment horizontal="left" vertical="center"/>
      <protection/>
    </xf>
    <xf numFmtId="0" fontId="99" fillId="0" borderId="0" xfId="453" applyFont="1" applyAlignment="1">
      <alignment horizontal="left" vertical="center"/>
      <protection/>
    </xf>
    <xf numFmtId="49" fontId="5" fillId="0" borderId="0" xfId="453" applyNumberFormat="1" applyFont="1" applyFill="1" applyAlignment="1" applyProtection="1">
      <alignment horizontal="left" vertical="center"/>
      <protection locked="0"/>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194" fontId="35" fillId="45" borderId="17" xfId="0" applyNumberFormat="1" applyFont="1" applyFill="1" applyBorder="1" applyAlignment="1" applyProtection="1">
      <alignment horizontal="center"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37" fontId="5" fillId="34" borderId="26" xfId="0" applyNumberFormat="1" applyFont="1" applyFill="1" applyBorder="1" applyAlignment="1" applyProtection="1">
      <alignment horizontal="right" vertical="center"/>
      <protection/>
    </xf>
    <xf numFmtId="182" fontId="35" fillId="42" borderId="17" xfId="0" applyNumberFormat="1" applyFont="1" applyFill="1" applyBorder="1" applyAlignment="1" applyProtection="1">
      <alignment horizontal="center" vertical="center"/>
      <protection/>
    </xf>
    <xf numFmtId="194" fontId="33" fillId="45" borderId="21" xfId="0" applyNumberFormat="1" applyFont="1" applyFill="1" applyBorder="1" applyAlignment="1" applyProtection="1">
      <alignment horizontal="center" vertical="center"/>
      <protection/>
    </xf>
    <xf numFmtId="0" fontId="33" fillId="45" borderId="10" xfId="0" applyFont="1" applyFill="1" applyBorder="1" applyAlignment="1" applyProtection="1">
      <alignment vertical="center"/>
      <protection/>
    </xf>
    <xf numFmtId="0" fontId="42" fillId="42" borderId="10" xfId="0" applyFont="1" applyFill="1" applyBorder="1" applyAlignment="1">
      <alignment horizontal="left" vertical="center"/>
    </xf>
    <xf numFmtId="0" fontId="94" fillId="0" borderId="0" xfId="0" applyFont="1" applyAlignment="1" applyProtection="1">
      <alignment/>
      <protection locked="0"/>
    </xf>
    <xf numFmtId="182" fontId="33" fillId="42" borderId="15"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21"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5" fillId="42" borderId="26" xfId="0" applyFont="1" applyFill="1" applyBorder="1" applyAlignment="1" applyProtection="1">
      <alignment/>
      <protection locked="0"/>
    </xf>
    <xf numFmtId="0" fontId="5" fillId="45" borderId="16" xfId="0" applyFont="1" applyFill="1" applyBorder="1" applyAlignment="1" applyProtection="1">
      <alignment/>
      <protection locked="0"/>
    </xf>
    <xf numFmtId="0" fontId="5" fillId="42" borderId="26" xfId="0" applyFont="1" applyFill="1" applyBorder="1" applyAlignment="1" applyProtection="1">
      <alignment vertical="center"/>
      <protection locked="0"/>
    </xf>
    <xf numFmtId="0" fontId="33" fillId="34" borderId="26" xfId="67" applyNumberFormat="1" applyFont="1" applyFill="1" applyBorder="1" applyAlignment="1" applyProtection="1">
      <alignment horizontal="center" vertical="center"/>
      <protection/>
    </xf>
    <xf numFmtId="0" fontId="5" fillId="0" borderId="0" xfId="138" applyFont="1" applyAlignment="1">
      <alignment vertical="center"/>
      <protection/>
    </xf>
    <xf numFmtId="0" fontId="5" fillId="0" borderId="0" xfId="472" applyFont="1" applyAlignment="1">
      <alignment vertical="center" wrapText="1"/>
      <protection/>
    </xf>
    <xf numFmtId="0" fontId="5" fillId="0" borderId="0" xfId="85" applyFont="1" applyAlignment="1">
      <alignment vertical="center" wrapText="1"/>
      <protection/>
    </xf>
    <xf numFmtId="0" fontId="5" fillId="0" borderId="0" xfId="86" applyFont="1" applyAlignment="1">
      <alignment vertical="center" wrapText="1"/>
      <protection/>
    </xf>
    <xf numFmtId="0" fontId="5" fillId="0" borderId="0" xfId="105" applyFont="1" applyAlignment="1">
      <alignment vertical="center" wrapText="1"/>
      <protection/>
    </xf>
    <xf numFmtId="0" fontId="5" fillId="0" borderId="0" xfId="95" applyFont="1" applyAlignment="1">
      <alignment vertical="center" wrapText="1"/>
      <protection/>
    </xf>
    <xf numFmtId="0" fontId="5" fillId="0" borderId="0" xfId="127" applyFont="1" applyAlignment="1">
      <alignment vertical="center" wrapText="1"/>
      <protection/>
    </xf>
    <xf numFmtId="0" fontId="5" fillId="0" borderId="0" xfId="134" applyFont="1" applyAlignment="1">
      <alignment vertical="center" wrapText="1"/>
      <protection/>
    </xf>
    <xf numFmtId="0" fontId="5" fillId="0" borderId="0" xfId="158" applyFont="1" applyAlignment="1">
      <alignment vertical="center" wrapText="1"/>
      <protection/>
    </xf>
    <xf numFmtId="197" fontId="5" fillId="33" borderId="12" xfId="91" applyNumberFormat="1" applyFont="1" applyFill="1" applyBorder="1" applyAlignment="1" applyProtection="1">
      <alignment vertical="center"/>
      <protection locked="0"/>
    </xf>
    <xf numFmtId="0" fontId="44" fillId="0" borderId="0" xfId="0" applyFont="1" applyAlignment="1" applyProtection="1">
      <alignment vertical="center"/>
      <protection/>
    </xf>
    <xf numFmtId="0" fontId="0" fillId="32" borderId="0" xfId="91" applyFill="1">
      <alignment/>
      <protection/>
    </xf>
    <xf numFmtId="0" fontId="0" fillId="32" borderId="0" xfId="86" applyFill="1">
      <alignment/>
      <protection/>
    </xf>
    <xf numFmtId="0" fontId="11" fillId="32" borderId="0" xfId="67" applyFill="1" applyAlignment="1" applyProtection="1">
      <alignment/>
      <protection/>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100" fillId="42" borderId="17" xfId="0" applyFont="1" applyFill="1" applyBorder="1" applyAlignment="1">
      <alignment horizontal="center" vertical="center"/>
    </xf>
    <xf numFmtId="0" fontId="35" fillId="42" borderId="19" xfId="0" applyFont="1" applyFill="1" applyBorder="1" applyAlignment="1">
      <alignment horizontal="centerContinuous" vertical="center"/>
    </xf>
    <xf numFmtId="0" fontId="4" fillId="42" borderId="11" xfId="0" applyFont="1" applyFill="1" applyBorder="1" applyAlignment="1">
      <alignment horizontal="centerContinuous" vertical="center"/>
    </xf>
    <xf numFmtId="0" fontId="5" fillId="0" borderId="0" xfId="0" applyFont="1" applyAlignment="1">
      <alignment wrapText="1"/>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453" applyFont="1" applyAlignment="1">
      <alignment horizontal="left" vertical="center" wrapText="1"/>
      <protection/>
    </xf>
    <xf numFmtId="0" fontId="30" fillId="0" borderId="0" xfId="453" applyAlignment="1">
      <alignment horizontal="left" vertical="center" wrapText="1"/>
      <protection/>
    </xf>
    <xf numFmtId="0" fontId="14" fillId="0" borderId="0" xfId="453" applyFont="1" applyAlignment="1">
      <alignment horizontal="left" vertical="center"/>
      <protection/>
    </xf>
    <xf numFmtId="37" fontId="5" fillId="42" borderId="0" xfId="126" applyNumberFormat="1" applyFont="1" applyFill="1" applyAlignment="1" applyProtection="1">
      <alignment horizontal="center"/>
      <protection/>
    </xf>
    <xf numFmtId="0" fontId="14" fillId="42" borderId="24" xfId="101"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101" applyBorder="1" applyAlignment="1" applyProtection="1">
      <alignment horizontal="center"/>
      <protection/>
    </xf>
    <xf numFmtId="0" fontId="0" fillId="0" borderId="23" xfId="101" applyBorder="1" applyAlignment="1" applyProtection="1">
      <alignment horizontal="center"/>
      <protection/>
    </xf>
    <xf numFmtId="0" fontId="14" fillId="42" borderId="18" xfId="101" applyFont="1" applyFill="1" applyBorder="1" applyAlignment="1" applyProtection="1">
      <alignment horizontal="center"/>
      <protection/>
    </xf>
    <xf numFmtId="0" fontId="14" fillId="42" borderId="23" xfId="101" applyFont="1" applyFill="1" applyBorder="1" applyAlignment="1" applyProtection="1">
      <alignment horizontal="center"/>
      <protection/>
    </xf>
    <xf numFmtId="49" fontId="4" fillId="34" borderId="10"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 vertical="center"/>
      <protection/>
    </xf>
    <xf numFmtId="37" fontId="14"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42"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42" borderId="0" xfId="91" applyFont="1" applyFill="1" applyAlignment="1">
      <alignment horizontal="center" vertical="center"/>
      <protection/>
    </xf>
    <xf numFmtId="0" fontId="14" fillId="42" borderId="0" xfId="91" applyFont="1" applyFill="1" applyAlignment="1">
      <alignment horizontal="center" vertical="center"/>
      <protection/>
    </xf>
    <xf numFmtId="0" fontId="5" fillId="42" borderId="0" xfId="91" applyFont="1" applyFill="1" applyAlignment="1">
      <alignment vertical="center" wrapText="1"/>
      <protection/>
    </xf>
    <xf numFmtId="0" fontId="14" fillId="42" borderId="0" xfId="470" applyFont="1" applyFill="1" applyAlignment="1">
      <alignment horizontal="center"/>
      <protection/>
    </xf>
    <xf numFmtId="0" fontId="0" fillId="42" borderId="0" xfId="91" applyFill="1" applyAlignment="1">
      <alignment horizontal="center"/>
      <protection/>
    </xf>
    <xf numFmtId="0" fontId="34" fillId="42" borderId="24" xfId="100" applyFont="1" applyFill="1" applyBorder="1" applyAlignment="1" applyProtection="1">
      <alignment horizontal="center" vertical="center"/>
      <protection/>
    </xf>
    <xf numFmtId="0" fontId="34" fillId="42" borderId="18" xfId="100" applyFont="1" applyFill="1" applyBorder="1" applyAlignment="1" applyProtection="1">
      <alignment horizontal="center" vertical="center"/>
      <protection/>
    </xf>
    <xf numFmtId="0" fontId="0" fillId="0" borderId="23" xfId="100" applyBorder="1" applyAlignment="1" applyProtection="1">
      <alignment vertical="center"/>
      <protection/>
    </xf>
    <xf numFmtId="3" fontId="5" fillId="34" borderId="18"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5" fillId="34" borderId="0" xfId="104" applyFont="1" applyFill="1" applyAlignment="1" applyProtection="1">
      <alignment horizontal="right" vertical="center"/>
      <protection/>
    </xf>
    <xf numFmtId="0" fontId="5" fillId="0" borderId="26" xfId="104"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18" xfId="0" applyBorder="1" applyAlignment="1">
      <alignment vertical="center"/>
    </xf>
    <xf numFmtId="0" fontId="0" fillId="0" borderId="23" xfId="0" applyBorder="1" applyAlignment="1">
      <alignment vertical="center"/>
    </xf>
    <xf numFmtId="182" fontId="34" fillId="42" borderId="24" xfId="0" applyNumberFormat="1" applyFont="1" applyFill="1" applyBorder="1" applyAlignment="1" applyProtection="1">
      <alignment horizontal="center"/>
      <protection/>
    </xf>
    <xf numFmtId="0" fontId="17" fillId="0" borderId="18" xfId="0" applyFont="1" applyBorder="1" applyAlignment="1">
      <alignment/>
    </xf>
    <xf numFmtId="0" fontId="17" fillId="0" borderId="23" xfId="0" applyFont="1" applyBorder="1" applyAlignment="1">
      <alignment/>
    </xf>
    <xf numFmtId="0" fontId="5" fillId="34" borderId="0" xfId="67" applyNumberFormat="1" applyFont="1" applyFill="1" applyBorder="1" applyAlignment="1" applyProtection="1">
      <alignment horizontal="right" vertical="center"/>
      <protection/>
    </xf>
    <xf numFmtId="0" fontId="5" fillId="0" borderId="0" xfId="67" applyFont="1" applyAlignment="1" applyProtection="1">
      <alignment horizontal="right" vertical="center"/>
      <protection/>
    </xf>
    <xf numFmtId="0" fontId="37" fillId="42" borderId="24" xfId="100" applyFont="1" applyFill="1" applyBorder="1" applyAlignment="1" applyProtection="1">
      <alignment horizontal="center" vertical="center"/>
      <protection/>
    </xf>
    <xf numFmtId="0" fontId="0" fillId="0" borderId="18" xfId="0" applyBorder="1" applyAlignment="1">
      <alignment horizontal="center" vertical="center"/>
    </xf>
    <xf numFmtId="0" fontId="34" fillId="42" borderId="24" xfId="86" applyFont="1" applyFill="1" applyBorder="1" applyAlignment="1" applyProtection="1">
      <alignment horizontal="center" vertical="center"/>
      <protection/>
    </xf>
    <xf numFmtId="0" fontId="42" fillId="0" borderId="18" xfId="86" applyFont="1" applyBorder="1" applyAlignment="1">
      <alignment horizontal="center" vertical="center"/>
      <protection/>
    </xf>
    <xf numFmtId="0" fontId="34" fillId="42" borderId="24" xfId="0" applyFont="1" applyFill="1" applyBorder="1" applyAlignment="1" applyProtection="1">
      <alignment horizontal="center" vertical="center"/>
      <protection/>
    </xf>
    <xf numFmtId="0" fontId="0" fillId="0" borderId="18" xfId="86" applyBorder="1" applyAlignment="1">
      <alignment vertical="center"/>
      <protection/>
    </xf>
    <xf numFmtId="0" fontId="0" fillId="0" borderId="23" xfId="86" applyBorder="1" applyAlignment="1">
      <alignment vertical="center"/>
      <protection/>
    </xf>
    <xf numFmtId="0" fontId="0" fillId="0" borderId="23" xfId="0" applyBorder="1" applyAlignment="1">
      <alignment/>
    </xf>
    <xf numFmtId="0" fontId="42"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39" fillId="42" borderId="0" xfId="0" applyFont="1" applyFill="1" applyBorder="1" applyAlignment="1">
      <alignment wrapText="1"/>
    </xf>
    <xf numFmtId="0" fontId="39" fillId="0" borderId="0" xfId="0" applyFont="1" applyAlignment="1">
      <alignment wrapText="1"/>
    </xf>
    <xf numFmtId="194" fontId="39" fillId="44" borderId="10" xfId="0" applyNumberFormat="1" applyFont="1" applyFill="1" applyBorder="1" applyAlignment="1" applyProtection="1">
      <alignment horizontal="center"/>
      <protection locked="0"/>
    </xf>
    <xf numFmtId="0" fontId="89" fillId="42" borderId="0" xfId="0" applyFont="1" applyFill="1" applyBorder="1" applyAlignment="1">
      <alignment horizontal="center" wrapText="1"/>
    </xf>
    <xf numFmtId="0" fontId="39" fillId="0" borderId="0" xfId="0" applyFont="1" applyAlignment="1">
      <alignment horizontal="center" wrapText="1"/>
    </xf>
    <xf numFmtId="0" fontId="89" fillId="0" borderId="0" xfId="0" applyFont="1" applyAlignment="1">
      <alignment horizontal="center" wrapText="1"/>
    </xf>
    <xf numFmtId="0" fontId="89" fillId="42" borderId="0" xfId="0" applyFont="1" applyFill="1" applyAlignment="1">
      <alignment horizontal="center" wrapText="1"/>
    </xf>
    <xf numFmtId="0" fontId="89" fillId="42" borderId="0" xfId="0" applyFont="1" applyFill="1" applyAlignment="1">
      <alignment horizontal="center" vertical="center"/>
    </xf>
    <xf numFmtId="0" fontId="89" fillId="0" borderId="0" xfId="0" applyFont="1" applyAlignment="1">
      <alignment horizontal="center" vertical="center"/>
    </xf>
    <xf numFmtId="0" fontId="89" fillId="42" borderId="0" xfId="0" applyFont="1" applyFill="1" applyAlignment="1">
      <alignment horizontal="center"/>
    </xf>
    <xf numFmtId="0" fontId="39" fillId="42" borderId="0" xfId="0" applyFont="1" applyFill="1" applyAlignment="1">
      <alignment wrapText="1"/>
    </xf>
    <xf numFmtId="194" fontId="39" fillId="42" borderId="0" xfId="0" applyNumberFormat="1" applyFont="1" applyFill="1" applyAlignment="1">
      <alignment/>
    </xf>
    <xf numFmtId="0" fontId="89" fillId="42" borderId="28" xfId="0" applyFont="1" applyFill="1" applyBorder="1" applyAlignment="1">
      <alignment horizontal="center" vertical="center"/>
    </xf>
    <xf numFmtId="194" fontId="39" fillId="42" borderId="0" xfId="0" applyNumberFormat="1" applyFont="1" applyFill="1" applyAlignment="1">
      <alignment horizontal="center"/>
    </xf>
    <xf numFmtId="194" fontId="39" fillId="44" borderId="30" xfId="0" applyNumberFormat="1" applyFont="1" applyFill="1" applyBorder="1" applyAlignment="1" applyProtection="1">
      <alignment horizontal="center"/>
      <protection locked="0"/>
    </xf>
    <xf numFmtId="0" fontId="39" fillId="42" borderId="0" xfId="0" applyFont="1" applyFill="1" applyBorder="1" applyAlignment="1">
      <alignment/>
    </xf>
    <xf numFmtId="0" fontId="39" fillId="0" borderId="0" xfId="0" applyFont="1" applyBorder="1" applyAlignment="1">
      <alignment/>
    </xf>
    <xf numFmtId="0" fontId="39" fillId="42" borderId="33" xfId="0" applyFont="1" applyFill="1" applyBorder="1" applyAlignment="1">
      <alignment/>
    </xf>
    <xf numFmtId="0" fontId="39" fillId="42" borderId="34" xfId="0" applyFont="1" applyFill="1" applyBorder="1" applyAlignment="1">
      <alignment/>
    </xf>
    <xf numFmtId="5" fontId="39" fillId="42" borderId="10" xfId="0" applyNumberFormat="1" applyFont="1" applyFill="1" applyBorder="1" applyAlignment="1">
      <alignment horizontal="center"/>
    </xf>
    <xf numFmtId="0" fontId="39" fillId="0" borderId="28" xfId="0" applyFont="1" applyBorder="1" applyAlignment="1">
      <alignment horizontal="center" vertical="center"/>
    </xf>
    <xf numFmtId="0" fontId="39" fillId="42" borderId="18" xfId="0" applyFont="1" applyFill="1" applyBorder="1" applyAlignment="1">
      <alignment horizontal="center"/>
    </xf>
    <xf numFmtId="194" fontId="39" fillId="42" borderId="0" xfId="0" applyNumberFormat="1" applyFont="1" applyFill="1" applyBorder="1" applyAlignment="1">
      <alignment horizontal="center"/>
    </xf>
    <xf numFmtId="0" fontId="39" fillId="42" borderId="35" xfId="0" applyFont="1" applyFill="1" applyBorder="1" applyAlignment="1">
      <alignment vertical="top" wrapText="1"/>
    </xf>
    <xf numFmtId="0" fontId="39" fillId="0" borderId="0" xfId="0" applyFont="1" applyAlignment="1">
      <alignment vertical="top" wrapText="1"/>
    </xf>
    <xf numFmtId="0" fontId="39" fillId="0" borderId="31" xfId="0" applyFont="1" applyBorder="1" applyAlignment="1">
      <alignment vertical="top" wrapText="1"/>
    </xf>
    <xf numFmtId="195" fontId="39" fillId="42" borderId="0" xfId="0" applyNumberFormat="1" applyFont="1" applyFill="1" applyBorder="1" applyAlignment="1">
      <alignment horizontal="center"/>
    </xf>
    <xf numFmtId="0" fontId="39" fillId="0" borderId="31" xfId="0" applyFont="1" applyBorder="1" applyAlignment="1">
      <alignment horizontal="center"/>
    </xf>
    <xf numFmtId="178" fontId="39" fillId="44" borderId="10" xfId="0" applyNumberFormat="1" applyFont="1" applyFill="1" applyBorder="1" applyAlignment="1" applyProtection="1">
      <alignment horizontal="center"/>
      <protection locked="0"/>
    </xf>
    <xf numFmtId="195" fontId="39" fillId="0" borderId="31" xfId="0" applyNumberFormat="1" applyFont="1" applyBorder="1" applyAlignment="1">
      <alignment horizontal="center"/>
    </xf>
    <xf numFmtId="0" fontId="39" fillId="42" borderId="0" xfId="0" applyFont="1" applyFill="1" applyBorder="1" applyAlignment="1">
      <alignment horizontal="center"/>
    </xf>
  </cellXfs>
  <cellStyles count="4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5" xfId="53"/>
    <cellStyle name="Comma 6" xfId="54"/>
    <cellStyle name="Comma 7" xfId="55"/>
    <cellStyle name="Comma 7 2" xfId="56"/>
    <cellStyle name="Comma 7 3"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xfId="70"/>
    <cellStyle name="Hyperlink 3 2" xfId="71"/>
    <cellStyle name="Hyperlink 3 3" xfId="72"/>
    <cellStyle name="Hyperlink 4" xfId="73"/>
    <cellStyle name="Hyperlink 4 2" xfId="74"/>
    <cellStyle name="Hyperlink 5" xfId="75"/>
    <cellStyle name="Hyperlink 6" xfId="76"/>
    <cellStyle name="Hyperlink 7" xfId="77"/>
    <cellStyle name="Hyperlink 7 2" xfId="78"/>
    <cellStyle name="Hyperlink 8" xfId="79"/>
    <cellStyle name="Hyperlink 8 2" xfId="80"/>
    <cellStyle name="Input" xfId="81"/>
    <cellStyle name="Linked Cell" xfId="82"/>
    <cellStyle name="Neutral" xfId="83"/>
    <cellStyle name="Normal 10" xfId="84"/>
    <cellStyle name="Normal 10 2" xfId="85"/>
    <cellStyle name="Normal 10 2 2" xfId="86"/>
    <cellStyle name="Normal 10 2 2 2" xfId="87"/>
    <cellStyle name="Normal 10 2 2 3" xfId="88"/>
    <cellStyle name="Normal 10 3" xfId="89"/>
    <cellStyle name="Normal 10 4" xfId="90"/>
    <cellStyle name="Normal 10 5" xfId="91"/>
    <cellStyle name="Normal 10 6" xfId="92"/>
    <cellStyle name="Normal 10 7" xfId="93"/>
    <cellStyle name="Normal 11" xfId="94"/>
    <cellStyle name="Normal 11 2" xfId="95"/>
    <cellStyle name="Normal 11 2 2" xfId="96"/>
    <cellStyle name="Normal 11 3" xfId="97"/>
    <cellStyle name="Normal 11 4" xfId="98"/>
    <cellStyle name="Normal 11 5"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6" xfId="137"/>
    <cellStyle name="Normal 16 2" xfId="138"/>
    <cellStyle name="Normal 16 3" xfId="139"/>
    <cellStyle name="Normal 16 4" xfId="140"/>
    <cellStyle name="Normal 17" xfId="141"/>
    <cellStyle name="Normal 17 2" xfId="142"/>
    <cellStyle name="Normal 17 3" xfId="143"/>
    <cellStyle name="Normal 17 4" xfId="144"/>
    <cellStyle name="Normal 18" xfId="145"/>
    <cellStyle name="Normal 18 2" xfId="146"/>
    <cellStyle name="Normal 18 2 2" xfId="147"/>
    <cellStyle name="Normal 18 2 3" xfId="148"/>
    <cellStyle name="Normal 18 3" xfId="149"/>
    <cellStyle name="Normal 18 4" xfId="150"/>
    <cellStyle name="Normal 18 5" xfId="151"/>
    <cellStyle name="Normal 18 6" xfId="152"/>
    <cellStyle name="Normal 18 7" xfId="153"/>
    <cellStyle name="Normal 18 8"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2" xfId="164"/>
    <cellStyle name="Normal 2 10" xfId="165"/>
    <cellStyle name="Normal 2 10 10" xfId="166"/>
    <cellStyle name="Normal 2 10 11" xfId="167"/>
    <cellStyle name="Normal 2 10 2" xfId="168"/>
    <cellStyle name="Normal 2 10 2 2" xfId="169"/>
    <cellStyle name="Normal 2 10 3" xfId="170"/>
    <cellStyle name="Normal 2 10 3 2" xfId="171"/>
    <cellStyle name="Normal 2 10 4" xfId="172"/>
    <cellStyle name="Normal 2 10 4 2" xfId="173"/>
    <cellStyle name="Normal 2 10 5" xfId="174"/>
    <cellStyle name="Normal 2 10 5 2" xfId="175"/>
    <cellStyle name="Normal 2 10 6" xfId="176"/>
    <cellStyle name="Normal 2 10 6 2" xfId="177"/>
    <cellStyle name="Normal 2 10 7" xfId="178"/>
    <cellStyle name="Normal 2 10 7 2" xfId="179"/>
    <cellStyle name="Normal 2 10 8" xfId="180"/>
    <cellStyle name="Normal 2 10 8 2" xfId="181"/>
    <cellStyle name="Normal 2 10 9" xfId="182"/>
    <cellStyle name="Normal 2 11" xfId="183"/>
    <cellStyle name="Normal 2 11 10" xfId="184"/>
    <cellStyle name="Normal 2 11 11" xfId="185"/>
    <cellStyle name="Normal 2 11 2" xfId="186"/>
    <cellStyle name="Normal 2 11 2 2" xfId="187"/>
    <cellStyle name="Normal 2 11 3" xfId="188"/>
    <cellStyle name="Normal 2 11 3 2" xfId="189"/>
    <cellStyle name="Normal 2 11 4" xfId="190"/>
    <cellStyle name="Normal 2 11 4 2" xfId="191"/>
    <cellStyle name="Normal 2 11 5" xfId="192"/>
    <cellStyle name="Normal 2 11 5 2" xfId="193"/>
    <cellStyle name="Normal 2 11 6" xfId="194"/>
    <cellStyle name="Normal 2 11 6 2" xfId="195"/>
    <cellStyle name="Normal 2 11 7" xfId="196"/>
    <cellStyle name="Normal 2 11 7 2" xfId="197"/>
    <cellStyle name="Normal 2 11 8" xfId="198"/>
    <cellStyle name="Normal 2 11 8 2" xfId="199"/>
    <cellStyle name="Normal 2 11 9" xfId="200"/>
    <cellStyle name="Normal 2 12" xfId="201"/>
    <cellStyle name="Normal 2 13" xfId="202"/>
    <cellStyle name="Normal 2 14" xfId="203"/>
    <cellStyle name="Normal 2 15" xfId="204"/>
    <cellStyle name="Normal 2 16" xfId="205"/>
    <cellStyle name="Normal 2 2" xfId="206"/>
    <cellStyle name="Normal 2 2 10" xfId="207"/>
    <cellStyle name="Normal 2 2 10 2" xfId="208"/>
    <cellStyle name="Normal 2 2 11" xfId="209"/>
    <cellStyle name="Normal 2 2 11 2" xfId="210"/>
    <cellStyle name="Normal 2 2 12" xfId="211"/>
    <cellStyle name="Normal 2 2 12 2" xfId="212"/>
    <cellStyle name="Normal 2 2 12 2 2" xfId="213"/>
    <cellStyle name="Normal 2 2 12 2 3" xfId="214"/>
    <cellStyle name="Normal 2 2 12 3" xfId="215"/>
    <cellStyle name="Normal 2 2 12 4" xfId="216"/>
    <cellStyle name="Normal 2 2 13" xfId="217"/>
    <cellStyle name="Normal 2 2 13 2" xfId="218"/>
    <cellStyle name="Normal 2 2 13 2 2" xfId="219"/>
    <cellStyle name="Normal 2 2 13 2 3" xfId="220"/>
    <cellStyle name="Normal 2 2 13 3" xfId="221"/>
    <cellStyle name="Normal 2 2 13 4" xfId="222"/>
    <cellStyle name="Normal 2 2 14" xfId="223"/>
    <cellStyle name="Normal 2 2 14 2" xfId="224"/>
    <cellStyle name="Normal 2 2 15" xfId="225"/>
    <cellStyle name="Normal 2 2 15 2" xfId="226"/>
    <cellStyle name="Normal 2 2 16" xfId="227"/>
    <cellStyle name="Normal 2 2 16 2" xfId="228"/>
    <cellStyle name="Normal 2 2 16 3" xfId="229"/>
    <cellStyle name="Normal 2 2 17" xfId="230"/>
    <cellStyle name="Normal 2 2 18" xfId="231"/>
    <cellStyle name="Normal 2 2 19" xfId="232"/>
    <cellStyle name="Normal 2 2 2" xfId="233"/>
    <cellStyle name="Normal 2 2 2 2" xfId="234"/>
    <cellStyle name="Normal 2 2 2 2 2" xfId="235"/>
    <cellStyle name="Normal 2 2 2 2 3" xfId="236"/>
    <cellStyle name="Normal 2 2 2 3" xfId="237"/>
    <cellStyle name="Normal 2 2 2 3 2" xfId="238"/>
    <cellStyle name="Normal 2 2 2 4" xfId="239"/>
    <cellStyle name="Normal 2 2 2 4 2" xfId="240"/>
    <cellStyle name="Normal 2 2 2 5" xfId="241"/>
    <cellStyle name="Normal 2 2 2 5 2"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1" xfId="393"/>
    <cellStyle name="Normal 21 2"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26" xfId="407"/>
    <cellStyle name="Normal 3" xfId="408"/>
    <cellStyle name="Normal 3 2" xfId="409"/>
    <cellStyle name="Normal 3 2 2" xfId="410"/>
    <cellStyle name="Normal 3 2 2 2" xfId="411"/>
    <cellStyle name="Normal 3 2 2 3" xfId="412"/>
    <cellStyle name="Normal 3 2 3" xfId="413"/>
    <cellStyle name="Normal 3 2 4" xfId="414"/>
    <cellStyle name="Normal 3 2 5" xfId="415"/>
    <cellStyle name="Normal 3 3" xfId="416"/>
    <cellStyle name="Normal 3 3 2" xfId="417"/>
    <cellStyle name="Normal 3 3 2 2" xfId="418"/>
    <cellStyle name="Normal 3 3 2 3" xfId="419"/>
    <cellStyle name="Normal 3 3 3" xfId="420"/>
    <cellStyle name="Normal 3 3 4" xfId="421"/>
    <cellStyle name="Normal 3 4" xfId="422"/>
    <cellStyle name="Normal 3 5" xfId="423"/>
    <cellStyle name="Normal 3 6" xfId="424"/>
    <cellStyle name="Normal 3 7" xfId="425"/>
    <cellStyle name="Normal 3 8" xfId="426"/>
    <cellStyle name="Normal 3 9" xfId="427"/>
    <cellStyle name="Normal 4" xfId="428"/>
    <cellStyle name="Normal 4 2" xfId="429"/>
    <cellStyle name="Normal 4 2 2" xfId="430"/>
    <cellStyle name="Normal 4 2 2 2" xfId="431"/>
    <cellStyle name="Normal 4 2 3" xfId="432"/>
    <cellStyle name="Normal 4 2 4"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2 5" xfId="458"/>
    <cellStyle name="Normal 7 3" xfId="459"/>
    <cellStyle name="Normal 7 4" xfId="460"/>
    <cellStyle name="Normal 7 4 2" xfId="461"/>
    <cellStyle name="Normal 7 4 3" xfId="462"/>
    <cellStyle name="Normal 7 5" xfId="463"/>
    <cellStyle name="Normal 7 5 2" xfId="464"/>
    <cellStyle name="Normal 7 5 3" xfId="465"/>
    <cellStyle name="Normal 7 5 4" xfId="466"/>
    <cellStyle name="Normal 7 6" xfId="467"/>
    <cellStyle name="Normal 7 7" xfId="468"/>
    <cellStyle name="Normal 8" xfId="469"/>
    <cellStyle name="Normal 8 2" xfId="470"/>
    <cellStyle name="Normal 9" xfId="471"/>
    <cellStyle name="Normal 9 2" xfId="472"/>
    <cellStyle name="Normal 9 2 2" xfId="473"/>
    <cellStyle name="Normal 9 3" xfId="474"/>
    <cellStyle name="Normal 9 4" xfId="475"/>
    <cellStyle name="Normal 9 5" xfId="476"/>
    <cellStyle name="Normal 9 6" xfId="477"/>
    <cellStyle name="Normal_debt" xfId="478"/>
    <cellStyle name="Normal_lpform" xfId="479"/>
    <cellStyle name="Note" xfId="480"/>
    <cellStyle name="Output" xfId="481"/>
    <cellStyle name="Percent" xfId="482"/>
    <cellStyle name="Title" xfId="483"/>
    <cellStyle name="Total" xfId="484"/>
    <cellStyle name="Warning Text" xfId="485"/>
  </cellStyles>
  <dxfs count="24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1">
      <selection activeCell="J19" sqref="J19"/>
    </sheetView>
  </sheetViews>
  <sheetFormatPr defaultColWidth="8.796875" defaultRowHeight="15"/>
  <cols>
    <col min="1" max="1" width="75.796875" style="8" customWidth="1"/>
    <col min="2" max="16384" width="8.8984375" style="8" customWidth="1"/>
  </cols>
  <sheetData>
    <row r="1" ht="15.75">
      <c r="A1" s="7" t="s">
        <v>250</v>
      </c>
    </row>
    <row r="3" ht="34.5" customHeight="1">
      <c r="A3" s="783" t="s">
        <v>983</v>
      </c>
    </row>
    <row r="4" ht="15.75">
      <c r="A4" s="9"/>
    </row>
    <row r="5" ht="85.5" customHeight="1">
      <c r="A5" s="10" t="s">
        <v>273</v>
      </c>
    </row>
    <row r="6" ht="15.75">
      <c r="A6" s="10"/>
    </row>
    <row r="7" ht="55.5" customHeight="1">
      <c r="A7" s="10" t="s">
        <v>931</v>
      </c>
    </row>
    <row r="8" ht="15.75">
      <c r="A8" s="10"/>
    </row>
    <row r="9" ht="15.75">
      <c r="A9" s="7" t="s">
        <v>276</v>
      </c>
    </row>
    <row r="10" ht="15.75">
      <c r="A10" s="7"/>
    </row>
    <row r="11" ht="15.75">
      <c r="A11" s="9" t="s">
        <v>278</v>
      </c>
    </row>
    <row r="13" ht="38.25" customHeight="1">
      <c r="A13" s="11" t="s">
        <v>645</v>
      </c>
    </row>
    <row r="14" ht="14.25" customHeight="1">
      <c r="A14" s="11"/>
    </row>
    <row r="16" ht="15.75">
      <c r="A16" s="7" t="s">
        <v>332</v>
      </c>
    </row>
    <row r="18" ht="34.5" customHeight="1">
      <c r="A18" s="10" t="s">
        <v>277</v>
      </c>
    </row>
    <row r="19" ht="12" customHeight="1">
      <c r="A19" s="10"/>
    </row>
    <row r="20" ht="16.5" customHeight="1">
      <c r="A20" s="12" t="s">
        <v>236</v>
      </c>
    </row>
    <row r="21" ht="9.75" customHeight="1">
      <c r="A21" s="13"/>
    </row>
    <row r="22" ht="15.75">
      <c r="A22" s="14" t="s">
        <v>249</v>
      </c>
    </row>
    <row r="23" ht="15.75">
      <c r="A23" s="15"/>
    </row>
    <row r="24" ht="85.5" customHeight="1">
      <c r="A24" s="16" t="s">
        <v>260</v>
      </c>
    </row>
    <row r="25" ht="19.5" customHeight="1">
      <c r="A25" s="10"/>
    </row>
    <row r="26" ht="19.5" customHeight="1">
      <c r="A26" s="17" t="s">
        <v>237</v>
      </c>
    </row>
    <row r="28" ht="15.75">
      <c r="A28" s="18" t="s">
        <v>274</v>
      </c>
    </row>
    <row r="30" ht="20.25" customHeight="1">
      <c r="A30" s="10" t="s">
        <v>275</v>
      </c>
    </row>
    <row r="32" ht="15.75">
      <c r="A32" s="7" t="s">
        <v>86</v>
      </c>
    </row>
    <row r="34" ht="69" customHeight="1">
      <c r="A34" s="10" t="s">
        <v>749</v>
      </c>
    </row>
    <row r="35" ht="38.25" customHeight="1">
      <c r="A35" s="10" t="s">
        <v>261</v>
      </c>
    </row>
    <row r="36" ht="51" customHeight="1">
      <c r="A36" s="19" t="s">
        <v>238</v>
      </c>
    </row>
    <row r="37" ht="11.25" customHeight="1"/>
    <row r="38" ht="80.25" customHeight="1">
      <c r="A38" s="10" t="s">
        <v>750</v>
      </c>
    </row>
    <row r="39" ht="67.5" customHeight="1">
      <c r="A39" s="10" t="s">
        <v>308</v>
      </c>
    </row>
    <row r="40" ht="103.5" customHeight="1">
      <c r="A40" s="10" t="s">
        <v>309</v>
      </c>
    </row>
    <row r="41" ht="12.75" customHeight="1"/>
    <row r="42" ht="73.5" customHeight="1">
      <c r="A42" s="743" t="s">
        <v>932</v>
      </c>
    </row>
    <row r="43" ht="69.75" customHeight="1">
      <c r="A43" s="343" t="s">
        <v>603</v>
      </c>
    </row>
    <row r="44" ht="69.75" customHeight="1">
      <c r="A44" s="744" t="s">
        <v>933</v>
      </c>
    </row>
    <row r="45" ht="12.75" customHeight="1"/>
    <row r="46" ht="67.5" customHeight="1">
      <c r="A46" s="10" t="s">
        <v>604</v>
      </c>
    </row>
    <row r="47" ht="37.5" customHeight="1">
      <c r="A47" s="10" t="s">
        <v>605</v>
      </c>
    </row>
    <row r="48" ht="72.75" customHeight="1">
      <c r="A48" s="10" t="s">
        <v>606</v>
      </c>
    </row>
    <row r="49" ht="108" customHeight="1">
      <c r="A49" s="745" t="s">
        <v>969</v>
      </c>
    </row>
    <row r="50" ht="13.5" customHeight="1">
      <c r="A50" s="10"/>
    </row>
    <row r="51" ht="70.5" customHeight="1">
      <c r="A51" s="10" t="s">
        <v>607</v>
      </c>
    </row>
    <row r="52" ht="126" customHeight="1">
      <c r="A52" s="10" t="s">
        <v>608</v>
      </c>
    </row>
    <row r="53" ht="35.25" customHeight="1">
      <c r="A53" s="10" t="s">
        <v>609</v>
      </c>
    </row>
    <row r="54" ht="15.75" customHeight="1">
      <c r="A54" s="10"/>
    </row>
    <row r="55" ht="83.25" customHeight="1">
      <c r="A55" s="745" t="s">
        <v>934</v>
      </c>
    </row>
    <row r="56" ht="12.75" customHeight="1"/>
    <row r="57" ht="71.25" customHeight="1">
      <c r="A57" s="10" t="s">
        <v>610</v>
      </c>
    </row>
    <row r="58" ht="45" customHeight="1">
      <c r="A58" s="10" t="s">
        <v>616</v>
      </c>
    </row>
    <row r="59" ht="97.5" customHeight="1">
      <c r="A59" s="10" t="s">
        <v>646</v>
      </c>
    </row>
    <row r="60" ht="42.75" customHeight="1">
      <c r="A60" s="326" t="s">
        <v>617</v>
      </c>
    </row>
    <row r="61" ht="14.25" customHeight="1"/>
    <row r="62" s="10" customFormat="1" ht="58.5" customHeight="1">
      <c r="A62" s="10" t="s">
        <v>611</v>
      </c>
    </row>
    <row r="64" ht="69" customHeight="1">
      <c r="A64" s="10" t="s">
        <v>612</v>
      </c>
    </row>
    <row r="65" ht="15.75" customHeight="1">
      <c r="A65" s="10"/>
    </row>
    <row r="66" ht="167.25" customHeight="1">
      <c r="A66" s="745" t="s">
        <v>935</v>
      </c>
    </row>
    <row r="67" ht="11.25" customHeight="1"/>
    <row r="68" ht="104.25" customHeight="1">
      <c r="A68" s="10" t="s">
        <v>936</v>
      </c>
    </row>
    <row r="69" ht="72.75" customHeight="1">
      <c r="A69" s="745" t="s">
        <v>960</v>
      </c>
    </row>
    <row r="70" ht="117" customHeight="1">
      <c r="A70" s="746" t="s">
        <v>937</v>
      </c>
    </row>
    <row r="71" ht="93" customHeight="1">
      <c r="A71" s="746" t="s">
        <v>938</v>
      </c>
    </row>
    <row r="72" ht="104.25" customHeight="1">
      <c r="A72" s="746" t="s">
        <v>939</v>
      </c>
    </row>
    <row r="73" ht="77.25" customHeight="1">
      <c r="A73" s="10" t="s">
        <v>940</v>
      </c>
    </row>
    <row r="74" ht="112.5" customHeight="1">
      <c r="A74" s="745" t="s">
        <v>941</v>
      </c>
    </row>
    <row r="75" ht="138" customHeight="1">
      <c r="A75" s="10" t="s">
        <v>942</v>
      </c>
    </row>
    <row r="76" ht="81" customHeight="1">
      <c r="A76" s="10" t="s">
        <v>943</v>
      </c>
    </row>
    <row r="77" ht="78.75" customHeight="1">
      <c r="A77" s="10" t="s">
        <v>944</v>
      </c>
    </row>
    <row r="78" ht="99.75" customHeight="1">
      <c r="A78" s="10" t="s">
        <v>945</v>
      </c>
    </row>
    <row r="79" ht="57" customHeight="1">
      <c r="A79" s="10" t="s">
        <v>946</v>
      </c>
    </row>
    <row r="80" ht="111" customHeight="1">
      <c r="A80" s="10" t="s">
        <v>947</v>
      </c>
    </row>
    <row r="81" ht="111.75" customHeight="1">
      <c r="A81" s="490" t="s">
        <v>948</v>
      </c>
    </row>
    <row r="82" ht="110.25" customHeight="1">
      <c r="A82" s="491" t="s">
        <v>949</v>
      </c>
    </row>
    <row r="83" ht="51.75" customHeight="1">
      <c r="A83" s="492" t="s">
        <v>950</v>
      </c>
    </row>
    <row r="84" ht="78.75" customHeight="1">
      <c r="A84" s="745" t="s">
        <v>951</v>
      </c>
    </row>
    <row r="85" ht="78.75" customHeight="1">
      <c r="A85" s="745" t="s">
        <v>962</v>
      </c>
    </row>
    <row r="86" ht="46.5" customHeight="1">
      <c r="A86" s="747" t="s">
        <v>963</v>
      </c>
    </row>
    <row r="87" ht="53.25" customHeight="1">
      <c r="A87" s="746" t="s">
        <v>964</v>
      </c>
    </row>
    <row r="88" ht="125.25" customHeight="1">
      <c r="A88" s="746" t="s">
        <v>965</v>
      </c>
    </row>
    <row r="89" ht="149.25" customHeight="1">
      <c r="A89" s="746" t="s">
        <v>966</v>
      </c>
    </row>
    <row r="90" ht="87" customHeight="1">
      <c r="A90" s="748" t="s">
        <v>967</v>
      </c>
    </row>
    <row r="91" ht="84" customHeight="1">
      <c r="A91" s="749" t="s">
        <v>968</v>
      </c>
    </row>
    <row r="92" ht="30.75" customHeight="1"/>
    <row r="93" ht="162" customHeight="1">
      <c r="A93" s="10" t="s">
        <v>952</v>
      </c>
    </row>
    <row r="94" ht="159.75" customHeight="1">
      <c r="A94" s="10" t="s">
        <v>953</v>
      </c>
    </row>
    <row r="95" ht="45" customHeight="1">
      <c r="A95" s="10" t="s">
        <v>954</v>
      </c>
    </row>
    <row r="96" ht="45" customHeight="1">
      <c r="A96" s="10" t="s">
        <v>955</v>
      </c>
    </row>
    <row r="97" ht="15" customHeight="1"/>
    <row r="98" ht="72" customHeight="1">
      <c r="A98" s="745" t="s">
        <v>956</v>
      </c>
    </row>
    <row r="99" ht="15.75">
      <c r="A99" s="750"/>
    </row>
    <row r="100" ht="54" customHeight="1">
      <c r="A100" s="746" t="s">
        <v>957</v>
      </c>
    </row>
    <row r="101" ht="101.25" customHeight="1">
      <c r="A101" s="746" t="s">
        <v>958</v>
      </c>
    </row>
    <row r="102" ht="131.25" customHeight="1">
      <c r="A102" s="746" t="s">
        <v>959</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21" customWidth="1"/>
    <col min="2" max="16384" width="8.8984375" style="321" customWidth="1"/>
  </cols>
  <sheetData>
    <row r="1" ht="18.75">
      <c r="A1" s="323" t="s">
        <v>352</v>
      </c>
    </row>
    <row r="2" ht="18.75">
      <c r="A2" s="323"/>
    </row>
    <row r="3" ht="18.75">
      <c r="A3" s="323"/>
    </row>
    <row r="4" ht="51.75" customHeight="1">
      <c r="A4" s="469" t="s">
        <v>744</v>
      </c>
    </row>
    <row r="5" ht="18.75">
      <c r="A5" s="323"/>
    </row>
    <row r="6" ht="15.75">
      <c r="A6" s="324"/>
    </row>
    <row r="7" ht="47.25">
      <c r="A7" s="325" t="s">
        <v>353</v>
      </c>
    </row>
    <row r="8" ht="15.75">
      <c r="A8" s="324"/>
    </row>
    <row r="9" ht="15.75">
      <c r="A9" s="324"/>
    </row>
    <row r="10" ht="63">
      <c r="A10" s="325" t="s">
        <v>354</v>
      </c>
    </row>
    <row r="11" ht="15.75">
      <c r="A11" s="470"/>
    </row>
    <row r="12" ht="15.75">
      <c r="A12" s="324"/>
    </row>
    <row r="13" ht="47.25">
      <c r="A13" s="325" t="s">
        <v>355</v>
      </c>
    </row>
    <row r="14" ht="15.75">
      <c r="A14" s="470"/>
    </row>
    <row r="15" ht="15.75">
      <c r="A15" s="324"/>
    </row>
    <row r="16" ht="47.25">
      <c r="A16" s="325" t="s">
        <v>356</v>
      </c>
    </row>
    <row r="17" ht="15.75">
      <c r="A17" s="470"/>
    </row>
    <row r="18" ht="15.75">
      <c r="A18" s="470"/>
    </row>
    <row r="19" ht="47.25">
      <c r="A19" s="325" t="s">
        <v>357</v>
      </c>
    </row>
    <row r="20" ht="15.75">
      <c r="A20" s="470"/>
    </row>
    <row r="21" ht="15.75">
      <c r="A21" s="470"/>
    </row>
    <row r="22" ht="47.25">
      <c r="A22" s="325" t="s">
        <v>358</v>
      </c>
    </row>
    <row r="23" ht="15.75">
      <c r="A23" s="470"/>
    </row>
    <row r="24" ht="15.75">
      <c r="A24" s="470"/>
    </row>
    <row r="25" ht="31.5">
      <c r="A25" s="325" t="s">
        <v>359</v>
      </c>
    </row>
    <row r="26" ht="15.75">
      <c r="A26" s="324"/>
    </row>
    <row r="27" ht="15.75">
      <c r="A27" s="324"/>
    </row>
    <row r="28" ht="60">
      <c r="A28" s="471" t="s">
        <v>360</v>
      </c>
    </row>
    <row r="29" ht="15">
      <c r="A29" s="472"/>
    </row>
    <row r="30" ht="15">
      <c r="A30" s="472"/>
    </row>
    <row r="31" ht="47.25">
      <c r="A31" s="325" t="s">
        <v>361</v>
      </c>
    </row>
    <row r="32" ht="15.75">
      <c r="A32" s="324"/>
    </row>
    <row r="33" ht="15.75">
      <c r="A33" s="324"/>
    </row>
    <row r="34" ht="66.75" customHeight="1">
      <c r="A34" s="468" t="s">
        <v>745</v>
      </c>
    </row>
    <row r="35" ht="15.75">
      <c r="A35" s="324"/>
    </row>
    <row r="36" ht="15.75">
      <c r="A36" s="324"/>
    </row>
    <row r="37" ht="63">
      <c r="A37" s="473" t="s">
        <v>362</v>
      </c>
    </row>
    <row r="38" ht="15.75">
      <c r="A38" s="470"/>
    </row>
    <row r="39" ht="15.75">
      <c r="A39" s="324"/>
    </row>
    <row r="40" ht="63">
      <c r="A40" s="325" t="s">
        <v>363</v>
      </c>
    </row>
    <row r="41" ht="15.75">
      <c r="A41" s="470"/>
    </row>
    <row r="42" ht="15.75">
      <c r="A42" s="470"/>
    </row>
    <row r="43" ht="82.5" customHeight="1">
      <c r="A43" s="466" t="s">
        <v>746</v>
      </c>
    </row>
    <row r="44" ht="15.75">
      <c r="A44" s="470"/>
    </row>
    <row r="45" ht="15.75">
      <c r="A45" s="470"/>
    </row>
    <row r="46" ht="69" customHeight="1">
      <c r="A46" s="466" t="s">
        <v>747</v>
      </c>
    </row>
    <row r="47" ht="15.75">
      <c r="A47" s="470"/>
    </row>
    <row r="48" ht="15.75">
      <c r="A48" s="470"/>
    </row>
    <row r="49" ht="69" customHeight="1">
      <c r="A49" s="466" t="s">
        <v>748</v>
      </c>
    </row>
    <row r="50" ht="15.75">
      <c r="A50" s="470"/>
    </row>
    <row r="51" ht="15.75">
      <c r="A51" s="470"/>
    </row>
    <row r="52" ht="54.75" customHeight="1">
      <c r="A52" s="466" t="s">
        <v>888</v>
      </c>
    </row>
    <row r="53" ht="15.75">
      <c r="A53" s="470"/>
    </row>
    <row r="54" ht="15.75">
      <c r="A54" s="470"/>
    </row>
    <row r="55" ht="63">
      <c r="A55" s="325" t="s">
        <v>364</v>
      </c>
    </row>
    <row r="56" ht="15.75">
      <c r="A56" s="470"/>
    </row>
    <row r="57" ht="15.75">
      <c r="A57" s="470"/>
    </row>
    <row r="58" ht="63">
      <c r="A58" s="325" t="s">
        <v>365</v>
      </c>
    </row>
    <row r="59" ht="15.75">
      <c r="A59" s="470"/>
    </row>
    <row r="60" ht="15.75">
      <c r="A60" s="470"/>
    </row>
    <row r="61" ht="47.25">
      <c r="A61" s="325" t="s">
        <v>366</v>
      </c>
    </row>
    <row r="62" ht="15.75">
      <c r="A62" s="470"/>
    </row>
    <row r="63" ht="15.75">
      <c r="A63" s="470"/>
    </row>
    <row r="64" ht="47.25">
      <c r="A64" s="325" t="s">
        <v>367</v>
      </c>
    </row>
    <row r="65" ht="15.75">
      <c r="A65" s="470"/>
    </row>
    <row r="66" ht="15.75">
      <c r="A66" s="470"/>
    </row>
    <row r="67" ht="78.75">
      <c r="A67" s="325" t="s">
        <v>368</v>
      </c>
    </row>
    <row r="68" ht="15">
      <c r="A68" s="474"/>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0">
      <selection activeCell="G27" sqref="G27"/>
    </sheetView>
  </sheetViews>
  <sheetFormatPr defaultColWidth="8.796875" defaultRowHeight="15"/>
  <cols>
    <col min="1" max="1" width="4.59765625" style="22" customWidth="1"/>
    <col min="2" max="2" width="20.796875" style="22" customWidth="1"/>
    <col min="3" max="3" width="9.296875" style="22" customWidth="1"/>
    <col min="4" max="4" width="9.09765625" style="22" customWidth="1"/>
    <col min="5" max="5" width="8.796875" style="22" customWidth="1"/>
    <col min="6" max="6" width="12.69921875" style="22" customWidth="1"/>
    <col min="7" max="7" width="13.69921875" style="22" customWidth="1"/>
    <col min="8" max="9" width="9.296875" style="22" customWidth="1"/>
    <col min="10" max="13" width="9.796875" style="22" customWidth="1"/>
    <col min="14" max="16384" width="8.8984375" style="22" customWidth="1"/>
  </cols>
  <sheetData>
    <row r="1" spans="2:13" ht="18.75" customHeight="1">
      <c r="B1" s="150" t="str">
        <f>inputPrYr!$D$2</f>
        <v>City of Merriam</v>
      </c>
      <c r="C1" s="21"/>
      <c r="D1" s="21"/>
      <c r="E1" s="21"/>
      <c r="F1" s="21"/>
      <c r="G1" s="21"/>
      <c r="H1" s="21"/>
      <c r="I1" s="21"/>
      <c r="J1" s="21"/>
      <c r="K1" s="21"/>
      <c r="L1" s="21"/>
      <c r="M1" s="184">
        <f>inputPrYr!$C$5</f>
        <v>2014</v>
      </c>
    </row>
    <row r="2" spans="2:13" ht="15.75">
      <c r="B2" s="150"/>
      <c r="C2" s="21"/>
      <c r="D2" s="21"/>
      <c r="E2" s="21"/>
      <c r="F2" s="21"/>
      <c r="G2" s="21"/>
      <c r="H2" s="21"/>
      <c r="I2" s="21"/>
      <c r="J2" s="21"/>
      <c r="K2" s="21"/>
      <c r="L2" s="21"/>
      <c r="M2" s="146"/>
    </row>
    <row r="3" spans="2:13" ht="15.75">
      <c r="B3" s="185" t="s">
        <v>94</v>
      </c>
      <c r="C3" s="32"/>
      <c r="D3" s="32"/>
      <c r="E3" s="32"/>
      <c r="F3" s="32"/>
      <c r="G3" s="32"/>
      <c r="H3" s="32"/>
      <c r="I3" s="32"/>
      <c r="J3" s="32"/>
      <c r="K3" s="32"/>
      <c r="L3" s="32"/>
      <c r="M3" s="32"/>
    </row>
    <row r="4" spans="2:13" ht="15.75">
      <c r="B4" s="21"/>
      <c r="C4" s="186"/>
      <c r="D4" s="186"/>
      <c r="E4" s="186"/>
      <c r="F4" s="186"/>
      <c r="G4" s="186"/>
      <c r="H4" s="186"/>
      <c r="I4" s="186"/>
      <c r="J4" s="186"/>
      <c r="K4" s="186"/>
      <c r="L4" s="186"/>
      <c r="M4" s="186"/>
    </row>
    <row r="5" spans="2:13" ht="15.75">
      <c r="B5" s="132"/>
      <c r="C5" s="165" t="s">
        <v>62</v>
      </c>
      <c r="D5" s="165" t="s">
        <v>62</v>
      </c>
      <c r="E5" s="165" t="s">
        <v>76</v>
      </c>
      <c r="F5" s="165"/>
      <c r="G5" s="165" t="s">
        <v>199</v>
      </c>
      <c r="H5" s="21"/>
      <c r="I5" s="21"/>
      <c r="J5" s="187" t="s">
        <v>63</v>
      </c>
      <c r="K5" s="188"/>
      <c r="L5" s="187" t="s">
        <v>63</v>
      </c>
      <c r="M5" s="188"/>
    </row>
    <row r="6" spans="2:13" ht="15.75">
      <c r="B6" s="126" t="s">
        <v>870</v>
      </c>
      <c r="C6" s="126" t="s">
        <v>64</v>
      </c>
      <c r="D6" s="126" t="s">
        <v>200</v>
      </c>
      <c r="E6" s="126" t="s">
        <v>65</v>
      </c>
      <c r="F6" s="126" t="s">
        <v>17</v>
      </c>
      <c r="G6" s="126" t="s">
        <v>201</v>
      </c>
      <c r="H6" s="826" t="s">
        <v>66</v>
      </c>
      <c r="I6" s="827"/>
      <c r="J6" s="828">
        <f>M1-1</f>
        <v>2013</v>
      </c>
      <c r="K6" s="829"/>
      <c r="L6" s="828">
        <f>M1</f>
        <v>2014</v>
      </c>
      <c r="M6" s="829"/>
    </row>
    <row r="7" spans="2:13" ht="15.75">
      <c r="B7" s="129" t="s">
        <v>871</v>
      </c>
      <c r="C7" s="129" t="s">
        <v>67</v>
      </c>
      <c r="D7" s="129" t="s">
        <v>202</v>
      </c>
      <c r="E7" s="129" t="s">
        <v>42</v>
      </c>
      <c r="F7" s="129" t="s">
        <v>68</v>
      </c>
      <c r="G7" s="189" t="str">
        <f>CONCATENATE("Jan 1,",M1-1,"")</f>
        <v>Jan 1,2013</v>
      </c>
      <c r="H7" s="136" t="s">
        <v>76</v>
      </c>
      <c r="I7" s="136" t="s">
        <v>78</v>
      </c>
      <c r="J7" s="136" t="s">
        <v>76</v>
      </c>
      <c r="K7" s="136" t="s">
        <v>78</v>
      </c>
      <c r="L7" s="136" t="s">
        <v>76</v>
      </c>
      <c r="M7" s="136" t="s">
        <v>78</v>
      </c>
    </row>
    <row r="8" spans="2:13" ht="15.75">
      <c r="B8" s="190" t="s">
        <v>69</v>
      </c>
      <c r="C8" s="47"/>
      <c r="D8" s="47"/>
      <c r="E8" s="191"/>
      <c r="F8" s="192"/>
      <c r="G8" s="192"/>
      <c r="H8" s="47"/>
      <c r="I8" s="47"/>
      <c r="J8" s="192"/>
      <c r="K8" s="192"/>
      <c r="L8" s="192"/>
      <c r="M8" s="192"/>
    </row>
    <row r="9" spans="2:13" ht="15.75">
      <c r="B9" s="52" t="s">
        <v>1001</v>
      </c>
      <c r="C9" s="349">
        <v>38657</v>
      </c>
      <c r="D9" s="349">
        <v>41913</v>
      </c>
      <c r="E9" s="194" t="s">
        <v>1002</v>
      </c>
      <c r="F9" s="194">
        <v>5900000</v>
      </c>
      <c r="G9" s="195">
        <v>635000</v>
      </c>
      <c r="H9" s="196" t="s">
        <v>1000</v>
      </c>
      <c r="I9" s="196">
        <v>41183</v>
      </c>
      <c r="J9" s="195">
        <f>13555+13555</f>
        <v>27110</v>
      </c>
      <c r="K9" s="195">
        <v>315000</v>
      </c>
      <c r="L9" s="195">
        <f>5680+5680</f>
        <v>11360</v>
      </c>
      <c r="M9" s="195">
        <v>320000</v>
      </c>
    </row>
    <row r="10" spans="2:13" ht="15.75">
      <c r="B10" s="52" t="s">
        <v>1003</v>
      </c>
      <c r="C10" s="349">
        <v>39706</v>
      </c>
      <c r="D10" s="349">
        <v>41913</v>
      </c>
      <c r="E10" s="194" t="s">
        <v>1004</v>
      </c>
      <c r="F10" s="194">
        <v>3500000</v>
      </c>
      <c r="G10" s="195">
        <v>695000</v>
      </c>
      <c r="H10" s="196" t="s">
        <v>1000</v>
      </c>
      <c r="I10" s="196">
        <v>41183</v>
      </c>
      <c r="J10" s="195">
        <f>11718.75+11718.75</f>
        <v>23437.5</v>
      </c>
      <c r="K10" s="195">
        <v>340000</v>
      </c>
      <c r="L10" s="195">
        <f>5768.75+5768.75</f>
        <v>11537.5</v>
      </c>
      <c r="M10" s="195">
        <v>355000</v>
      </c>
    </row>
    <row r="11" spans="2:13" ht="15.75">
      <c r="B11" s="52" t="s">
        <v>1005</v>
      </c>
      <c r="C11" s="349">
        <v>40360</v>
      </c>
      <c r="D11" s="349">
        <v>41548</v>
      </c>
      <c r="E11" s="194" t="s">
        <v>1006</v>
      </c>
      <c r="F11" s="194">
        <v>3585000</v>
      </c>
      <c r="G11" s="195">
        <v>1895000</v>
      </c>
      <c r="H11" s="196" t="s">
        <v>1000</v>
      </c>
      <c r="I11" s="196">
        <v>41183</v>
      </c>
      <c r="J11" s="195">
        <f>18950+18950</f>
        <v>37900</v>
      </c>
      <c r="K11" s="195">
        <v>1895000</v>
      </c>
      <c r="L11" s="195">
        <v>0</v>
      </c>
      <c r="M11" s="195">
        <v>0</v>
      </c>
    </row>
    <row r="12" spans="2:13" ht="15.75">
      <c r="B12" s="52" t="s">
        <v>1007</v>
      </c>
      <c r="C12" s="349">
        <v>40969</v>
      </c>
      <c r="D12" s="349">
        <v>45200</v>
      </c>
      <c r="E12" s="194" t="s">
        <v>1008</v>
      </c>
      <c r="F12" s="194">
        <v>7300000</v>
      </c>
      <c r="G12" s="195">
        <v>7300000</v>
      </c>
      <c r="H12" s="196" t="s">
        <v>1000</v>
      </c>
      <c r="I12" s="196">
        <v>41183</v>
      </c>
      <c r="J12" s="195">
        <f>65925+65925</f>
        <v>131850</v>
      </c>
      <c r="K12" s="195">
        <v>365000</v>
      </c>
      <c r="L12" s="195">
        <f>62275+62275</f>
        <v>124550</v>
      </c>
      <c r="M12" s="195">
        <v>1005000</v>
      </c>
    </row>
    <row r="13" spans="2:13" ht="15.75">
      <c r="B13" s="52"/>
      <c r="C13" s="349"/>
      <c r="D13" s="349"/>
      <c r="E13" s="194"/>
      <c r="F13" s="194"/>
      <c r="G13" s="195"/>
      <c r="H13" s="196"/>
      <c r="I13" s="196"/>
      <c r="J13" s="195"/>
      <c r="K13" s="195"/>
      <c r="L13" s="195"/>
      <c r="M13" s="195"/>
    </row>
    <row r="14" spans="2:13" ht="15.75">
      <c r="B14" s="52"/>
      <c r="C14" s="349"/>
      <c r="D14" s="349"/>
      <c r="E14" s="194"/>
      <c r="F14" s="194"/>
      <c r="G14" s="195"/>
      <c r="H14" s="196"/>
      <c r="I14" s="196"/>
      <c r="J14" s="195"/>
      <c r="K14" s="195"/>
      <c r="L14" s="195"/>
      <c r="M14" s="195"/>
    </row>
    <row r="15" spans="2:13" ht="15.75">
      <c r="B15" s="52"/>
      <c r="C15" s="349"/>
      <c r="D15" s="349"/>
      <c r="E15" s="193"/>
      <c r="F15" s="194"/>
      <c r="G15" s="195"/>
      <c r="H15" s="196"/>
      <c r="I15" s="196"/>
      <c r="J15" s="195"/>
      <c r="K15" s="195"/>
      <c r="L15" s="195"/>
      <c r="M15" s="195"/>
    </row>
    <row r="16" spans="2:13" ht="15.75">
      <c r="B16" s="52" t="s">
        <v>1010</v>
      </c>
      <c r="C16" s="349"/>
      <c r="D16" s="349"/>
      <c r="E16" s="193"/>
      <c r="F16" s="194"/>
      <c r="G16" s="195"/>
      <c r="H16" s="196"/>
      <c r="I16" s="196"/>
      <c r="J16" s="195"/>
      <c r="K16" s="195"/>
      <c r="L16" s="195"/>
      <c r="M16" s="195"/>
    </row>
    <row r="17" spans="2:13" ht="15.75">
      <c r="B17" s="52"/>
      <c r="C17" s="349"/>
      <c r="D17" s="349"/>
      <c r="E17" s="193"/>
      <c r="F17" s="194"/>
      <c r="G17" s="195"/>
      <c r="H17" s="196"/>
      <c r="I17" s="196"/>
      <c r="J17" s="195"/>
      <c r="K17" s="195"/>
      <c r="L17" s="195"/>
      <c r="M17" s="195"/>
    </row>
    <row r="18" spans="2:13" ht="15.75">
      <c r="B18" s="52"/>
      <c r="C18" s="349"/>
      <c r="D18" s="349"/>
      <c r="E18" s="193"/>
      <c r="F18" s="194"/>
      <c r="G18" s="195"/>
      <c r="H18" s="196"/>
      <c r="I18" s="196"/>
      <c r="J18" s="195"/>
      <c r="K18" s="195"/>
      <c r="L18" s="195"/>
      <c r="M18" s="195"/>
    </row>
    <row r="19" spans="2:13" ht="15.75">
      <c r="B19" s="52"/>
      <c r="C19" s="349"/>
      <c r="D19" s="349"/>
      <c r="E19" s="193"/>
      <c r="F19" s="194"/>
      <c r="G19" s="195"/>
      <c r="H19" s="196"/>
      <c r="I19" s="196"/>
      <c r="J19" s="195"/>
      <c r="K19" s="195"/>
      <c r="L19" s="195"/>
      <c r="M19" s="195"/>
    </row>
    <row r="20" spans="2:13" ht="15.75">
      <c r="B20" s="197" t="s">
        <v>70</v>
      </c>
      <c r="C20" s="198"/>
      <c r="D20" s="198"/>
      <c r="E20" s="199"/>
      <c r="F20" s="200"/>
      <c r="G20" s="201">
        <f>SUM(G9:G19)</f>
        <v>10525000</v>
      </c>
      <c r="H20" s="202"/>
      <c r="I20" s="202"/>
      <c r="J20" s="201">
        <f>SUM(J9:J19)</f>
        <v>220297.5</v>
      </c>
      <c r="K20" s="201">
        <f>SUM(K9:K19)</f>
        <v>2915000</v>
      </c>
      <c r="L20" s="201">
        <f>SUM(L9:L19)</f>
        <v>147447.5</v>
      </c>
      <c r="M20" s="201">
        <f>SUM(M9:M19)</f>
        <v>1680000</v>
      </c>
    </row>
    <row r="21" spans="2:13" ht="15.75">
      <c r="B21" s="190" t="s">
        <v>71</v>
      </c>
      <c r="C21" s="203"/>
      <c r="D21" s="203"/>
      <c r="E21" s="204"/>
      <c r="F21" s="182"/>
      <c r="G21" s="182"/>
      <c r="H21" s="205"/>
      <c r="I21" s="205"/>
      <c r="J21" s="182"/>
      <c r="K21" s="182"/>
      <c r="L21" s="182"/>
      <c r="M21" s="182"/>
    </row>
    <row r="22" spans="2:13" ht="15.75">
      <c r="B22" s="52" t="s">
        <v>1011</v>
      </c>
      <c r="C22" s="349">
        <v>37239</v>
      </c>
      <c r="D22" s="349">
        <v>42401</v>
      </c>
      <c r="E22" s="193" t="s">
        <v>1009</v>
      </c>
      <c r="F22" s="194">
        <v>5113522</v>
      </c>
      <c r="G22" s="195">
        <v>2399395</v>
      </c>
      <c r="H22" s="196" t="s">
        <v>1009</v>
      </c>
      <c r="I22" s="196">
        <v>40969</v>
      </c>
      <c r="J22" s="195" t="s">
        <v>1009</v>
      </c>
      <c r="K22" s="195">
        <v>631295</v>
      </c>
      <c r="L22" s="195" t="s">
        <v>1009</v>
      </c>
      <c r="M22" s="195"/>
    </row>
    <row r="23" spans="2:13" ht="15.75">
      <c r="B23" s="52"/>
      <c r="C23" s="349"/>
      <c r="D23" s="349"/>
      <c r="E23" s="193"/>
      <c r="F23" s="194"/>
      <c r="G23" s="195"/>
      <c r="H23" s="196"/>
      <c r="I23" s="196"/>
      <c r="J23" s="195"/>
      <c r="K23" s="195"/>
      <c r="L23" s="195"/>
      <c r="M23" s="195"/>
    </row>
    <row r="24" spans="2:13" ht="15.75">
      <c r="B24" s="52" t="s">
        <v>1012</v>
      </c>
      <c r="C24" s="349"/>
      <c r="D24" s="349"/>
      <c r="E24" s="193"/>
      <c r="F24" s="194"/>
      <c r="G24" s="195"/>
      <c r="H24" s="196"/>
      <c r="I24" s="196"/>
      <c r="J24" s="195"/>
      <c r="K24" s="195"/>
      <c r="L24" s="195"/>
      <c r="M24" s="195"/>
    </row>
    <row r="25" spans="2:13" ht="15.75">
      <c r="B25" s="52" t="s">
        <v>1013</v>
      </c>
      <c r="C25" s="349"/>
      <c r="D25" s="349"/>
      <c r="E25" s="193"/>
      <c r="F25" s="194"/>
      <c r="G25" s="195"/>
      <c r="H25" s="196"/>
      <c r="I25" s="196"/>
      <c r="J25" s="195"/>
      <c r="K25" s="195"/>
      <c r="L25" s="195"/>
      <c r="M25" s="195"/>
    </row>
    <row r="26" spans="2:13" ht="15.75">
      <c r="B26" s="52"/>
      <c r="C26" s="349"/>
      <c r="D26" s="349"/>
      <c r="E26" s="193"/>
      <c r="F26" s="194"/>
      <c r="G26" s="195"/>
      <c r="H26" s="196"/>
      <c r="I26" s="196"/>
      <c r="J26" s="195"/>
      <c r="K26" s="195"/>
      <c r="L26" s="195"/>
      <c r="M26" s="195"/>
    </row>
    <row r="27" spans="2:13" ht="15.75">
      <c r="B27" s="52"/>
      <c r="C27" s="349"/>
      <c r="D27" s="349"/>
      <c r="E27" s="193"/>
      <c r="F27" s="194"/>
      <c r="G27" s="195"/>
      <c r="H27" s="196"/>
      <c r="I27" s="196"/>
      <c r="J27" s="195"/>
      <c r="K27" s="195"/>
      <c r="L27" s="195"/>
      <c r="M27" s="195"/>
    </row>
    <row r="28" spans="2:13" ht="15.75">
      <c r="B28" s="52"/>
      <c r="C28" s="349"/>
      <c r="D28" s="349"/>
      <c r="E28" s="193"/>
      <c r="F28" s="194"/>
      <c r="G28" s="195"/>
      <c r="H28" s="196"/>
      <c r="I28" s="196"/>
      <c r="J28" s="195"/>
      <c r="K28" s="195"/>
      <c r="L28" s="195"/>
      <c r="M28" s="195"/>
    </row>
    <row r="29" spans="2:13" ht="15.75">
      <c r="B29" s="52"/>
      <c r="C29" s="349"/>
      <c r="D29" s="349"/>
      <c r="E29" s="193"/>
      <c r="F29" s="194"/>
      <c r="G29" s="195"/>
      <c r="H29" s="196"/>
      <c r="I29" s="196"/>
      <c r="J29" s="195"/>
      <c r="K29" s="195"/>
      <c r="L29" s="195"/>
      <c r="M29" s="195"/>
    </row>
    <row r="30" spans="2:13" ht="15.75">
      <c r="B30" s="52"/>
      <c r="C30" s="349"/>
      <c r="D30" s="349"/>
      <c r="E30" s="193"/>
      <c r="F30" s="194"/>
      <c r="G30" s="195"/>
      <c r="H30" s="196"/>
      <c r="I30" s="196"/>
      <c r="J30" s="195"/>
      <c r="K30" s="195"/>
      <c r="L30" s="195"/>
      <c r="M30" s="195"/>
    </row>
    <row r="31" spans="2:13" ht="15.75">
      <c r="B31" s="52"/>
      <c r="C31" s="349"/>
      <c r="D31" s="349"/>
      <c r="E31" s="193"/>
      <c r="F31" s="194"/>
      <c r="G31" s="195"/>
      <c r="H31" s="196"/>
      <c r="I31" s="196"/>
      <c r="J31" s="195"/>
      <c r="K31" s="195"/>
      <c r="L31" s="195"/>
      <c r="M31" s="195"/>
    </row>
    <row r="32" spans="2:13" ht="15.75">
      <c r="B32" s="197" t="s">
        <v>72</v>
      </c>
      <c r="C32" s="198"/>
      <c r="D32" s="198"/>
      <c r="E32" s="206"/>
      <c r="F32" s="200"/>
      <c r="G32" s="207">
        <f>SUM(G22:G31)</f>
        <v>2399395</v>
      </c>
      <c r="H32" s="202"/>
      <c r="I32" s="202"/>
      <c r="J32" s="207">
        <f>SUM(J22:J31)</f>
        <v>0</v>
      </c>
      <c r="K32" s="207">
        <f>SUM(K22:K31)</f>
        <v>631295</v>
      </c>
      <c r="L32" s="201">
        <f>SUM(L22:L31)</f>
        <v>0</v>
      </c>
      <c r="M32" s="207">
        <f>SUM(M22:M31)</f>
        <v>0</v>
      </c>
    </row>
    <row r="33" spans="2:13" ht="15.75">
      <c r="B33" s="190" t="s">
        <v>73</v>
      </c>
      <c r="C33" s="203"/>
      <c r="D33" s="203"/>
      <c r="E33" s="204"/>
      <c r="F33" s="182"/>
      <c r="G33" s="208"/>
      <c r="H33" s="205"/>
      <c r="I33" s="205"/>
      <c r="J33" s="182"/>
      <c r="K33" s="182"/>
      <c r="L33" s="182"/>
      <c r="M33" s="182"/>
    </row>
    <row r="34" spans="2:13" ht="15.75">
      <c r="B34" s="52"/>
      <c r="C34" s="349"/>
      <c r="D34" s="349"/>
      <c r="E34" s="193"/>
      <c r="F34" s="194"/>
      <c r="G34" s="195"/>
      <c r="H34" s="196"/>
      <c r="I34" s="196"/>
      <c r="J34" s="195"/>
      <c r="K34" s="195"/>
      <c r="L34" s="195"/>
      <c r="M34" s="195"/>
    </row>
    <row r="35" spans="2:13" ht="15.75">
      <c r="B35" s="52"/>
      <c r="C35" s="349"/>
      <c r="D35" s="349"/>
      <c r="E35" s="193"/>
      <c r="F35" s="194"/>
      <c r="G35" s="195"/>
      <c r="H35" s="196"/>
      <c r="I35" s="196"/>
      <c r="J35" s="195"/>
      <c r="K35" s="195"/>
      <c r="L35" s="195"/>
      <c r="M35" s="195"/>
    </row>
    <row r="36" spans="2:13" ht="15.75">
      <c r="B36" s="52"/>
      <c r="C36" s="349"/>
      <c r="D36" s="349"/>
      <c r="E36" s="193"/>
      <c r="F36" s="194"/>
      <c r="G36" s="195"/>
      <c r="H36" s="196"/>
      <c r="I36" s="196"/>
      <c r="J36" s="195"/>
      <c r="K36" s="195"/>
      <c r="L36" s="195"/>
      <c r="M36" s="195"/>
    </row>
    <row r="37" spans="2:13" ht="15.75">
      <c r="B37" s="52"/>
      <c r="C37" s="349"/>
      <c r="D37" s="349"/>
      <c r="E37" s="193"/>
      <c r="F37" s="194"/>
      <c r="G37" s="195"/>
      <c r="H37" s="196"/>
      <c r="I37" s="196"/>
      <c r="J37" s="195"/>
      <c r="K37" s="195"/>
      <c r="L37" s="195"/>
      <c r="M37" s="195"/>
    </row>
    <row r="38" spans="2:13" ht="15.75">
      <c r="B38" s="52"/>
      <c r="C38" s="349"/>
      <c r="D38" s="349"/>
      <c r="E38" s="193"/>
      <c r="F38" s="194"/>
      <c r="G38" s="195"/>
      <c r="H38" s="196"/>
      <c r="I38" s="196"/>
      <c r="J38" s="195"/>
      <c r="K38" s="195"/>
      <c r="L38" s="195"/>
      <c r="M38" s="195"/>
    </row>
    <row r="39" spans="2:13" ht="15.75">
      <c r="B39" s="52"/>
      <c r="C39" s="349"/>
      <c r="D39" s="349"/>
      <c r="E39" s="193"/>
      <c r="F39" s="194"/>
      <c r="G39" s="195"/>
      <c r="H39" s="196"/>
      <c r="I39" s="196"/>
      <c r="J39" s="195"/>
      <c r="K39" s="195"/>
      <c r="L39" s="195"/>
      <c r="M39" s="195"/>
    </row>
    <row r="40" spans="2:13" ht="15.75">
      <c r="B40" s="52"/>
      <c r="C40" s="349"/>
      <c r="D40" s="349"/>
      <c r="E40" s="193"/>
      <c r="F40" s="194"/>
      <c r="G40" s="195"/>
      <c r="H40" s="196"/>
      <c r="I40" s="196"/>
      <c r="J40" s="195"/>
      <c r="K40" s="195"/>
      <c r="L40" s="195"/>
      <c r="M40" s="195"/>
    </row>
    <row r="41" spans="2:29" ht="15.75">
      <c r="B41" s="52"/>
      <c r="C41" s="349"/>
      <c r="D41" s="349"/>
      <c r="E41" s="193"/>
      <c r="F41" s="194"/>
      <c r="G41" s="195"/>
      <c r="H41" s="196"/>
      <c r="I41" s="196"/>
      <c r="J41" s="195"/>
      <c r="K41" s="195"/>
      <c r="L41" s="195"/>
      <c r="M41" s="195"/>
      <c r="N41" s="8"/>
      <c r="O41" s="8"/>
      <c r="P41" s="8"/>
      <c r="Q41" s="8"/>
      <c r="R41" s="8"/>
      <c r="S41" s="8"/>
      <c r="T41" s="8"/>
      <c r="U41" s="8"/>
      <c r="V41" s="8"/>
      <c r="W41" s="8"/>
      <c r="X41" s="8"/>
      <c r="Y41" s="8"/>
      <c r="Z41" s="8"/>
      <c r="AA41" s="8"/>
      <c r="AB41" s="8"/>
      <c r="AC41" s="8"/>
    </row>
    <row r="42" spans="2:13" ht="15.75">
      <c r="B42" s="197" t="s">
        <v>203</v>
      </c>
      <c r="C42" s="181"/>
      <c r="D42" s="181"/>
      <c r="E42" s="206"/>
      <c r="F42" s="200"/>
      <c r="G42" s="207">
        <f>SUM(G34:G41)</f>
        <v>0</v>
      </c>
      <c r="H42" s="200"/>
      <c r="I42" s="200"/>
      <c r="J42" s="207">
        <f>SUM(J34:J41)</f>
        <v>0</v>
      </c>
      <c r="K42" s="207">
        <f>SUM(K34:K41)</f>
        <v>0</v>
      </c>
      <c r="L42" s="207">
        <f>SUM(L34:L41)</f>
        <v>0</v>
      </c>
      <c r="M42" s="207">
        <f>SUM(M34:M41)</f>
        <v>0</v>
      </c>
    </row>
    <row r="43" spans="2:13" ht="15.75">
      <c r="B43" s="197" t="s">
        <v>74</v>
      </c>
      <c r="C43" s="181"/>
      <c r="D43" s="181"/>
      <c r="E43" s="181"/>
      <c r="F43" s="200"/>
      <c r="G43" s="207">
        <f>SUM(G20+G32+G42)</f>
        <v>12924395</v>
      </c>
      <c r="H43" s="200"/>
      <c r="I43" s="200"/>
      <c r="J43" s="207">
        <f>SUM(J20+J32+J42)</f>
        <v>220297.5</v>
      </c>
      <c r="K43" s="207">
        <f>SUM(K20+K32+K42)</f>
        <v>3546295</v>
      </c>
      <c r="L43" s="207">
        <f>SUM(L20+L32+L42)</f>
        <v>147447.5</v>
      </c>
      <c r="M43" s="207">
        <f>SUM(M20+M32+M42)</f>
        <v>1680000</v>
      </c>
    </row>
    <row r="44" spans="2:13" ht="15.75">
      <c r="B44" s="8"/>
      <c r="C44" s="8"/>
      <c r="D44" s="8"/>
      <c r="E44" s="8"/>
      <c r="F44" s="8"/>
      <c r="G44" s="8"/>
      <c r="H44" s="8"/>
      <c r="I44" s="8"/>
      <c r="J44" s="8"/>
      <c r="K44" s="8"/>
      <c r="L44" s="8"/>
      <c r="M44" s="8"/>
    </row>
    <row r="45" spans="6:13" ht="15.75">
      <c r="F45" s="209"/>
      <c r="G45" s="209"/>
      <c r="J45" s="209"/>
      <c r="K45" s="209"/>
      <c r="L45" s="209"/>
      <c r="M45" s="209"/>
    </row>
    <row r="46" spans="6:14" ht="15.75">
      <c r="F46" s="8"/>
      <c r="H46" s="210"/>
      <c r="N46" s="8"/>
    </row>
    <row r="47" spans="2:13" ht="15.75">
      <c r="B47" s="8"/>
      <c r="C47" s="8"/>
      <c r="D47" s="8"/>
      <c r="E47" s="8"/>
      <c r="F47" s="8"/>
      <c r="G47" s="8"/>
      <c r="H47" s="8"/>
      <c r="I47" s="8"/>
      <c r="J47" s="8"/>
      <c r="K47" s="8"/>
      <c r="L47" s="8"/>
      <c r="M47" s="8"/>
    </row>
    <row r="48" spans="2:13" ht="15.75">
      <c r="B48" s="8"/>
      <c r="C48" s="8"/>
      <c r="D48" s="8"/>
      <c r="E48" s="8"/>
      <c r="F48" s="8"/>
      <c r="G48" s="8"/>
      <c r="H48" s="8"/>
      <c r="I48" s="8"/>
      <c r="J48" s="8"/>
      <c r="K48" s="8"/>
      <c r="L48" s="8"/>
      <c r="M48" s="8"/>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6"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F11" sqref="F11"/>
    </sheetView>
  </sheetViews>
  <sheetFormatPr defaultColWidth="8.796875" defaultRowHeight="15"/>
  <cols>
    <col min="1" max="1" width="10.796875" style="22" customWidth="1"/>
    <col min="2" max="2" width="23.59765625" style="22" customWidth="1"/>
    <col min="3" max="5" width="9.796875" style="22" customWidth="1"/>
    <col min="6" max="6" width="18.296875" style="22" customWidth="1"/>
    <col min="7" max="9" width="15.796875" style="22" customWidth="1"/>
    <col min="10" max="16384" width="8.8984375" style="22" customWidth="1"/>
  </cols>
  <sheetData>
    <row r="1" spans="2:9" ht="15.75">
      <c r="B1" s="150" t="str">
        <f>inputPrYr!$D$2</f>
        <v>City of Merriam</v>
      </c>
      <c r="C1" s="21"/>
      <c r="D1" s="21"/>
      <c r="E1" s="21"/>
      <c r="F1" s="21"/>
      <c r="G1" s="21"/>
      <c r="H1" s="21"/>
      <c r="I1" s="211">
        <f>inputPrYr!$C$5</f>
        <v>2014</v>
      </c>
    </row>
    <row r="2" spans="2:9" ht="15.75">
      <c r="B2" s="150"/>
      <c r="C2" s="21"/>
      <c r="D2" s="21"/>
      <c r="E2" s="21"/>
      <c r="F2" s="21"/>
      <c r="G2" s="21"/>
      <c r="H2" s="21"/>
      <c r="I2" s="146"/>
    </row>
    <row r="3" spans="2:9" ht="15.75">
      <c r="B3" s="21"/>
      <c r="C3" s="21"/>
      <c r="D3" s="21"/>
      <c r="E3" s="21"/>
      <c r="F3" s="21"/>
      <c r="G3" s="21"/>
      <c r="H3" s="21"/>
      <c r="I3" s="118"/>
    </row>
    <row r="4" spans="2:9" ht="15.75">
      <c r="B4" s="185" t="s">
        <v>88</v>
      </c>
      <c r="C4" s="32"/>
      <c r="D4" s="32"/>
      <c r="E4" s="32"/>
      <c r="F4" s="32"/>
      <c r="G4" s="32"/>
      <c r="H4" s="32"/>
      <c r="I4" s="32"/>
    </row>
    <row r="5" spans="2:9" ht="15.75">
      <c r="B5" s="54"/>
      <c r="C5" s="186"/>
      <c r="D5" s="186"/>
      <c r="E5" s="186"/>
      <c r="F5" s="186"/>
      <c r="G5" s="186"/>
      <c r="H5" s="186"/>
      <c r="I5" s="186"/>
    </row>
    <row r="6" spans="2:9" ht="15.75">
      <c r="B6" s="132"/>
      <c r="C6" s="132"/>
      <c r="D6" s="132"/>
      <c r="E6" s="132"/>
      <c r="F6" s="165" t="s">
        <v>336</v>
      </c>
      <c r="G6" s="132"/>
      <c r="H6" s="132"/>
      <c r="I6" s="132"/>
    </row>
    <row r="7" spans="2:9" ht="15.75">
      <c r="B7" s="133"/>
      <c r="C7" s="126"/>
      <c r="D7" s="126" t="s">
        <v>75</v>
      </c>
      <c r="E7" s="126" t="s">
        <v>76</v>
      </c>
      <c r="F7" s="126" t="s">
        <v>17</v>
      </c>
      <c r="G7" s="126" t="s">
        <v>78</v>
      </c>
      <c r="H7" s="126" t="s">
        <v>79</v>
      </c>
      <c r="I7" s="126" t="s">
        <v>79</v>
      </c>
    </row>
    <row r="8" spans="2:9" ht="15.75">
      <c r="B8" s="133"/>
      <c r="C8" s="126" t="s">
        <v>80</v>
      </c>
      <c r="D8" s="126" t="s">
        <v>81</v>
      </c>
      <c r="E8" s="126" t="s">
        <v>65</v>
      </c>
      <c r="F8" s="126" t="s">
        <v>82</v>
      </c>
      <c r="G8" s="126" t="s">
        <v>128</v>
      </c>
      <c r="H8" s="126" t="s">
        <v>83</v>
      </c>
      <c r="I8" s="126" t="s">
        <v>83</v>
      </c>
    </row>
    <row r="9" spans="2:9" ht="15.75">
      <c r="B9" s="129" t="s">
        <v>84</v>
      </c>
      <c r="C9" s="129" t="s">
        <v>62</v>
      </c>
      <c r="D9" s="212" t="s">
        <v>85</v>
      </c>
      <c r="E9" s="129" t="s">
        <v>42</v>
      </c>
      <c r="F9" s="212" t="s">
        <v>152</v>
      </c>
      <c r="G9" s="213" t="str">
        <f>CONCATENATE("Jan 1 ",I1-1,"")</f>
        <v>Jan 1 2013</v>
      </c>
      <c r="H9" s="129">
        <f>I1-1</f>
        <v>2013</v>
      </c>
      <c r="I9" s="129">
        <f>I1</f>
        <v>2014</v>
      </c>
    </row>
    <row r="10" spans="2:9" ht="15.75">
      <c r="B10" s="52"/>
      <c r="C10" s="214"/>
      <c r="D10" s="215"/>
      <c r="E10" s="193"/>
      <c r="F10" s="194"/>
      <c r="G10" s="194"/>
      <c r="H10" s="194"/>
      <c r="I10" s="194"/>
    </row>
    <row r="11" spans="2:9" ht="15.75">
      <c r="B11" s="52"/>
      <c r="C11" s="214"/>
      <c r="D11" s="215"/>
      <c r="E11" s="193"/>
      <c r="F11" s="194" t="s">
        <v>1014</v>
      </c>
      <c r="G11" s="194"/>
      <c r="H11" s="194"/>
      <c r="I11" s="194"/>
    </row>
    <row r="12" spans="2:9" ht="15.75">
      <c r="B12" s="52"/>
      <c r="C12" s="214"/>
      <c r="D12" s="215"/>
      <c r="E12" s="193"/>
      <c r="F12" s="194"/>
      <c r="G12" s="194"/>
      <c r="H12" s="194"/>
      <c r="I12" s="194"/>
    </row>
    <row r="13" spans="2:9" ht="15.75">
      <c r="B13" s="52"/>
      <c r="C13" s="214"/>
      <c r="D13" s="215"/>
      <c r="E13" s="193"/>
      <c r="F13" s="194"/>
      <c r="G13" s="194"/>
      <c r="H13" s="194"/>
      <c r="I13" s="194"/>
    </row>
    <row r="14" spans="2:9" ht="15.75">
      <c r="B14" s="52"/>
      <c r="C14" s="349"/>
      <c r="D14" s="215"/>
      <c r="E14" s="193"/>
      <c r="F14" s="194"/>
      <c r="G14" s="194"/>
      <c r="H14" s="194"/>
      <c r="I14" s="194"/>
    </row>
    <row r="15" spans="2:9" ht="15.75">
      <c r="B15" s="52"/>
      <c r="C15" s="214"/>
      <c r="D15" s="215"/>
      <c r="E15" s="193"/>
      <c r="F15" s="194"/>
      <c r="G15" s="194"/>
      <c r="H15" s="194"/>
      <c r="I15" s="194"/>
    </row>
    <row r="16" spans="2:9" ht="15.75">
      <c r="B16" s="52"/>
      <c r="C16" s="214"/>
      <c r="D16" s="215"/>
      <c r="E16" s="193"/>
      <c r="F16" s="194"/>
      <c r="G16" s="194"/>
      <c r="H16" s="194"/>
      <c r="I16" s="194"/>
    </row>
    <row r="17" spans="2:9" ht="15.75">
      <c r="B17" s="52"/>
      <c r="C17" s="214"/>
      <c r="D17" s="215"/>
      <c r="E17" s="193"/>
      <c r="F17" s="194"/>
      <c r="G17" s="194"/>
      <c r="H17" s="194"/>
      <c r="I17" s="194"/>
    </row>
    <row r="18" spans="2:9" ht="15.75">
      <c r="B18" s="52"/>
      <c r="C18" s="214"/>
      <c r="D18" s="215"/>
      <c r="E18" s="193"/>
      <c r="F18" s="194"/>
      <c r="G18" s="194"/>
      <c r="H18" s="194"/>
      <c r="I18" s="194"/>
    </row>
    <row r="19" spans="2:9" ht="15.75">
      <c r="B19" s="52"/>
      <c r="C19" s="214"/>
      <c r="D19" s="215"/>
      <c r="E19" s="193"/>
      <c r="F19" s="194"/>
      <c r="G19" s="194"/>
      <c r="H19" s="194"/>
      <c r="I19" s="194"/>
    </row>
    <row r="20" spans="2:9" ht="15.75">
      <c r="B20" s="52"/>
      <c r="C20" s="214"/>
      <c r="D20" s="215"/>
      <c r="E20" s="193"/>
      <c r="F20" s="194"/>
      <c r="G20" s="194"/>
      <c r="H20" s="194"/>
      <c r="I20" s="194"/>
    </row>
    <row r="21" spans="2:9" ht="15.75">
      <c r="B21" s="52"/>
      <c r="C21" s="214"/>
      <c r="D21" s="215"/>
      <c r="E21" s="193"/>
      <c r="F21" s="194"/>
      <c r="G21" s="194"/>
      <c r="H21" s="194"/>
      <c r="I21" s="194"/>
    </row>
    <row r="22" spans="2:9" ht="15.75">
      <c r="B22" s="52"/>
      <c r="C22" s="214"/>
      <c r="D22" s="215"/>
      <c r="E22" s="193"/>
      <c r="F22" s="194"/>
      <c r="G22" s="194"/>
      <c r="H22" s="194"/>
      <c r="I22" s="194"/>
    </row>
    <row r="23" spans="2:9" ht="15.75">
      <c r="B23" s="52"/>
      <c r="C23" s="214"/>
      <c r="D23" s="215"/>
      <c r="E23" s="193"/>
      <c r="F23" s="194"/>
      <c r="G23" s="194"/>
      <c r="H23" s="194"/>
      <c r="I23" s="194"/>
    </row>
    <row r="24" spans="2:9" ht="15.75">
      <c r="B24" s="52"/>
      <c r="C24" s="214"/>
      <c r="D24" s="215"/>
      <c r="E24" s="193"/>
      <c r="F24" s="194"/>
      <c r="G24" s="194"/>
      <c r="H24" s="194"/>
      <c r="I24" s="194"/>
    </row>
    <row r="25" spans="2:9" ht="15.75">
      <c r="B25" s="52"/>
      <c r="C25" s="214"/>
      <c r="D25" s="215"/>
      <c r="E25" s="193"/>
      <c r="F25" s="194"/>
      <c r="G25" s="194"/>
      <c r="H25" s="194"/>
      <c r="I25" s="194"/>
    </row>
    <row r="26" spans="2:9" ht="15.75">
      <c r="B26" s="52"/>
      <c r="C26" s="214"/>
      <c r="D26" s="215"/>
      <c r="E26" s="193"/>
      <c r="F26" s="194"/>
      <c r="G26" s="194"/>
      <c r="H26" s="194"/>
      <c r="I26" s="194"/>
    </row>
    <row r="27" spans="2:9" ht="15.75">
      <c r="B27" s="52"/>
      <c r="C27" s="214"/>
      <c r="D27" s="215"/>
      <c r="E27" s="193"/>
      <c r="F27" s="194"/>
      <c r="G27" s="194"/>
      <c r="H27" s="194"/>
      <c r="I27" s="194"/>
    </row>
    <row r="28" spans="2:9" ht="16.5" thickBot="1">
      <c r="B28" s="216" t="s">
        <v>12</v>
      </c>
      <c r="C28" s="149"/>
      <c r="D28" s="149"/>
      <c r="E28" s="149"/>
      <c r="F28" s="149"/>
      <c r="G28" s="217">
        <f>SUM(G10:G27)</f>
        <v>0</v>
      </c>
      <c r="H28" s="217">
        <f>SUM(H10:H27)</f>
        <v>0</v>
      </c>
      <c r="I28" s="217">
        <f>SUM(I10:I27)</f>
        <v>0</v>
      </c>
    </row>
    <row r="29" spans="2:9" ht="16.5" thickTop="1">
      <c r="B29" s="21"/>
      <c r="C29" s="21"/>
      <c r="D29" s="21"/>
      <c r="E29" s="21"/>
      <c r="F29" s="21"/>
      <c r="G29" s="21"/>
      <c r="H29" s="150"/>
      <c r="I29" s="150"/>
    </row>
    <row r="30" spans="2:9" ht="15.75">
      <c r="B30" s="218" t="s">
        <v>280</v>
      </c>
      <c r="C30" s="219"/>
      <c r="D30" s="219"/>
      <c r="E30" s="219"/>
      <c r="F30" s="219"/>
      <c r="G30" s="219"/>
      <c r="H30" s="150"/>
      <c r="I30" s="150"/>
    </row>
  </sheetData>
  <sheetProtection sheet="1"/>
  <printOptions/>
  <pageMargins left="0.25" right="0.25" top="1" bottom="0.5" header="0.5" footer="0.5"/>
  <pageSetup blackAndWhite="1" fitToHeight="1" fitToWidth="1" horizontalDpi="120" verticalDpi="120" orientation="landscape" scale="88"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31">
      <selection activeCell="P15" sqref="P15"/>
    </sheetView>
  </sheetViews>
  <sheetFormatPr defaultColWidth="8.796875" defaultRowHeight="15"/>
  <cols>
    <col min="1" max="1" width="2.59765625" style="627" customWidth="1"/>
    <col min="2" max="4" width="8.8984375" style="627" customWidth="1"/>
    <col min="5" max="5" width="9.69921875" style="627" customWidth="1"/>
    <col min="6" max="6" width="8.8984375" style="627" customWidth="1"/>
    <col min="7" max="7" width="9.69921875" style="627" customWidth="1"/>
    <col min="8" max="16384" width="8.8984375" style="627" customWidth="1"/>
  </cols>
  <sheetData>
    <row r="1" spans="2:9" ht="15.75">
      <c r="B1" s="626"/>
      <c r="C1" s="626"/>
      <c r="D1" s="626"/>
      <c r="E1" s="626"/>
      <c r="F1" s="626"/>
      <c r="G1" s="626"/>
      <c r="H1" s="626"/>
      <c r="I1" s="626"/>
    </row>
    <row r="2" spans="2:9" ht="15.75">
      <c r="B2" s="830" t="s">
        <v>818</v>
      </c>
      <c r="C2" s="830"/>
      <c r="D2" s="830"/>
      <c r="E2" s="830"/>
      <c r="F2" s="830"/>
      <c r="G2" s="830"/>
      <c r="H2" s="830"/>
      <c r="I2" s="830"/>
    </row>
    <row r="3" spans="2:9" ht="15.75">
      <c r="B3" s="830" t="s">
        <v>819</v>
      </c>
      <c r="C3" s="830"/>
      <c r="D3" s="830"/>
      <c r="E3" s="830"/>
      <c r="F3" s="830"/>
      <c r="G3" s="830"/>
      <c r="H3" s="830"/>
      <c r="I3" s="830"/>
    </row>
    <row r="4" spans="2:9" ht="15.75">
      <c r="B4" s="628"/>
      <c r="C4" s="628"/>
      <c r="D4" s="628"/>
      <c r="E4" s="628"/>
      <c r="F4" s="628"/>
      <c r="G4" s="628"/>
      <c r="H4" s="628"/>
      <c r="I4" s="628"/>
    </row>
    <row r="5" spans="2:9" ht="15.75">
      <c r="B5" s="831" t="str">
        <f>CONCATENATE("Budgeted Year: ",inputPrYr!C5,"")</f>
        <v>Budgeted Year: 2014</v>
      </c>
      <c r="C5" s="831"/>
      <c r="D5" s="831"/>
      <c r="E5" s="831"/>
      <c r="F5" s="831"/>
      <c r="G5" s="831"/>
      <c r="H5" s="831"/>
      <c r="I5" s="831"/>
    </row>
    <row r="6" spans="2:9" ht="15.75">
      <c r="B6" s="629"/>
      <c r="C6" s="628"/>
      <c r="D6" s="628"/>
      <c r="E6" s="628"/>
      <c r="F6" s="628"/>
      <c r="G6" s="628"/>
      <c r="H6" s="628"/>
      <c r="I6" s="628"/>
    </row>
    <row r="7" spans="2:9" ht="15.75">
      <c r="B7" s="629" t="str">
        <f>CONCATENATE("Library found in: ",inputPrYr!D2,"")</f>
        <v>Library found in: City of Merriam</v>
      </c>
      <c r="C7" s="628"/>
      <c r="D7" s="628"/>
      <c r="E7" s="628"/>
      <c r="F7" s="628"/>
      <c r="G7" s="628"/>
      <c r="H7" s="628"/>
      <c r="I7" s="628"/>
    </row>
    <row r="8" spans="2:9" ht="15.75">
      <c r="B8" s="629" t="str">
        <f>inputPrYr!D3</f>
        <v>Johnson County</v>
      </c>
      <c r="C8" s="628"/>
      <c r="D8" s="628"/>
      <c r="E8" s="628"/>
      <c r="F8" s="628"/>
      <c r="G8" s="628"/>
      <c r="H8" s="628"/>
      <c r="I8" s="628"/>
    </row>
    <row r="9" spans="2:9" ht="15.75">
      <c r="B9" s="628"/>
      <c r="C9" s="628"/>
      <c r="D9" s="628"/>
      <c r="E9" s="628"/>
      <c r="F9" s="628"/>
      <c r="G9" s="628"/>
      <c r="H9" s="628"/>
      <c r="I9" s="628"/>
    </row>
    <row r="10" spans="2:9" ht="39" customHeight="1">
      <c r="B10" s="832" t="s">
        <v>820</v>
      </c>
      <c r="C10" s="832"/>
      <c r="D10" s="832"/>
      <c r="E10" s="832"/>
      <c r="F10" s="832"/>
      <c r="G10" s="832"/>
      <c r="H10" s="832"/>
      <c r="I10" s="832"/>
    </row>
    <row r="11" spans="2:9" ht="15.75">
      <c r="B11" s="628"/>
      <c r="C11" s="628"/>
      <c r="D11" s="628"/>
      <c r="E11" s="628"/>
      <c r="F11" s="628"/>
      <c r="G11" s="628"/>
      <c r="H11" s="628"/>
      <c r="I11" s="628"/>
    </row>
    <row r="12" spans="2:9" ht="15.75">
      <c r="B12" s="630" t="s">
        <v>821</v>
      </c>
      <c r="C12" s="628"/>
      <c r="D12" s="628"/>
      <c r="E12" s="628"/>
      <c r="F12" s="628"/>
      <c r="G12" s="628"/>
      <c r="H12" s="628"/>
      <c r="I12" s="628"/>
    </row>
    <row r="13" spans="2:9" ht="15.75">
      <c r="B13" s="628"/>
      <c r="C13" s="628"/>
      <c r="D13" s="628"/>
      <c r="E13" s="631" t="s">
        <v>812</v>
      </c>
      <c r="F13" s="628"/>
      <c r="G13" s="631" t="s">
        <v>822</v>
      </c>
      <c r="H13" s="628"/>
      <c r="I13" s="628"/>
    </row>
    <row r="14" spans="2:9" ht="15.75">
      <c r="B14" s="628"/>
      <c r="C14" s="628"/>
      <c r="D14" s="628"/>
      <c r="E14" s="632">
        <f>inputPrYr!C5-1</f>
        <v>2013</v>
      </c>
      <c r="F14" s="628"/>
      <c r="G14" s="632">
        <f>inputPrYr!C5</f>
        <v>2014</v>
      </c>
      <c r="H14" s="628"/>
      <c r="I14" s="628"/>
    </row>
    <row r="15" spans="2:9" ht="15.75">
      <c r="B15" s="629" t="str">
        <f>'DebtSvs-Library'!B48</f>
        <v>Ad Valorem Tax</v>
      </c>
      <c r="C15" s="628"/>
      <c r="D15" s="628"/>
      <c r="E15" s="633">
        <f>'DebtSvs-Library'!D48</f>
        <v>0</v>
      </c>
      <c r="F15" s="628"/>
      <c r="G15" s="633">
        <f>'DebtSvs-Library'!E80</f>
        <v>0</v>
      </c>
      <c r="H15" s="628"/>
      <c r="I15" s="628"/>
    </row>
    <row r="16" spans="2:9" ht="15.75">
      <c r="B16" s="629" t="str">
        <f>'DebtSvs-Library'!B49</f>
        <v>Delinquent Tax</v>
      </c>
      <c r="C16" s="628"/>
      <c r="D16" s="628"/>
      <c r="E16" s="633">
        <f>'DebtSvs-Library'!D49</f>
        <v>0</v>
      </c>
      <c r="F16" s="628"/>
      <c r="G16" s="633">
        <f>'DebtSvs-Library'!E49</f>
        <v>0</v>
      </c>
      <c r="H16" s="628"/>
      <c r="I16" s="628"/>
    </row>
    <row r="17" spans="2:9" ht="15.75">
      <c r="B17" s="629" t="str">
        <f>'DebtSvs-Library'!B50</f>
        <v>Motor Vehicle Tax</v>
      </c>
      <c r="C17" s="628"/>
      <c r="D17" s="628"/>
      <c r="E17" s="633">
        <f>'DebtSvs-Library'!D50</f>
        <v>0</v>
      </c>
      <c r="F17" s="628"/>
      <c r="G17" s="633" t="str">
        <f>'DebtSvs-Library'!E50</f>
        <v>  </v>
      </c>
      <c r="H17" s="628"/>
      <c r="I17" s="628"/>
    </row>
    <row r="18" spans="2:9" ht="15.75">
      <c r="B18" s="629" t="str">
        <f>'DebtSvs-Library'!B51</f>
        <v>Recreational Vehicle Tax</v>
      </c>
      <c r="C18" s="628"/>
      <c r="D18" s="628"/>
      <c r="E18" s="633">
        <f>'DebtSvs-Library'!D51</f>
        <v>0</v>
      </c>
      <c r="F18" s="628"/>
      <c r="G18" s="633" t="str">
        <f>'DebtSvs-Library'!E51</f>
        <v> </v>
      </c>
      <c r="H18" s="628"/>
      <c r="I18" s="628"/>
    </row>
    <row r="19" spans="2:9" ht="15.75">
      <c r="B19" s="629" t="str">
        <f>'DebtSvs-Library'!B52</f>
        <v>16/20M Vehicle Tax</v>
      </c>
      <c r="C19" s="628"/>
      <c r="D19" s="628"/>
      <c r="E19" s="633">
        <f>'DebtSvs-Library'!D52</f>
        <v>0</v>
      </c>
      <c r="F19" s="628"/>
      <c r="G19" s="633" t="str">
        <f>'DebtSvs-Library'!E52</f>
        <v> </v>
      </c>
      <c r="H19" s="628"/>
      <c r="I19" s="628"/>
    </row>
    <row r="20" spans="2:9" ht="15.75">
      <c r="B20" s="628" t="s">
        <v>171</v>
      </c>
      <c r="C20" s="628"/>
      <c r="D20" s="628"/>
      <c r="E20" s="633">
        <v>0</v>
      </c>
      <c r="F20" s="628"/>
      <c r="G20" s="633">
        <v>0</v>
      </c>
      <c r="H20" s="628"/>
      <c r="I20" s="628"/>
    </row>
    <row r="21" spans="2:9" ht="15.75">
      <c r="B21" s="628"/>
      <c r="C21" s="628"/>
      <c r="D21" s="628"/>
      <c r="E21" s="633">
        <v>0</v>
      </c>
      <c r="F21" s="628"/>
      <c r="G21" s="633">
        <v>0</v>
      </c>
      <c r="H21" s="628"/>
      <c r="I21" s="628"/>
    </row>
    <row r="22" spans="2:9" ht="15.75">
      <c r="B22" s="628" t="s">
        <v>823</v>
      </c>
      <c r="C22" s="628"/>
      <c r="D22" s="628"/>
      <c r="E22" s="634">
        <f>SUM(E15:E21)</f>
        <v>0</v>
      </c>
      <c r="F22" s="628"/>
      <c r="G22" s="634">
        <f>SUM(G15:G21)</f>
        <v>0</v>
      </c>
      <c r="H22" s="628"/>
      <c r="I22" s="628"/>
    </row>
    <row r="23" spans="2:9" ht="15.75">
      <c r="B23" s="628" t="s">
        <v>824</v>
      </c>
      <c r="C23" s="628"/>
      <c r="D23" s="628"/>
      <c r="E23" s="635">
        <f>G22-E22</f>
        <v>0</v>
      </c>
      <c r="F23" s="628"/>
      <c r="G23" s="636"/>
      <c r="H23" s="628"/>
      <c r="I23" s="628"/>
    </row>
    <row r="24" spans="2:9" ht="15.75">
      <c r="B24" s="628" t="s">
        <v>825</v>
      </c>
      <c r="C24" s="628"/>
      <c r="D24" s="637" t="str">
        <f>IF((G22-E22)&gt;0,"Qualify","Not Qualify")</f>
        <v>Not Qualify</v>
      </c>
      <c r="E24" s="628"/>
      <c r="F24" s="628"/>
      <c r="G24" s="628"/>
      <c r="H24" s="628"/>
      <c r="I24" s="628"/>
    </row>
    <row r="25" spans="2:9" ht="15.75">
      <c r="B25" s="628"/>
      <c r="C25" s="628"/>
      <c r="D25" s="628"/>
      <c r="E25" s="628"/>
      <c r="F25" s="628"/>
      <c r="G25" s="628"/>
      <c r="H25" s="628"/>
      <c r="I25" s="628"/>
    </row>
    <row r="26" spans="2:9" ht="15.75">
      <c r="B26" s="630" t="s">
        <v>826</v>
      </c>
      <c r="C26" s="628"/>
      <c r="D26" s="628"/>
      <c r="E26" s="628"/>
      <c r="F26" s="628"/>
      <c r="G26" s="628"/>
      <c r="H26" s="628"/>
      <c r="I26" s="628"/>
    </row>
    <row r="27" spans="2:9" ht="15.75">
      <c r="B27" s="628" t="s">
        <v>827</v>
      </c>
      <c r="C27" s="628"/>
      <c r="D27" s="628"/>
      <c r="E27" s="633">
        <f>summ!D48</f>
        <v>144859898</v>
      </c>
      <c r="F27" s="628"/>
      <c r="G27" s="633">
        <f>summ!F48</f>
        <v>149862149</v>
      </c>
      <c r="H27" s="628"/>
      <c r="I27" s="628"/>
    </row>
    <row r="28" spans="2:9" ht="15.75">
      <c r="B28" s="628" t="s">
        <v>828</v>
      </c>
      <c r="C28" s="628"/>
      <c r="D28" s="628"/>
      <c r="E28" s="638" t="str">
        <f>IF(G27-E27&gt;=0,"No","Yes")</f>
        <v>No</v>
      </c>
      <c r="F28" s="628"/>
      <c r="G28" s="628"/>
      <c r="H28" s="628"/>
      <c r="I28" s="628"/>
    </row>
    <row r="29" spans="2:9" ht="15.75">
      <c r="B29" s="628" t="s">
        <v>829</v>
      </c>
      <c r="C29" s="628"/>
      <c r="D29" s="628"/>
      <c r="E29" s="631" t="str">
        <f>summ!E18</f>
        <v>  </v>
      </c>
      <c r="F29" s="628"/>
      <c r="G29" s="646" t="str">
        <f>summ!H18</f>
        <v> </v>
      </c>
      <c r="H29" s="628"/>
      <c r="I29" s="628"/>
    </row>
    <row r="30" spans="2:9" ht="15.75">
      <c r="B30" s="628" t="s">
        <v>830</v>
      </c>
      <c r="C30" s="628"/>
      <c r="D30" s="628"/>
      <c r="E30" s="647" t="e">
        <f>G29-E29</f>
        <v>#VALUE!</v>
      </c>
      <c r="F30" s="628"/>
      <c r="G30" s="628"/>
      <c r="H30" s="628"/>
      <c r="I30" s="628"/>
    </row>
    <row r="31" spans="2:9" ht="15.75">
      <c r="B31" s="628" t="s">
        <v>825</v>
      </c>
      <c r="C31" s="628"/>
      <c r="D31" s="639" t="e">
        <f>IF(E30&gt;=0,"Qualify","Not Qualify")</f>
        <v>#VALUE!</v>
      </c>
      <c r="E31" s="628"/>
      <c r="F31" s="628"/>
      <c r="G31" s="628"/>
      <c r="H31" s="628"/>
      <c r="I31" s="628"/>
    </row>
    <row r="32" spans="2:9" ht="15.75">
      <c r="B32" s="628"/>
      <c r="C32" s="628"/>
      <c r="D32" s="628"/>
      <c r="E32" s="628"/>
      <c r="F32" s="628"/>
      <c r="G32" s="628"/>
      <c r="H32" s="628"/>
      <c r="I32" s="628"/>
    </row>
    <row r="33" spans="2:9" ht="15.75">
      <c r="B33" s="628" t="s">
        <v>831</v>
      </c>
      <c r="C33" s="628"/>
      <c r="D33" s="628"/>
      <c r="E33" s="628"/>
      <c r="F33" s="648" t="e">
        <f>IF(D24="Not Qualify",IF(D31="Not Qualify",IF(D31="Not Qualify","Not Qualify","Qualify"),"Qualify"),"Qualify")</f>
        <v>#VALUE!</v>
      </c>
      <c r="G33" s="628"/>
      <c r="H33" s="628"/>
      <c r="I33" s="628"/>
    </row>
    <row r="34" spans="2:9" ht="15.75">
      <c r="B34" s="628"/>
      <c r="C34" s="628"/>
      <c r="D34" s="628"/>
      <c r="E34" s="628"/>
      <c r="F34" s="628"/>
      <c r="G34" s="628"/>
      <c r="H34" s="628"/>
      <c r="I34" s="628"/>
    </row>
    <row r="35" spans="2:9" ht="15.75">
      <c r="B35" s="628"/>
      <c r="C35" s="628"/>
      <c r="D35" s="628"/>
      <c r="E35" s="628"/>
      <c r="F35" s="628"/>
      <c r="G35" s="628"/>
      <c r="H35" s="628"/>
      <c r="I35" s="628"/>
    </row>
    <row r="36" spans="2:9" ht="37.5" customHeight="1">
      <c r="B36" s="832" t="s">
        <v>832</v>
      </c>
      <c r="C36" s="832"/>
      <c r="D36" s="832"/>
      <c r="E36" s="832"/>
      <c r="F36" s="832"/>
      <c r="G36" s="832"/>
      <c r="H36" s="832"/>
      <c r="I36" s="832"/>
    </row>
    <row r="37" spans="2:9" ht="15.75">
      <c r="B37" s="628"/>
      <c r="C37" s="628"/>
      <c r="D37" s="628"/>
      <c r="E37" s="628"/>
      <c r="F37" s="628"/>
      <c r="G37" s="628"/>
      <c r="H37" s="628"/>
      <c r="I37" s="628"/>
    </row>
    <row r="38" spans="2:9" ht="15.75">
      <c r="B38" s="628"/>
      <c r="C38" s="628"/>
      <c r="D38" s="628"/>
      <c r="E38" s="628"/>
      <c r="F38" s="628"/>
      <c r="G38" s="628"/>
      <c r="H38" s="628"/>
      <c r="I38" s="628"/>
    </row>
    <row r="39" spans="2:9" ht="15.75">
      <c r="B39" s="628"/>
      <c r="C39" s="628"/>
      <c r="D39" s="628"/>
      <c r="E39" s="628"/>
      <c r="F39" s="628"/>
      <c r="G39" s="628"/>
      <c r="H39" s="628"/>
      <c r="I39" s="628"/>
    </row>
    <row r="40" spans="2:9" ht="15.75">
      <c r="B40" s="628"/>
      <c r="C40" s="628"/>
      <c r="D40" s="628"/>
      <c r="E40" s="645" t="s">
        <v>35</v>
      </c>
      <c r="F40" s="644">
        <v>7</v>
      </c>
      <c r="G40" s="628"/>
      <c r="H40" s="628"/>
      <c r="I40" s="628"/>
    </row>
    <row r="41" spans="2:9" ht="15.75">
      <c r="B41" s="628"/>
      <c r="C41" s="628"/>
      <c r="D41" s="628"/>
      <c r="E41" s="628"/>
      <c r="F41" s="628"/>
      <c r="G41" s="628"/>
      <c r="H41" s="628"/>
      <c r="I41" s="628"/>
    </row>
    <row r="42" spans="2:9" ht="15.75">
      <c r="B42" s="628"/>
      <c r="C42" s="628"/>
      <c r="D42" s="628"/>
      <c r="E42" s="628"/>
      <c r="F42" s="628"/>
      <c r="G42" s="628"/>
      <c r="H42" s="628"/>
      <c r="I42" s="628"/>
    </row>
    <row r="43" spans="2:9" ht="15.75">
      <c r="B43" s="833" t="s">
        <v>833</v>
      </c>
      <c r="C43" s="834"/>
      <c r="D43" s="834"/>
      <c r="E43" s="834"/>
      <c r="F43" s="834"/>
      <c r="G43" s="834"/>
      <c r="H43" s="834"/>
      <c r="I43" s="834"/>
    </row>
    <row r="44" spans="2:9" ht="15.75">
      <c r="B44" s="628"/>
      <c r="C44" s="628"/>
      <c r="D44" s="628"/>
      <c r="E44" s="628"/>
      <c r="F44" s="628"/>
      <c r="G44" s="628"/>
      <c r="H44" s="628"/>
      <c r="I44" s="628"/>
    </row>
    <row r="45" spans="2:9" ht="15.75">
      <c r="B45" s="640" t="s">
        <v>834</v>
      </c>
      <c r="C45" s="628"/>
      <c r="D45" s="628"/>
      <c r="E45" s="628"/>
      <c r="F45" s="628"/>
      <c r="G45" s="628"/>
      <c r="H45" s="628"/>
      <c r="I45" s="628"/>
    </row>
    <row r="46" spans="2:9" ht="15.75">
      <c r="B46" s="640" t="str">
        <f>CONCATENATE("sources in your ",G14," library fund is not equal to or greater than the amount from the same")</f>
        <v>sources in your 2014 library fund is not equal to or greater than the amount from the same</v>
      </c>
      <c r="C46" s="628"/>
      <c r="D46" s="628"/>
      <c r="E46" s="628"/>
      <c r="F46" s="628"/>
      <c r="G46" s="628"/>
      <c r="H46" s="628"/>
      <c r="I46" s="628"/>
    </row>
    <row r="47" spans="2:9" ht="15.75">
      <c r="B47" s="640" t="str">
        <f>CONCATENATE("sources in ",E14,".")</f>
        <v>sources in 2013.</v>
      </c>
      <c r="C47" s="626"/>
      <c r="D47" s="626"/>
      <c r="E47" s="626"/>
      <c r="F47" s="626"/>
      <c r="G47" s="626"/>
      <c r="H47" s="626"/>
      <c r="I47" s="626"/>
    </row>
    <row r="48" spans="2:9" ht="15.75">
      <c r="B48" s="626"/>
      <c r="C48" s="626"/>
      <c r="D48" s="626"/>
      <c r="E48" s="626"/>
      <c r="F48" s="626"/>
      <c r="G48" s="626"/>
      <c r="H48" s="626"/>
      <c r="I48" s="626"/>
    </row>
    <row r="49" spans="2:9" ht="15.75">
      <c r="B49" s="640" t="s">
        <v>835</v>
      </c>
      <c r="C49" s="640"/>
      <c r="D49" s="641"/>
      <c r="E49" s="641"/>
      <c r="F49" s="641"/>
      <c r="G49" s="641"/>
      <c r="H49" s="641"/>
      <c r="I49" s="641"/>
    </row>
    <row r="50" spans="2:9" ht="15.75">
      <c r="B50" s="640" t="s">
        <v>836</v>
      </c>
      <c r="C50" s="640"/>
      <c r="D50" s="641"/>
      <c r="E50" s="641"/>
      <c r="F50" s="641"/>
      <c r="G50" s="641"/>
      <c r="H50" s="641"/>
      <c r="I50" s="641"/>
    </row>
    <row r="51" spans="2:9" ht="15.75">
      <c r="B51" s="640" t="s">
        <v>837</v>
      </c>
      <c r="C51" s="640"/>
      <c r="D51" s="641"/>
      <c r="E51" s="641"/>
      <c r="F51" s="641"/>
      <c r="G51" s="641"/>
      <c r="H51" s="641"/>
      <c r="I51" s="641"/>
    </row>
    <row r="52" spans="2:9" ht="15">
      <c r="B52" s="641"/>
      <c r="C52" s="641"/>
      <c r="D52" s="641"/>
      <c r="E52" s="641"/>
      <c r="F52" s="641"/>
      <c r="G52" s="641"/>
      <c r="H52" s="641"/>
      <c r="I52" s="641"/>
    </row>
    <row r="53" spans="2:9" ht="15.75">
      <c r="B53" s="642" t="s">
        <v>838</v>
      </c>
      <c r="C53" s="641"/>
      <c r="D53" s="641"/>
      <c r="E53" s="641"/>
      <c r="F53" s="641"/>
      <c r="G53" s="641"/>
      <c r="H53" s="641"/>
      <c r="I53" s="641"/>
    </row>
    <row r="54" spans="2:9" ht="15">
      <c r="B54" s="641"/>
      <c r="C54" s="641"/>
      <c r="D54" s="641"/>
      <c r="E54" s="641"/>
      <c r="F54" s="641"/>
      <c r="G54" s="641"/>
      <c r="H54" s="641"/>
      <c r="I54" s="641"/>
    </row>
    <row r="55" spans="2:9" ht="15.75">
      <c r="B55" s="640" t="s">
        <v>839</v>
      </c>
      <c r="C55" s="641"/>
      <c r="D55" s="641"/>
      <c r="E55" s="641"/>
      <c r="F55" s="641"/>
      <c r="G55" s="641"/>
      <c r="H55" s="641"/>
      <c r="I55" s="641"/>
    </row>
    <row r="56" spans="2:9" ht="15.75">
      <c r="B56" s="640" t="s">
        <v>840</v>
      </c>
      <c r="C56" s="641"/>
      <c r="D56" s="641"/>
      <c r="E56" s="641"/>
      <c r="F56" s="641"/>
      <c r="G56" s="641"/>
      <c r="H56" s="641"/>
      <c r="I56" s="641"/>
    </row>
    <row r="57" spans="2:9" ht="15">
      <c r="B57" s="641"/>
      <c r="C57" s="641"/>
      <c r="D57" s="641"/>
      <c r="E57" s="641"/>
      <c r="F57" s="641"/>
      <c r="G57" s="641"/>
      <c r="H57" s="641"/>
      <c r="I57" s="641"/>
    </row>
    <row r="58" spans="2:9" ht="15.75">
      <c r="B58" s="642" t="s">
        <v>841</v>
      </c>
      <c r="C58" s="640"/>
      <c r="D58" s="640"/>
      <c r="E58" s="640"/>
      <c r="F58" s="640"/>
      <c r="G58" s="641"/>
      <c r="H58" s="641"/>
      <c r="I58" s="641"/>
    </row>
    <row r="59" spans="2:9" ht="15.75">
      <c r="B59" s="640"/>
      <c r="C59" s="640"/>
      <c r="D59" s="640"/>
      <c r="E59" s="640"/>
      <c r="F59" s="640"/>
      <c r="G59" s="641"/>
      <c r="H59" s="641"/>
      <c r="I59" s="641"/>
    </row>
    <row r="60" spans="2:9" ht="15.75">
      <c r="B60" s="640" t="s">
        <v>842</v>
      </c>
      <c r="C60" s="640"/>
      <c r="D60" s="640"/>
      <c r="E60" s="640"/>
      <c r="F60" s="640"/>
      <c r="G60" s="641"/>
      <c r="H60" s="641"/>
      <c r="I60" s="641"/>
    </row>
    <row r="61" spans="2:9" ht="15.75">
      <c r="B61" s="640" t="s">
        <v>843</v>
      </c>
      <c r="C61" s="640"/>
      <c r="D61" s="640"/>
      <c r="E61" s="640"/>
      <c r="F61" s="640"/>
      <c r="G61" s="641"/>
      <c r="H61" s="641"/>
      <c r="I61" s="641"/>
    </row>
    <row r="62" spans="2:9" ht="15.75">
      <c r="B62" s="640" t="s">
        <v>844</v>
      </c>
      <c r="C62" s="640"/>
      <c r="D62" s="640"/>
      <c r="E62" s="640"/>
      <c r="F62" s="640"/>
      <c r="G62" s="641"/>
      <c r="H62" s="641"/>
      <c r="I62" s="641"/>
    </row>
    <row r="63" spans="2:9" ht="15.75">
      <c r="B63" s="640" t="s">
        <v>845</v>
      </c>
      <c r="C63" s="640"/>
      <c r="D63" s="640"/>
      <c r="E63" s="640"/>
      <c r="F63" s="640"/>
      <c r="G63" s="641"/>
      <c r="H63" s="641"/>
      <c r="I63" s="641"/>
    </row>
    <row r="64" spans="2:9" ht="15">
      <c r="B64" s="643"/>
      <c r="C64" s="643"/>
      <c r="D64" s="643"/>
      <c r="E64" s="643"/>
      <c r="F64" s="643"/>
      <c r="G64" s="641"/>
      <c r="H64" s="641"/>
      <c r="I64" s="641"/>
    </row>
    <row r="65" spans="2:9" ht="15.75">
      <c r="B65" s="640" t="s">
        <v>846</v>
      </c>
      <c r="C65" s="643"/>
      <c r="D65" s="643"/>
      <c r="E65" s="643"/>
      <c r="F65" s="643"/>
      <c r="G65" s="641"/>
      <c r="H65" s="641"/>
      <c r="I65" s="641"/>
    </row>
    <row r="66" spans="2:9" ht="15.75">
      <c r="B66" s="640" t="s">
        <v>847</v>
      </c>
      <c r="C66" s="643"/>
      <c r="D66" s="643"/>
      <c r="E66" s="643"/>
      <c r="F66" s="643"/>
      <c r="G66" s="641"/>
      <c r="H66" s="641"/>
      <c r="I66" s="641"/>
    </row>
    <row r="67" spans="2:9" ht="15">
      <c r="B67" s="643"/>
      <c r="C67" s="643"/>
      <c r="D67" s="643"/>
      <c r="E67" s="643"/>
      <c r="F67" s="643"/>
      <c r="G67" s="641"/>
      <c r="H67" s="641"/>
      <c r="I67" s="641"/>
    </row>
    <row r="68" spans="2:9" ht="15.75">
      <c r="B68" s="640" t="s">
        <v>848</v>
      </c>
      <c r="C68" s="643"/>
      <c r="D68" s="643"/>
      <c r="E68" s="643"/>
      <c r="F68" s="643"/>
      <c r="G68" s="641"/>
      <c r="H68" s="641"/>
      <c r="I68" s="641"/>
    </row>
    <row r="69" spans="2:9" ht="15.75">
      <c r="B69" s="640" t="s">
        <v>849</v>
      </c>
      <c r="C69" s="643"/>
      <c r="D69" s="643"/>
      <c r="E69" s="643"/>
      <c r="F69" s="643"/>
      <c r="G69" s="641"/>
      <c r="H69" s="641"/>
      <c r="I69" s="641"/>
    </row>
    <row r="70" spans="2:9" ht="15">
      <c r="B70" s="643"/>
      <c r="C70" s="643"/>
      <c r="D70" s="643"/>
      <c r="E70" s="643"/>
      <c r="F70" s="643"/>
      <c r="G70" s="641"/>
      <c r="H70" s="641"/>
      <c r="I70" s="641"/>
    </row>
    <row r="71" spans="2:9" ht="15.75">
      <c r="B71" s="642" t="s">
        <v>850</v>
      </c>
      <c r="C71" s="643"/>
      <c r="D71" s="643"/>
      <c r="E71" s="643"/>
      <c r="F71" s="643"/>
      <c r="G71" s="641"/>
      <c r="H71" s="641"/>
      <c r="I71" s="641"/>
    </row>
    <row r="72" spans="2:9" ht="15">
      <c r="B72" s="643"/>
      <c r="C72" s="643"/>
      <c r="D72" s="643"/>
      <c r="E72" s="643"/>
      <c r="F72" s="643"/>
      <c r="G72" s="641"/>
      <c r="H72" s="641"/>
      <c r="I72" s="641"/>
    </row>
    <row r="73" spans="2:9" ht="15.75">
      <c r="B73" s="640" t="s">
        <v>851</v>
      </c>
      <c r="C73" s="643"/>
      <c r="D73" s="643"/>
      <c r="E73" s="643"/>
      <c r="F73" s="643"/>
      <c r="G73" s="641"/>
      <c r="H73" s="641"/>
      <c r="I73" s="641"/>
    </row>
    <row r="74" spans="2:9" ht="15.75">
      <c r="B74" s="640" t="s">
        <v>852</v>
      </c>
      <c r="C74" s="643"/>
      <c r="D74" s="643"/>
      <c r="E74" s="643"/>
      <c r="F74" s="643"/>
      <c r="G74" s="641"/>
      <c r="H74" s="641"/>
      <c r="I74" s="641"/>
    </row>
    <row r="75" spans="2:9" ht="15">
      <c r="B75" s="643"/>
      <c r="C75" s="643"/>
      <c r="D75" s="643"/>
      <c r="E75" s="643"/>
      <c r="F75" s="643"/>
      <c r="G75" s="641"/>
      <c r="H75" s="641"/>
      <c r="I75" s="641"/>
    </row>
    <row r="76" spans="2:9" ht="15.75">
      <c r="B76" s="642" t="s">
        <v>853</v>
      </c>
      <c r="C76" s="643"/>
      <c r="D76" s="643"/>
      <c r="E76" s="643"/>
      <c r="F76" s="643"/>
      <c r="G76" s="641"/>
      <c r="H76" s="641"/>
      <c r="I76" s="641"/>
    </row>
    <row r="77" spans="2:9" ht="15">
      <c r="B77" s="643"/>
      <c r="C77" s="643"/>
      <c r="D77" s="643"/>
      <c r="E77" s="643"/>
      <c r="F77" s="643"/>
      <c r="G77" s="641"/>
      <c r="H77" s="641"/>
      <c r="I77" s="641"/>
    </row>
    <row r="78" spans="2:9" ht="15.75">
      <c r="B78" s="640" t="str">
        <f>CONCATENATE("If the ",G14," municipal budget has not been published and has not been submitted to the County")</f>
        <v>If the 2014 municipal budget has not been published and has not been submitted to the County</v>
      </c>
      <c r="C78" s="643"/>
      <c r="D78" s="643"/>
      <c r="E78" s="643"/>
      <c r="F78" s="643"/>
      <c r="G78" s="641"/>
      <c r="H78" s="641"/>
      <c r="I78" s="641"/>
    </row>
    <row r="79" spans="2:9" ht="15.75">
      <c r="B79" s="640" t="s">
        <v>854</v>
      </c>
      <c r="C79" s="643"/>
      <c r="D79" s="643"/>
      <c r="E79" s="643"/>
      <c r="F79" s="643"/>
      <c r="G79" s="641"/>
      <c r="H79" s="641"/>
      <c r="I79" s="641"/>
    </row>
    <row r="80" spans="2:9" ht="15">
      <c r="B80" s="643"/>
      <c r="C80" s="643"/>
      <c r="D80" s="643"/>
      <c r="E80" s="643"/>
      <c r="F80" s="643"/>
      <c r="G80" s="641"/>
      <c r="H80" s="641"/>
      <c r="I80" s="641"/>
    </row>
    <row r="81" spans="2:9" ht="15.75">
      <c r="B81" s="642" t="s">
        <v>402</v>
      </c>
      <c r="C81" s="643"/>
      <c r="D81" s="643"/>
      <c r="E81" s="643"/>
      <c r="F81" s="643"/>
      <c r="G81" s="641"/>
      <c r="H81" s="641"/>
      <c r="I81" s="641"/>
    </row>
    <row r="82" spans="2:9" ht="15">
      <c r="B82" s="643"/>
      <c r="C82" s="643"/>
      <c r="D82" s="643"/>
      <c r="E82" s="643"/>
      <c r="F82" s="643"/>
      <c r="G82" s="641"/>
      <c r="H82" s="641"/>
      <c r="I82" s="641"/>
    </row>
    <row r="83" spans="2:9" ht="15.75">
      <c r="B83" s="640" t="s">
        <v>855</v>
      </c>
      <c r="C83" s="643"/>
      <c r="D83" s="643"/>
      <c r="E83" s="643"/>
      <c r="F83" s="643"/>
      <c r="G83" s="641"/>
      <c r="H83" s="641"/>
      <c r="I83" s="641"/>
    </row>
    <row r="84" spans="2:9" ht="15.75">
      <c r="B84" s="640" t="str">
        <f>CONCATENATE("Budget Year ",G14," is equal to or greater than that for Current Year Estimate ",E14,".")</f>
        <v>Budget Year 2014 is equal to or greater than that for Current Year Estimate 2013.</v>
      </c>
      <c r="C84" s="643"/>
      <c r="D84" s="643"/>
      <c r="E84" s="643"/>
      <c r="F84" s="643"/>
      <c r="G84" s="641"/>
      <c r="H84" s="641"/>
      <c r="I84" s="641"/>
    </row>
    <row r="85" spans="2:9" ht="15">
      <c r="B85" s="643"/>
      <c r="C85" s="643"/>
      <c r="D85" s="643"/>
      <c r="E85" s="643"/>
      <c r="F85" s="643"/>
      <c r="G85" s="641"/>
      <c r="H85" s="641"/>
      <c r="I85" s="641"/>
    </row>
    <row r="86" spans="2:9" ht="15.75">
      <c r="B86" s="640" t="s">
        <v>856</v>
      </c>
      <c r="C86" s="643"/>
      <c r="D86" s="643"/>
      <c r="E86" s="643"/>
      <c r="F86" s="643"/>
      <c r="G86" s="641"/>
      <c r="H86" s="641"/>
      <c r="I86" s="641"/>
    </row>
    <row r="87" spans="2:9" ht="15.75">
      <c r="B87" s="640" t="s">
        <v>857</v>
      </c>
      <c r="C87" s="643"/>
      <c r="D87" s="643"/>
      <c r="E87" s="643"/>
      <c r="F87" s="643"/>
      <c r="G87" s="641"/>
      <c r="H87" s="641"/>
      <c r="I87" s="641"/>
    </row>
    <row r="88" spans="2:9" ht="15.75">
      <c r="B88" s="640" t="s">
        <v>858</v>
      </c>
      <c r="C88" s="643"/>
      <c r="D88" s="643"/>
      <c r="E88" s="643"/>
      <c r="F88" s="643"/>
      <c r="G88" s="641"/>
      <c r="H88" s="641"/>
      <c r="I88" s="641"/>
    </row>
    <row r="89" spans="2:9" ht="15.75">
      <c r="B89" s="640" t="str">
        <f>CONCATENATE("purpose for the previous (",E14,") year.")</f>
        <v>purpose for the previous (2013) year.</v>
      </c>
      <c r="C89" s="643"/>
      <c r="D89" s="643"/>
      <c r="E89" s="643"/>
      <c r="F89" s="643"/>
      <c r="G89" s="641"/>
      <c r="H89" s="641"/>
      <c r="I89" s="641"/>
    </row>
    <row r="90" spans="2:9" ht="15">
      <c r="B90" s="643"/>
      <c r="C90" s="643"/>
      <c r="D90" s="643"/>
      <c r="E90" s="643"/>
      <c r="F90" s="643"/>
      <c r="G90" s="641"/>
      <c r="H90" s="641"/>
      <c r="I90" s="641"/>
    </row>
    <row r="91" spans="2:9" ht="15.75">
      <c r="B91" s="640" t="str">
        <f>CONCATENATE("Next, look to see if delinquent tax for ",G14," is budgeted. Often this line is budgeted at $0 or left")</f>
        <v>Next, look to see if delinquent tax for 2014 is budgeted. Often this line is budgeted at $0 or left</v>
      </c>
      <c r="C91" s="643"/>
      <c r="D91" s="643"/>
      <c r="E91" s="643"/>
      <c r="F91" s="643"/>
      <c r="G91" s="641"/>
      <c r="H91" s="641"/>
      <c r="I91" s="641"/>
    </row>
    <row r="92" spans="2:9" ht="15.75">
      <c r="B92" s="640" t="s">
        <v>859</v>
      </c>
      <c r="C92" s="643"/>
      <c r="D92" s="643"/>
      <c r="E92" s="643"/>
      <c r="F92" s="643"/>
      <c r="G92" s="641"/>
      <c r="H92" s="641"/>
      <c r="I92" s="641"/>
    </row>
    <row r="93" spans="2:9" ht="15.75">
      <c r="B93" s="640" t="s">
        <v>860</v>
      </c>
      <c r="C93" s="643"/>
      <c r="D93" s="643"/>
      <c r="E93" s="643"/>
      <c r="F93" s="643"/>
      <c r="G93" s="641"/>
      <c r="H93" s="641"/>
      <c r="I93" s="641"/>
    </row>
    <row r="94" spans="2:9" ht="15.75">
      <c r="B94" s="640" t="s">
        <v>861</v>
      </c>
      <c r="C94" s="643"/>
      <c r="D94" s="643"/>
      <c r="E94" s="643"/>
      <c r="F94" s="643"/>
      <c r="G94" s="641"/>
      <c r="H94" s="641"/>
      <c r="I94" s="641"/>
    </row>
    <row r="95" spans="2:9" ht="15">
      <c r="B95" s="643"/>
      <c r="C95" s="643"/>
      <c r="D95" s="643"/>
      <c r="E95" s="643"/>
      <c r="F95" s="643"/>
      <c r="G95" s="641"/>
      <c r="H95" s="641"/>
      <c r="I95" s="641"/>
    </row>
    <row r="96" spans="2:9" ht="15.75">
      <c r="B96" s="642" t="s">
        <v>862</v>
      </c>
      <c r="C96" s="643"/>
      <c r="D96" s="643"/>
      <c r="E96" s="643"/>
      <c r="F96" s="643"/>
      <c r="G96" s="641"/>
      <c r="H96" s="641"/>
      <c r="I96" s="641"/>
    </row>
    <row r="97" spans="2:9" ht="15">
      <c r="B97" s="643"/>
      <c r="C97" s="643"/>
      <c r="D97" s="643"/>
      <c r="E97" s="643"/>
      <c r="F97" s="643"/>
      <c r="G97" s="641"/>
      <c r="H97" s="641"/>
      <c r="I97" s="641"/>
    </row>
    <row r="98" spans="2:9" ht="15.75">
      <c r="B98" s="640" t="s">
        <v>863</v>
      </c>
      <c r="C98" s="643"/>
      <c r="D98" s="643"/>
      <c r="E98" s="643"/>
      <c r="F98" s="643"/>
      <c r="G98" s="641"/>
      <c r="H98" s="641"/>
      <c r="I98" s="641"/>
    </row>
    <row r="99" spans="2:9" ht="15.75">
      <c r="B99" s="640" t="s">
        <v>864</v>
      </c>
      <c r="C99" s="643"/>
      <c r="D99" s="643"/>
      <c r="E99" s="643"/>
      <c r="F99" s="643"/>
      <c r="G99" s="641"/>
      <c r="H99" s="641"/>
      <c r="I99" s="641"/>
    </row>
    <row r="100" spans="2:9" ht="15">
      <c r="B100" s="643"/>
      <c r="C100" s="643"/>
      <c r="D100" s="643"/>
      <c r="E100" s="643"/>
      <c r="F100" s="643"/>
      <c r="G100" s="641"/>
      <c r="H100" s="641"/>
      <c r="I100" s="641"/>
    </row>
    <row r="101" spans="2:9" ht="15.75">
      <c r="B101" s="640" t="s">
        <v>865</v>
      </c>
      <c r="C101" s="643"/>
      <c r="D101" s="643"/>
      <c r="E101" s="643"/>
      <c r="F101" s="643"/>
      <c r="G101" s="641"/>
      <c r="H101" s="641"/>
      <c r="I101" s="641"/>
    </row>
    <row r="102" spans="2:9" ht="15.75">
      <c r="B102" s="640" t="s">
        <v>866</v>
      </c>
      <c r="C102" s="643"/>
      <c r="D102" s="643"/>
      <c r="E102" s="643"/>
      <c r="F102" s="643"/>
      <c r="G102" s="641"/>
      <c r="H102" s="641"/>
      <c r="I102" s="641"/>
    </row>
    <row r="103" spans="2:9" ht="15.75">
      <c r="B103" s="640" t="s">
        <v>867</v>
      </c>
      <c r="C103" s="643"/>
      <c r="D103" s="643"/>
      <c r="E103" s="643"/>
      <c r="F103" s="643"/>
      <c r="G103" s="641"/>
      <c r="H103" s="641"/>
      <c r="I103" s="641"/>
    </row>
    <row r="104" spans="2:9" ht="15.75">
      <c r="B104" s="640" t="s">
        <v>868</v>
      </c>
      <c r="C104" s="643"/>
      <c r="D104" s="643"/>
      <c r="E104" s="643"/>
      <c r="F104" s="643"/>
      <c r="G104" s="641"/>
      <c r="H104" s="641"/>
      <c r="I104" s="641"/>
    </row>
    <row r="105" spans="2:9" ht="15">
      <c r="B105" s="755" t="s">
        <v>975</v>
      </c>
      <c r="C105" s="754"/>
      <c r="D105" s="754"/>
      <c r="E105" s="754"/>
      <c r="F105" s="754"/>
      <c r="G105" s="753"/>
      <c r="H105" s="753"/>
      <c r="I105" s="753"/>
    </row>
    <row r="108" ht="15">
      <c r="G108" s="649"/>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4.xml><?xml version="1.0" encoding="utf-8"?>
<worksheet xmlns="http://schemas.openxmlformats.org/spreadsheetml/2006/main" xmlns:r="http://schemas.openxmlformats.org/officeDocument/2006/relationships">
  <dimension ref="B1:K144"/>
  <sheetViews>
    <sheetView zoomScalePageLayoutView="0" workbookViewId="0" topLeftCell="A97">
      <selection activeCell="E29" sqref="E29"/>
    </sheetView>
  </sheetViews>
  <sheetFormatPr defaultColWidth="8.796875" defaultRowHeight="15"/>
  <cols>
    <col min="1" max="1" width="2.3984375" style="22" customWidth="1"/>
    <col min="2" max="2" width="31.69921875" style="22" customWidth="1"/>
    <col min="3" max="4" width="15.796875" style="22" customWidth="1"/>
    <col min="5" max="5" width="16.19921875" style="22" customWidth="1"/>
    <col min="6" max="6" width="6.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c r="C3" s="21"/>
      <c r="D3" s="21"/>
      <c r="E3" s="118"/>
    </row>
    <row r="4" spans="2:5" ht="15.75">
      <c r="B4" s="40" t="s">
        <v>92</v>
      </c>
      <c r="C4" s="220"/>
      <c r="D4" s="220"/>
      <c r="E4" s="220"/>
    </row>
    <row r="5" spans="2:5" ht="15.75">
      <c r="B5" s="148" t="s">
        <v>24</v>
      </c>
      <c r="C5" s="660" t="s">
        <v>811</v>
      </c>
      <c r="D5" s="661" t="s">
        <v>814</v>
      </c>
      <c r="E5" s="124" t="s">
        <v>815</v>
      </c>
    </row>
    <row r="6" spans="2:5" ht="15.75">
      <c r="B6" s="368" t="str">
        <f>inputPrYr!B17</f>
        <v>General</v>
      </c>
      <c r="C6" s="351" t="str">
        <f>CONCATENATE("Actual for ",E1-2,"")</f>
        <v>Actual for 2012</v>
      </c>
      <c r="D6" s="351" t="str">
        <f>CONCATENATE("Estimate for ",E1-1,"")</f>
        <v>Estimate for 2013</v>
      </c>
      <c r="E6" s="221" t="str">
        <f>CONCATENATE("Year for ",E1,"")</f>
        <v>Year for 2014</v>
      </c>
    </row>
    <row r="7" spans="2:5" ht="15.75">
      <c r="B7" s="222" t="s">
        <v>147</v>
      </c>
      <c r="C7" s="223">
        <v>5272702</v>
      </c>
      <c r="D7" s="350">
        <f>C112</f>
        <v>5499390</v>
      </c>
      <c r="E7" s="192">
        <f>D112</f>
        <v>4146260</v>
      </c>
    </row>
    <row r="8" spans="2:5" ht="15.75">
      <c r="B8" s="225" t="s">
        <v>149</v>
      </c>
      <c r="C8" s="138"/>
      <c r="D8" s="138"/>
      <c r="E8" s="67"/>
    </row>
    <row r="9" spans="2:5" ht="15.75">
      <c r="B9" s="222" t="s">
        <v>25</v>
      </c>
      <c r="C9" s="223">
        <v>2971303</v>
      </c>
      <c r="D9" s="350">
        <f>IF(inputPrYr!H16&gt;0,inputPrYr!G17,inputPrYr!E17)</f>
        <v>3644028</v>
      </c>
      <c r="E9" s="228" t="s">
        <v>13</v>
      </c>
    </row>
    <row r="10" spans="2:5" ht="15.75">
      <c r="B10" s="222" t="s">
        <v>26</v>
      </c>
      <c r="C10" s="223">
        <v>54546</v>
      </c>
      <c r="D10" s="223">
        <v>-18129</v>
      </c>
      <c r="E10" s="229"/>
    </row>
    <row r="11" spans="2:5" ht="15.75">
      <c r="B11" s="222" t="s">
        <v>27</v>
      </c>
      <c r="C11" s="223">
        <f>321647+32342</f>
        <v>353989</v>
      </c>
      <c r="D11" s="223">
        <v>371468</v>
      </c>
      <c r="E11" s="192">
        <f>mvalloc!D7</f>
        <v>366753</v>
      </c>
    </row>
    <row r="12" spans="2:5" ht="15.75">
      <c r="B12" s="222" t="s">
        <v>28</v>
      </c>
      <c r="C12" s="223">
        <v>1421</v>
      </c>
      <c r="D12" s="223">
        <v>1924</v>
      </c>
      <c r="E12" s="192">
        <f>mvalloc!E7</f>
        <v>1285</v>
      </c>
    </row>
    <row r="13" spans="2:5" ht="15.75">
      <c r="B13" s="222" t="s">
        <v>124</v>
      </c>
      <c r="C13" s="223">
        <v>4048</v>
      </c>
      <c r="D13" s="223">
        <v>5098</v>
      </c>
      <c r="E13" s="192">
        <f>mvalloc!F7</f>
        <v>3755</v>
      </c>
    </row>
    <row r="14" spans="2:5" ht="15.75">
      <c r="B14" s="222" t="s">
        <v>125</v>
      </c>
      <c r="C14" s="223"/>
      <c r="D14" s="223"/>
      <c r="E14" s="192">
        <f>inputOth!E16</f>
        <v>0</v>
      </c>
    </row>
    <row r="15" spans="2:5" ht="15.75">
      <c r="B15" s="222" t="s">
        <v>171</v>
      </c>
      <c r="C15" s="223"/>
      <c r="D15" s="223"/>
      <c r="E15" s="192">
        <f>inputOth!E42</f>
        <v>0</v>
      </c>
    </row>
    <row r="16" spans="2:5" ht="15.75">
      <c r="B16" s="222" t="s">
        <v>172</v>
      </c>
      <c r="C16" s="223"/>
      <c r="D16" s="223"/>
      <c r="E16" s="192">
        <f>inputOth!E43</f>
        <v>0</v>
      </c>
    </row>
    <row r="17" spans="2:5" ht="15.75">
      <c r="B17" s="226" t="s">
        <v>31</v>
      </c>
      <c r="C17" s="223"/>
      <c r="D17" s="223"/>
      <c r="E17" s="49"/>
    </row>
    <row r="18" spans="2:5" ht="15.75">
      <c r="B18" s="226" t="s">
        <v>29</v>
      </c>
      <c r="C18" s="223">
        <v>24775</v>
      </c>
      <c r="D18" s="223">
        <v>21333</v>
      </c>
      <c r="E18" s="49">
        <v>24000</v>
      </c>
    </row>
    <row r="19" spans="2:5" ht="15.75">
      <c r="B19" s="512" t="s">
        <v>755</v>
      </c>
      <c r="C19" s="223">
        <v>691495</v>
      </c>
      <c r="D19" s="223">
        <v>525000</v>
      </c>
      <c r="E19" s="49">
        <v>700000</v>
      </c>
    </row>
    <row r="20" spans="2:5" ht="15.75">
      <c r="B20" s="513" t="s">
        <v>756</v>
      </c>
      <c r="C20" s="223">
        <v>5053138</v>
      </c>
      <c r="D20" s="223">
        <f>5900000-525000</f>
        <v>5375000</v>
      </c>
      <c r="E20" s="49">
        <f>-700000+6402093</f>
        <v>5702093</v>
      </c>
    </row>
    <row r="21" spans="2:5" ht="15.75">
      <c r="B21" s="513" t="s">
        <v>757</v>
      </c>
      <c r="C21" s="223">
        <v>1331702</v>
      </c>
      <c r="D21" s="223">
        <v>1367300</v>
      </c>
      <c r="E21" s="49">
        <v>1343825</v>
      </c>
    </row>
    <row r="22" spans="2:5" ht="15.75">
      <c r="B22" s="513" t="s">
        <v>758</v>
      </c>
      <c r="C22" s="223">
        <v>464082</v>
      </c>
      <c r="D22" s="223">
        <v>371000</v>
      </c>
      <c r="E22" s="49">
        <v>387900</v>
      </c>
    </row>
    <row r="23" spans="2:5" ht="15.75">
      <c r="B23" s="513" t="s">
        <v>1015</v>
      </c>
      <c r="C23" s="223">
        <f>987555+246889+246889</f>
        <v>1481333</v>
      </c>
      <c r="D23" s="223">
        <f>979671+244922+244922</f>
        <v>1469515</v>
      </c>
      <c r="E23" s="49">
        <f>987555+246889+246889</f>
        <v>1481333</v>
      </c>
    </row>
    <row r="24" spans="2:5" ht="15.75">
      <c r="B24" s="226" t="s">
        <v>1016</v>
      </c>
      <c r="C24" s="223">
        <v>235007</v>
      </c>
      <c r="D24" s="223">
        <v>250236</v>
      </c>
      <c r="E24" s="49">
        <v>253367</v>
      </c>
    </row>
    <row r="25" spans="2:5" ht="15.75">
      <c r="B25" s="226" t="s">
        <v>1017</v>
      </c>
      <c r="C25" s="223">
        <v>935450</v>
      </c>
      <c r="D25" s="223">
        <v>900000</v>
      </c>
      <c r="E25" s="49">
        <v>891000</v>
      </c>
    </row>
    <row r="26" spans="2:5" ht="15.75">
      <c r="B26" s="226" t="s">
        <v>1018</v>
      </c>
      <c r="C26" s="223">
        <v>55518</v>
      </c>
      <c r="D26" s="223">
        <v>55000</v>
      </c>
      <c r="E26" s="49">
        <v>55000</v>
      </c>
    </row>
    <row r="27" spans="2:5" ht="15.75">
      <c r="B27" s="226" t="s">
        <v>1019</v>
      </c>
      <c r="C27" s="223">
        <v>90000</v>
      </c>
      <c r="D27" s="223">
        <v>90000</v>
      </c>
      <c r="E27" s="49">
        <v>90000</v>
      </c>
    </row>
    <row r="28" spans="2:5" ht="15.75">
      <c r="B28" s="226" t="s">
        <v>1020</v>
      </c>
      <c r="C28" s="223"/>
      <c r="D28" s="223">
        <v>-591509</v>
      </c>
      <c r="E28" s="49">
        <f>-717111-4823</f>
        <v>-721934</v>
      </c>
    </row>
    <row r="29" spans="2:5" ht="15.75">
      <c r="B29" s="226"/>
      <c r="C29" s="223"/>
      <c r="D29" s="223"/>
      <c r="E29" s="49"/>
    </row>
    <row r="30" spans="2:5" ht="15.75">
      <c r="B30" s="226"/>
      <c r="C30" s="223"/>
      <c r="D30" s="223"/>
      <c r="E30" s="49"/>
    </row>
    <row r="31" spans="2:5" ht="15.75">
      <c r="B31" s="226"/>
      <c r="C31" s="223"/>
      <c r="D31" s="223"/>
      <c r="E31" s="49"/>
    </row>
    <row r="32" spans="2:5" ht="15.75">
      <c r="B32" s="226"/>
      <c r="C32" s="223"/>
      <c r="D32" s="223"/>
      <c r="E32" s="49"/>
    </row>
    <row r="33" spans="2:5" ht="15.75">
      <c r="B33" s="226"/>
      <c r="C33" s="223"/>
      <c r="D33" s="223"/>
      <c r="E33" s="49"/>
    </row>
    <row r="34" spans="2:5" ht="15.75">
      <c r="B34" s="226"/>
      <c r="C34" s="223"/>
      <c r="D34" s="223"/>
      <c r="E34" s="49"/>
    </row>
    <row r="35" spans="2:5" ht="15.75">
      <c r="B35" s="226"/>
      <c r="C35" s="223"/>
      <c r="D35" s="223"/>
      <c r="E35" s="49"/>
    </row>
    <row r="36" spans="2:5" ht="15.75">
      <c r="B36" s="226"/>
      <c r="C36" s="223"/>
      <c r="D36" s="223"/>
      <c r="E36" s="49"/>
    </row>
    <row r="37" spans="2:5" ht="15.75">
      <c r="B37" s="226"/>
      <c r="C37" s="223"/>
      <c r="D37" s="223"/>
      <c r="E37" s="49"/>
    </row>
    <row r="38" spans="2:5" ht="15.75">
      <c r="B38" s="226"/>
      <c r="C38" s="223"/>
      <c r="D38" s="223"/>
      <c r="E38" s="49"/>
    </row>
    <row r="39" spans="2:5" ht="15.75">
      <c r="B39" s="226"/>
      <c r="C39" s="223"/>
      <c r="D39" s="223"/>
      <c r="E39" s="49"/>
    </row>
    <row r="40" spans="2:5" ht="15.75">
      <c r="B40" s="226"/>
      <c r="C40" s="223"/>
      <c r="D40" s="223"/>
      <c r="E40" s="49"/>
    </row>
    <row r="41" spans="2:5" ht="15.75">
      <c r="B41" s="226"/>
      <c r="C41" s="223"/>
      <c r="D41" s="223"/>
      <c r="E41" s="49"/>
    </row>
    <row r="42" spans="2:5" ht="15.75">
      <c r="B42" s="226"/>
      <c r="C42" s="223"/>
      <c r="D42" s="223"/>
      <c r="E42" s="49"/>
    </row>
    <row r="43" spans="2:5" ht="15.75">
      <c r="B43" s="226"/>
      <c r="C43" s="223"/>
      <c r="D43" s="223"/>
      <c r="E43" s="49"/>
    </row>
    <row r="44" spans="2:5" ht="15.75">
      <c r="B44" s="226"/>
      <c r="C44" s="223"/>
      <c r="D44" s="223"/>
      <c r="E44" s="49"/>
    </row>
    <row r="45" spans="2:5" ht="15.75">
      <c r="B45" s="226"/>
      <c r="C45" s="223"/>
      <c r="D45" s="223"/>
      <c r="E45" s="49"/>
    </row>
    <row r="46" spans="2:5" ht="15.75">
      <c r="B46" s="226"/>
      <c r="C46" s="223"/>
      <c r="D46" s="223"/>
      <c r="E46" s="49"/>
    </row>
    <row r="47" spans="2:5" ht="15.75">
      <c r="B47" s="226"/>
      <c r="C47" s="223"/>
      <c r="D47" s="223"/>
      <c r="E47" s="49"/>
    </row>
    <row r="48" spans="2:5" ht="15.75">
      <c r="B48" s="226"/>
      <c r="C48" s="223"/>
      <c r="D48" s="223"/>
      <c r="E48" s="49"/>
    </row>
    <row r="49" spans="2:5" ht="15.75">
      <c r="B49" s="226"/>
      <c r="C49" s="223"/>
      <c r="D49" s="223"/>
      <c r="E49" s="49"/>
    </row>
    <row r="50" spans="2:5" ht="15.75">
      <c r="B50" s="226"/>
      <c r="C50" s="223"/>
      <c r="D50" s="223"/>
      <c r="E50" s="49"/>
    </row>
    <row r="51" spans="2:5" ht="15.75">
      <c r="B51" s="226"/>
      <c r="C51" s="223"/>
      <c r="D51" s="223"/>
      <c r="E51" s="49"/>
    </row>
    <row r="52" spans="2:5" ht="15.75">
      <c r="B52" s="514" t="s">
        <v>30</v>
      </c>
      <c r="C52" s="223"/>
      <c r="D52" s="223"/>
      <c r="E52" s="49"/>
    </row>
    <row r="53" spans="2:5" ht="15.75">
      <c r="B53" s="230" t="s">
        <v>32</v>
      </c>
      <c r="C53" s="223">
        <v>15026</v>
      </c>
      <c r="D53" s="223">
        <v>15000</v>
      </c>
      <c r="E53" s="49">
        <v>15004</v>
      </c>
    </row>
    <row r="54" spans="2:5" ht="15.75">
      <c r="B54" s="138" t="s">
        <v>271</v>
      </c>
      <c r="C54" s="223">
        <v>212008</v>
      </c>
      <c r="D54" s="49">
        <v>79800</v>
      </c>
      <c r="E54" s="224">
        <v>92300</v>
      </c>
    </row>
    <row r="55" spans="2:5" ht="15.75">
      <c r="B55" s="222" t="s">
        <v>794</v>
      </c>
      <c r="C55" s="348">
        <f>IF(C56*0.1&lt;C54,"Exceed 10% Rule","")</f>
      </c>
      <c r="D55" s="355">
        <f>IF(D56*0.1&lt;D54,"Exceed 10% Rule","")</f>
      </c>
      <c r="E55" s="231">
        <f>IF(E56*0.1+E118&lt;E54,"Exceed 10% Rule","")</f>
      </c>
    </row>
    <row r="56" spans="2:5" ht="15.75">
      <c r="B56" s="232" t="s">
        <v>33</v>
      </c>
      <c r="C56" s="365">
        <f>SUM(C9:C54)</f>
        <v>13974841</v>
      </c>
      <c r="D56" s="365">
        <f>SUM(D9:D54)</f>
        <v>13932064</v>
      </c>
      <c r="E56" s="233">
        <f>SUM(E10:E54)</f>
        <v>10685681</v>
      </c>
    </row>
    <row r="57" spans="2:5" ht="15.75">
      <c r="B57" s="232" t="s">
        <v>34</v>
      </c>
      <c r="C57" s="365">
        <f>C7+C56</f>
        <v>19247543</v>
      </c>
      <c r="D57" s="365">
        <f>D7+D56</f>
        <v>19431454</v>
      </c>
      <c r="E57" s="233">
        <f>E7+E56</f>
        <v>14831941</v>
      </c>
    </row>
    <row r="58" spans="2:5" ht="15.75">
      <c r="B58" s="21"/>
      <c r="C58" s="21"/>
      <c r="D58" s="21"/>
      <c r="E58" s="21"/>
    </row>
    <row r="59" spans="2:5" ht="15.75">
      <c r="B59" s="149"/>
      <c r="C59" s="118" t="s">
        <v>43</v>
      </c>
      <c r="D59" s="148">
        <f>IF(inputPrYr!D19&gt;0,8,7)</f>
        <v>7</v>
      </c>
      <c r="E59" s="149"/>
    </row>
    <row r="60" spans="2:5" ht="15.75">
      <c r="B60" s="149"/>
      <c r="C60" s="149"/>
      <c r="D60" s="149"/>
      <c r="E60" s="149"/>
    </row>
    <row r="61" spans="2:5" ht="15.75">
      <c r="B61" s="150" t="str">
        <f>inputPrYr!D2</f>
        <v>City of Merriam</v>
      </c>
      <c r="C61" s="21"/>
      <c r="D61" s="21"/>
      <c r="E61" s="146"/>
    </row>
    <row r="62" spans="2:5" ht="15.75">
      <c r="B62" s="21"/>
      <c r="C62" s="21"/>
      <c r="D62" s="21"/>
      <c r="E62" s="118"/>
    </row>
    <row r="63" spans="2:5" ht="15.75">
      <c r="B63" s="216" t="s">
        <v>91</v>
      </c>
      <c r="C63" s="186"/>
      <c r="D63" s="186"/>
      <c r="E63" s="186"/>
    </row>
    <row r="64" spans="2:5" ht="15.75">
      <c r="B64" s="21" t="s">
        <v>24</v>
      </c>
      <c r="C64" s="660" t="str">
        <f aca="true" t="shared" si="0" ref="C64:E65">C5</f>
        <v>Prior Year </v>
      </c>
      <c r="D64" s="661" t="str">
        <f t="shared" si="0"/>
        <v>Current Year </v>
      </c>
      <c r="E64" s="124" t="str">
        <f t="shared" si="0"/>
        <v>Proposed Budget </v>
      </c>
    </row>
    <row r="65" spans="2:5" ht="15.75">
      <c r="B65" s="169" t="str">
        <f>inputPrYr!B17</f>
        <v>General</v>
      </c>
      <c r="C65" s="351" t="str">
        <f t="shared" si="0"/>
        <v>Actual for 2012</v>
      </c>
      <c r="D65" s="351" t="str">
        <f t="shared" si="0"/>
        <v>Estimate for 2013</v>
      </c>
      <c r="E65" s="221" t="str">
        <f t="shared" si="0"/>
        <v>Year for 2014</v>
      </c>
    </row>
    <row r="66" spans="2:5" ht="15.75">
      <c r="B66" s="234" t="s">
        <v>34</v>
      </c>
      <c r="C66" s="350">
        <f>C57</f>
        <v>19247543</v>
      </c>
      <c r="D66" s="350">
        <f>D57</f>
        <v>19431454</v>
      </c>
      <c r="E66" s="192">
        <f>E57</f>
        <v>14831941</v>
      </c>
    </row>
    <row r="67" spans="2:5" ht="15.75">
      <c r="B67" s="222" t="s">
        <v>36</v>
      </c>
      <c r="C67" s="138"/>
      <c r="D67" s="138"/>
      <c r="E67" s="67"/>
    </row>
    <row r="68" spans="2:5" ht="15.75">
      <c r="B68" s="235">
        <f>GenDetail!A7</f>
        <v>0</v>
      </c>
      <c r="C68" s="366">
        <f>GenDetail!B15</f>
        <v>0</v>
      </c>
      <c r="D68" s="366">
        <f>GenDetail!C15</f>
        <v>0</v>
      </c>
      <c r="E68" s="56">
        <f>GenDetail!D15</f>
        <v>0</v>
      </c>
    </row>
    <row r="69" spans="2:5" ht="15.75">
      <c r="B69" s="235">
        <f>GenDetail!A16</f>
        <v>0</v>
      </c>
      <c r="C69" s="366">
        <f>GenDetail!B21</f>
        <v>0</v>
      </c>
      <c r="D69" s="366">
        <f>GenDetail!C21</f>
        <v>0</v>
      </c>
      <c r="E69" s="56">
        <f>GenDetail!D21</f>
        <v>0</v>
      </c>
    </row>
    <row r="70" spans="2:5" ht="15.75">
      <c r="B70" s="235">
        <f>GenDetail!A22</f>
        <v>0</v>
      </c>
      <c r="C70" s="366">
        <f>GenDetail!B27</f>
        <v>0</v>
      </c>
      <c r="D70" s="366">
        <f>GenDetail!C27</f>
        <v>0</v>
      </c>
      <c r="E70" s="56">
        <f>GenDetail!D27</f>
        <v>0</v>
      </c>
    </row>
    <row r="71" spans="2:5" ht="15.75">
      <c r="B71" s="235">
        <f>GenDetail!A28</f>
        <v>0</v>
      </c>
      <c r="C71" s="366">
        <f>GenDetail!B33</f>
        <v>0</v>
      </c>
      <c r="D71" s="366">
        <f>GenDetail!C33</f>
        <v>0</v>
      </c>
      <c r="E71" s="56">
        <f>GenDetail!D33</f>
        <v>0</v>
      </c>
    </row>
    <row r="72" spans="2:5" ht="15.75">
      <c r="B72" s="235">
        <f>GenDetail!A34</f>
        <v>0</v>
      </c>
      <c r="C72" s="366">
        <f>GenDetail!B39</f>
        <v>0</v>
      </c>
      <c r="D72" s="366">
        <f>GenDetail!C39</f>
        <v>0</v>
      </c>
      <c r="E72" s="56">
        <f>GenDetail!D39</f>
        <v>0</v>
      </c>
    </row>
    <row r="73" spans="2:5" ht="15.75">
      <c r="B73" s="235">
        <f>GenDetail!A40</f>
        <v>0</v>
      </c>
      <c r="C73" s="366">
        <f>GenDetail!B45</f>
        <v>0</v>
      </c>
      <c r="D73" s="366">
        <f>GenDetail!C45</f>
        <v>0</v>
      </c>
      <c r="E73" s="56">
        <f>GenDetail!D45</f>
        <v>0</v>
      </c>
    </row>
    <row r="74" spans="2:5" ht="15.75">
      <c r="B74" s="235">
        <f>GenDetail!A46</f>
        <v>0</v>
      </c>
      <c r="C74" s="366">
        <f>GenDetail!B51</f>
        <v>0</v>
      </c>
      <c r="D74" s="366">
        <f>GenDetail!C51</f>
        <v>0</v>
      </c>
      <c r="E74" s="56">
        <f>GenDetail!D51</f>
        <v>0</v>
      </c>
    </row>
    <row r="75" spans="2:5" ht="15.75">
      <c r="B75" s="235">
        <f>GenDetail!A52</f>
        <v>0</v>
      </c>
      <c r="C75" s="366">
        <f>GenDetail!B57</f>
        <v>0</v>
      </c>
      <c r="D75" s="366">
        <f>GenDetail!C57</f>
        <v>0</v>
      </c>
      <c r="E75" s="56">
        <f>GenDetail!D57</f>
        <v>0</v>
      </c>
    </row>
    <row r="76" spans="2:6" ht="15.75">
      <c r="B76" s="236" t="s">
        <v>635</v>
      </c>
      <c r="C76" s="412">
        <f>SUM(C68:C75)</f>
        <v>0</v>
      </c>
      <c r="D76" s="412">
        <f>SUM(D68:D75)</f>
        <v>0</v>
      </c>
      <c r="E76" s="255">
        <f>SUM(E68:E75)</f>
        <v>0</v>
      </c>
      <c r="F76" s="237"/>
    </row>
    <row r="77" spans="2:5" ht="15.75">
      <c r="B77" s="230" t="s">
        <v>1021</v>
      </c>
      <c r="C77" s="223">
        <f>6118026-7</f>
        <v>6118019</v>
      </c>
      <c r="D77" s="223">
        <f>6444965-50000</f>
        <v>6394965</v>
      </c>
      <c r="E77" s="49">
        <f>6541232-50000</f>
        <v>6491232</v>
      </c>
    </row>
    <row r="78" spans="2:5" ht="15.75">
      <c r="B78" s="230" t="s">
        <v>1022</v>
      </c>
      <c r="C78" s="223">
        <v>2268917</v>
      </c>
      <c r="D78" s="223">
        <f>2806126-150000</f>
        <v>2656126</v>
      </c>
      <c r="E78" s="49">
        <v>3103063</v>
      </c>
    </row>
    <row r="79" spans="2:5" ht="15.75">
      <c r="B79" s="230" t="s">
        <v>1023</v>
      </c>
      <c r="C79" s="223">
        <v>1686893</v>
      </c>
      <c r="D79" s="223">
        <v>2011762</v>
      </c>
      <c r="E79" s="49">
        <v>2081562</v>
      </c>
    </row>
    <row r="80" spans="2:5" ht="15.75">
      <c r="B80" s="230" t="s">
        <v>1024</v>
      </c>
      <c r="C80" s="223">
        <v>598079</v>
      </c>
      <c r="D80" s="223">
        <v>772469</v>
      </c>
      <c r="E80" s="49">
        <v>776046</v>
      </c>
    </row>
    <row r="81" spans="2:5" ht="15.75">
      <c r="B81" s="230" t="s">
        <v>1025</v>
      </c>
      <c r="C81" s="223">
        <v>24698</v>
      </c>
      <c r="D81" s="223">
        <v>23750</v>
      </c>
      <c r="E81" s="49">
        <v>25250</v>
      </c>
    </row>
    <row r="82" spans="2:5" ht="15.75">
      <c r="B82" s="230" t="s">
        <v>1026</v>
      </c>
      <c r="C82" s="223">
        <v>9884</v>
      </c>
      <c r="D82" s="223">
        <v>6200</v>
      </c>
      <c r="E82" s="49">
        <v>6200</v>
      </c>
    </row>
    <row r="83" spans="2:5" ht="15.75">
      <c r="B83" s="238" t="s">
        <v>1027</v>
      </c>
      <c r="C83" s="223">
        <v>450000</v>
      </c>
      <c r="D83" s="223">
        <v>550000</v>
      </c>
      <c r="E83" s="49">
        <v>550000</v>
      </c>
    </row>
    <row r="84" spans="2:5" ht="15.75">
      <c r="B84" s="238" t="s">
        <v>1028</v>
      </c>
      <c r="C84" s="223">
        <f>3019958-450000</f>
        <v>2569958</v>
      </c>
      <c r="D84" s="223">
        <f>-550000+3394922</f>
        <v>2844922</v>
      </c>
      <c r="E84" s="49">
        <f>-550000+3647936</f>
        <v>3097936</v>
      </c>
    </row>
    <row r="85" spans="2:5" ht="15.75">
      <c r="B85" s="238" t="s">
        <v>1029</v>
      </c>
      <c r="C85" s="223"/>
      <c r="D85" s="223"/>
      <c r="E85" s="49">
        <f>2469086-750000</f>
        <v>1719086</v>
      </c>
    </row>
    <row r="86" spans="2:5" ht="15.75">
      <c r="B86" s="238"/>
      <c r="C86" s="223"/>
      <c r="D86" s="223"/>
      <c r="E86" s="49"/>
    </row>
    <row r="87" spans="2:5" ht="15.75">
      <c r="B87" s="238"/>
      <c r="C87" s="223"/>
      <c r="D87" s="223"/>
      <c r="E87" s="49"/>
    </row>
    <row r="88" spans="2:5" ht="15.75">
      <c r="B88" s="238"/>
      <c r="C88" s="223"/>
      <c r="D88" s="223"/>
      <c r="E88" s="49"/>
    </row>
    <row r="89" spans="2:5" ht="15.75">
      <c r="B89" s="238"/>
      <c r="C89" s="223"/>
      <c r="D89" s="223"/>
      <c r="E89" s="49"/>
    </row>
    <row r="90" spans="2:5" ht="15.75">
      <c r="B90" s="238"/>
      <c r="C90" s="223"/>
      <c r="D90" s="223"/>
      <c r="E90" s="49"/>
    </row>
    <row r="91" spans="2:5" ht="15.75">
      <c r="B91" s="238"/>
      <c r="C91" s="223"/>
      <c r="D91" s="223"/>
      <c r="E91" s="49"/>
    </row>
    <row r="92" spans="2:5" ht="15.75">
      <c r="B92" s="238"/>
      <c r="C92" s="223"/>
      <c r="D92" s="223"/>
      <c r="E92" s="49"/>
    </row>
    <row r="93" spans="2:5" ht="15.75">
      <c r="B93" s="238"/>
      <c r="C93" s="223"/>
      <c r="D93" s="223"/>
      <c r="E93" s="49"/>
    </row>
    <row r="94" spans="2:5" ht="15.75">
      <c r="B94" s="238"/>
      <c r="C94" s="223"/>
      <c r="D94" s="223"/>
      <c r="E94" s="49"/>
    </row>
    <row r="95" spans="2:5" ht="15.75">
      <c r="B95" s="238"/>
      <c r="C95" s="223"/>
      <c r="D95" s="223"/>
      <c r="E95" s="49"/>
    </row>
    <row r="96" spans="2:5" ht="15.75">
      <c r="B96" s="238"/>
      <c r="C96" s="223"/>
      <c r="D96" s="223"/>
      <c r="E96" s="49"/>
    </row>
    <row r="97" spans="2:5" ht="15.75">
      <c r="B97" s="238"/>
      <c r="C97" s="223"/>
      <c r="D97" s="223"/>
      <c r="E97" s="49"/>
    </row>
    <row r="98" spans="2:5" ht="15.75">
      <c r="B98" s="238"/>
      <c r="C98" s="223"/>
      <c r="D98" s="223"/>
      <c r="E98" s="49"/>
    </row>
    <row r="99" spans="2:5" ht="15.75">
      <c r="B99" s="238"/>
      <c r="C99" s="223"/>
      <c r="D99" s="223"/>
      <c r="E99" s="49"/>
    </row>
    <row r="100" spans="2:5" ht="15.75">
      <c r="B100" s="238"/>
      <c r="C100" s="223"/>
      <c r="D100" s="223"/>
      <c r="E100" s="49"/>
    </row>
    <row r="101" spans="2:10" ht="15.75">
      <c r="B101" s="238"/>
      <c r="C101" s="223"/>
      <c r="D101" s="223"/>
      <c r="E101" s="49"/>
      <c r="G101" s="835" t="str">
        <f>CONCATENATE("Desired Carryover Into ",E1+1,"")</f>
        <v>Desired Carryover Into 2015</v>
      </c>
      <c r="H101" s="836"/>
      <c r="I101" s="836"/>
      <c r="J101" s="837"/>
    </row>
    <row r="102" spans="2:10" ht="15.75">
      <c r="B102" s="238"/>
      <c r="C102" s="223"/>
      <c r="D102" s="223"/>
      <c r="E102" s="49"/>
      <c r="G102" s="477"/>
      <c r="H102" s="476"/>
      <c r="I102" s="476"/>
      <c r="J102" s="478"/>
    </row>
    <row r="103" spans="2:10" ht="15.75">
      <c r="B103" s="238"/>
      <c r="C103" s="223"/>
      <c r="D103" s="223"/>
      <c r="E103" s="49"/>
      <c r="G103" s="405" t="s">
        <v>638</v>
      </c>
      <c r="H103" s="399"/>
      <c r="I103" s="399"/>
      <c r="J103" s="394">
        <v>0</v>
      </c>
    </row>
    <row r="104" spans="2:10" ht="15.75">
      <c r="B104" s="238"/>
      <c r="C104" s="223"/>
      <c r="D104" s="223"/>
      <c r="E104" s="49"/>
      <c r="G104" s="480" t="s">
        <v>639</v>
      </c>
      <c r="H104" s="392"/>
      <c r="I104" s="393"/>
      <c r="J104" s="475">
        <f>IF(J103=0,"",ROUND((J103+E118-G116)/inputOth!E7*1000,3)-G121)</f>
      </c>
    </row>
    <row r="105" spans="2:10" ht="15.75">
      <c r="B105" s="238"/>
      <c r="C105" s="223"/>
      <c r="D105" s="223"/>
      <c r="E105" s="49"/>
      <c r="G105" s="569" t="str">
        <f>CONCATENATE("",E1," Tot Exp/Non-Appr Must Be:")</f>
        <v>2014 Tot Exp/Non-Appr Must Be:</v>
      </c>
      <c r="H105" s="570"/>
      <c r="I105" s="571"/>
      <c r="J105" s="572">
        <f>IF(J103&gt;0,IF(E115&lt;E57,IF(J103=G116,E115,((J103-G116)*(1-D117))+E57),E115+(J103-G116)),0)</f>
        <v>0</v>
      </c>
    </row>
    <row r="106" spans="2:10" ht="15.75">
      <c r="B106" s="238"/>
      <c r="C106" s="223"/>
      <c r="D106" s="223"/>
      <c r="E106" s="49"/>
      <c r="G106" s="591" t="s">
        <v>816</v>
      </c>
      <c r="H106" s="568"/>
      <c r="I106" s="568"/>
      <c r="J106" s="727">
        <f>IF(J103&gt;0,J105-E115,0)</f>
        <v>0</v>
      </c>
    </row>
    <row r="107" spans="2:5" ht="15.75">
      <c r="B107" s="238"/>
      <c r="C107" s="223"/>
      <c r="D107" s="223"/>
      <c r="E107" s="49"/>
    </row>
    <row r="108" spans="2:10" ht="15.75" customHeight="1">
      <c r="B108" s="239" t="s">
        <v>272</v>
      </c>
      <c r="C108" s="223"/>
      <c r="D108" s="223"/>
      <c r="E108" s="56">
        <f>nhood!E6</f>
      </c>
      <c r="G108" s="835" t="str">
        <f>CONCATENATE("Projected Carryover Into ",E1+1,"")</f>
        <v>Projected Carryover Into 2015</v>
      </c>
      <c r="H108" s="845"/>
      <c r="I108" s="845"/>
      <c r="J108" s="846"/>
    </row>
    <row r="109" spans="2:10" ht="15.75">
      <c r="B109" s="239" t="s">
        <v>271</v>
      </c>
      <c r="C109" s="223">
        <v>21705</v>
      </c>
      <c r="D109" s="223">
        <v>25000</v>
      </c>
      <c r="E109" s="49">
        <v>750000</v>
      </c>
      <c r="G109" s="477"/>
      <c r="H109" s="476"/>
      <c r="I109" s="476"/>
      <c r="J109" s="478"/>
    </row>
    <row r="110" spans="2:10" ht="15.75">
      <c r="B110" s="239" t="s">
        <v>795</v>
      </c>
      <c r="C110" s="348">
        <f>IF(C111*0.1&lt;C109,"Exceed 10% Rule","")</f>
      </c>
      <c r="D110" s="355">
        <f>IF(D111*0.1&lt;D109,"Exceed 10% Rule","")</f>
      </c>
      <c r="E110" s="254">
        <f>IF(E111*0.1&lt;E109,"Exceed 10% Rule","")</f>
      </c>
      <c r="G110" s="396">
        <f>D112</f>
        <v>4146260</v>
      </c>
      <c r="H110" s="397" t="str">
        <f>CONCATENATE("",E1-1," Ending Cash Balance (est.)")</f>
        <v>2013 Ending Cash Balance (est.)</v>
      </c>
      <c r="I110" s="398"/>
      <c r="J110" s="478"/>
    </row>
    <row r="111" spans="2:10" ht="15.75">
      <c r="B111" s="232" t="s">
        <v>40</v>
      </c>
      <c r="C111" s="365">
        <f>SUM(C76:C109)</f>
        <v>13748153</v>
      </c>
      <c r="D111" s="365">
        <f>SUM(D76:D109)</f>
        <v>15285194</v>
      </c>
      <c r="E111" s="233">
        <f>SUM(E76:E109)</f>
        <v>18600375</v>
      </c>
      <c r="G111" s="396">
        <f>E56</f>
        <v>10685681</v>
      </c>
      <c r="H111" s="399" t="str">
        <f>CONCATENATE("",E1," Non-AV Receipts (est.)")</f>
        <v>2014 Non-AV Receipts (est.)</v>
      </c>
      <c r="I111" s="398"/>
      <c r="J111" s="478"/>
    </row>
    <row r="112" spans="2:11" ht="15.75">
      <c r="B112" s="130" t="s">
        <v>148</v>
      </c>
      <c r="C112" s="366">
        <f>C57-C111</f>
        <v>5499390</v>
      </c>
      <c r="D112" s="366">
        <f>D57-D111</f>
        <v>4146260</v>
      </c>
      <c r="E112" s="253" t="s">
        <v>13</v>
      </c>
      <c r="G112" s="400">
        <f>IF(E117&gt;0,E116,E118)</f>
        <v>3768434</v>
      </c>
      <c r="H112" s="399" t="str">
        <f>CONCATENATE("",E1," Ad Valorem Tax (est.)")</f>
        <v>2014 Ad Valorem Tax (est.)</v>
      </c>
      <c r="I112" s="398"/>
      <c r="J112" s="478"/>
      <c r="K112" s="733">
        <f>IF(G112=E118,"","Note: Does not include Delinquent Taxes")</f>
      </c>
    </row>
    <row r="113" spans="2:10" ht="15.75">
      <c r="B113" s="118" t="str">
        <f>CONCATENATE("",$E$1-2,"/",$E$1-1," Budget Authority Amount:")</f>
        <v>2012/2013 Budget Authority Amount:</v>
      </c>
      <c r="C113" s="182">
        <f>inputOth!B61</f>
        <v>16487692</v>
      </c>
      <c r="D113" s="241">
        <f>inputPrYr!D17</f>
        <v>17500681</v>
      </c>
      <c r="E113" s="253" t="s">
        <v>13</v>
      </c>
      <c r="F113" s="242"/>
      <c r="G113" s="396">
        <f>SUM(G110:G112)</f>
        <v>18600375</v>
      </c>
      <c r="H113" s="399" t="str">
        <f>CONCATENATE("Total ",E1," Resources Available")</f>
        <v>Total 2014 Resources Available</v>
      </c>
      <c r="I113" s="398"/>
      <c r="J113" s="478"/>
    </row>
    <row r="114" spans="2:10" ht="15.75">
      <c r="B114" s="118"/>
      <c r="C114" s="838" t="s">
        <v>630</v>
      </c>
      <c r="D114" s="839"/>
      <c r="E114" s="49"/>
      <c r="F114" s="387">
        <f>IF((E111/0.95)-E111&lt;E114,"Exceeds 5% ","")</f>
      </c>
      <c r="G114" s="401"/>
      <c r="H114" s="399"/>
      <c r="I114" s="399"/>
      <c r="J114" s="478"/>
    </row>
    <row r="115" spans="2:10" ht="15.75">
      <c r="B115" s="371" t="str">
        <f>CONCATENATE(C143,"     ",D143)</f>
        <v>     </v>
      </c>
      <c r="C115" s="840" t="s">
        <v>631</v>
      </c>
      <c r="D115" s="841"/>
      <c r="E115" s="192">
        <f>E111+E114</f>
        <v>18600375</v>
      </c>
      <c r="G115" s="400">
        <f>ROUND(C111*0.05+C111,0)</f>
        <v>14435561</v>
      </c>
      <c r="H115" s="399" t="str">
        <f>CONCATENATE("Less ",E1-2," Expenditures + 5%")</f>
        <v>Less 2012 Expenditures + 5%</v>
      </c>
      <c r="I115" s="398"/>
      <c r="J115" s="395"/>
    </row>
    <row r="116" spans="2:10" ht="15.75">
      <c r="B116" s="371" t="str">
        <f>CONCATENATE(C144,"     ",D144)</f>
        <v>     </v>
      </c>
      <c r="C116" s="243"/>
      <c r="D116" s="146" t="s">
        <v>41</v>
      </c>
      <c r="E116" s="56">
        <f>IF(E115-E57&gt;0,E115-E57,0)</f>
        <v>3768434</v>
      </c>
      <c r="G116" s="406">
        <f>G113-G115</f>
        <v>4164814</v>
      </c>
      <c r="H116" s="402" t="str">
        <f>CONCATENATE("Projected ",E1+1," Carryover (est.)")</f>
        <v>Projected 2015 Carryover (est.)</v>
      </c>
      <c r="I116" s="403"/>
      <c r="J116" s="404"/>
    </row>
    <row r="117" spans="2:5" ht="15.75">
      <c r="B117" s="118"/>
      <c r="C117" s="357" t="s">
        <v>632</v>
      </c>
      <c r="D117" s="593">
        <f>inputOth!E47</f>
        <v>0</v>
      </c>
      <c r="E117" s="56">
        <f>ROUND(IF(D117&gt;0,(E116*D117),0),0)</f>
        <v>0</v>
      </c>
    </row>
    <row r="118" spans="2:10" ht="16.5" thickBot="1">
      <c r="B118" s="21"/>
      <c r="C118" s="842" t="str">
        <f>CONCATENATE("Amount of  ",$E$1-1," Ad Valorem Tax")</f>
        <v>Amount of  2013 Ad Valorem Tax</v>
      </c>
      <c r="D118" s="843"/>
      <c r="E118" s="354">
        <f>E116+E117</f>
        <v>3768434</v>
      </c>
      <c r="G118" s="847" t="s">
        <v>872</v>
      </c>
      <c r="H118" s="848"/>
      <c r="I118" s="848"/>
      <c r="J118" s="849"/>
    </row>
    <row r="119" spans="2:10" ht="16.5" thickTop="1">
      <c r="B119" s="21"/>
      <c r="C119" s="842"/>
      <c r="D119" s="844"/>
      <c r="E119" s="662"/>
      <c r="G119" s="663"/>
      <c r="H119" s="664"/>
      <c r="I119" s="665"/>
      <c r="J119" s="666"/>
    </row>
    <row r="120" spans="2:10" ht="15.75">
      <c r="B120" s="21"/>
      <c r="C120" s="21"/>
      <c r="D120" s="21"/>
      <c r="E120" s="21"/>
      <c r="G120" s="667">
        <f>summ!H16</f>
        <v>25.146</v>
      </c>
      <c r="H120" s="664" t="str">
        <f>CONCATENATE("",E1," Fund Mill Rate")</f>
        <v>2014 Fund Mill Rate</v>
      </c>
      <c r="I120" s="665"/>
      <c r="J120" s="666"/>
    </row>
    <row r="121" spans="2:10" ht="15.75">
      <c r="B121" s="149"/>
      <c r="C121" s="118" t="s">
        <v>43</v>
      </c>
      <c r="D121" s="148" t="str">
        <f>CONCATENATE("",D59,"a")</f>
        <v>7a</v>
      </c>
      <c r="E121" s="149"/>
      <c r="G121" s="668">
        <f>summ!E16</f>
        <v>25.146</v>
      </c>
      <c r="H121" s="664" t="str">
        <f>CONCATENATE("",E1-1," Fund Mill Rate")</f>
        <v>2013 Fund Mill Rate</v>
      </c>
      <c r="I121" s="665"/>
      <c r="J121" s="666"/>
    </row>
    <row r="122" spans="7:10" ht="15.75">
      <c r="G122" s="669">
        <f>summ!H43</f>
        <v>27.522000000000002</v>
      </c>
      <c r="H122" s="664" t="str">
        <f>CONCATENATE("Total ",E1," Mill Rate")</f>
        <v>Total 2014 Mill Rate</v>
      </c>
      <c r="I122" s="665"/>
      <c r="J122" s="666"/>
    </row>
    <row r="123" spans="2:10" ht="15.75">
      <c r="B123" s="82"/>
      <c r="G123" s="668">
        <f>summ!E43</f>
        <v>27.522000000000002</v>
      </c>
      <c r="H123" s="670" t="str">
        <f>CONCATENATE("Total ",E1-1," Mill Rate")</f>
        <v>Total 2013 Mill Rate</v>
      </c>
      <c r="I123" s="671"/>
      <c r="J123" s="672"/>
    </row>
    <row r="124" ht="15.75">
      <c r="K124" s="567"/>
    </row>
    <row r="125" spans="7:9" ht="15.75">
      <c r="G125" s="781" t="s">
        <v>978</v>
      </c>
      <c r="H125" s="757"/>
      <c r="I125" s="756" t="str">
        <f>cert!F49</f>
        <v>No</v>
      </c>
    </row>
    <row r="126" spans="2:3" ht="15.75">
      <c r="B126" s="8"/>
      <c r="C126" s="8"/>
    </row>
    <row r="143" spans="3:4" ht="15.75" hidden="1">
      <c r="C143" s="22">
        <f>IF(C111&gt;C113,"See Tab A","")</f>
      </c>
      <c r="D143" s="22">
        <f>IF(D111&gt;D113,"See Tab C","")</f>
      </c>
    </row>
    <row r="144" spans="3:4" ht="15.75" hidden="1">
      <c r="C144" s="22">
        <f>IF(C112&lt;0,"See Tab B","")</f>
      </c>
      <c r="D144" s="22">
        <f>IF(D112&lt;0,"See Tab D","")</f>
      </c>
    </row>
  </sheetData>
  <sheetProtection sheet="1"/>
  <mergeCells count="7">
    <mergeCell ref="G101:J101"/>
    <mergeCell ref="C114:D114"/>
    <mergeCell ref="C115:D115"/>
    <mergeCell ref="C118:D118"/>
    <mergeCell ref="C119:D119"/>
    <mergeCell ref="G108:J108"/>
    <mergeCell ref="G118:J118"/>
  </mergeCells>
  <conditionalFormatting sqref="E114">
    <cfRule type="cellIs" priority="2" dxfId="248" operator="greaterThan" stopIfTrue="1">
      <formula>$E$111/0.95-$E$111</formula>
    </cfRule>
  </conditionalFormatting>
  <conditionalFormatting sqref="E109">
    <cfRule type="cellIs" priority="3" dxfId="248" operator="greaterThan" stopIfTrue="1">
      <formula>$E$111*0.1</formula>
    </cfRule>
  </conditionalFormatting>
  <conditionalFormatting sqref="D111">
    <cfRule type="cellIs" priority="4" dxfId="1" operator="greaterThan" stopIfTrue="1">
      <formula>$D$113</formula>
    </cfRule>
  </conditionalFormatting>
  <conditionalFormatting sqref="C111">
    <cfRule type="cellIs" priority="5" dxfId="1" operator="greaterThan" stopIfTrue="1">
      <formula>$C$113</formula>
    </cfRule>
  </conditionalFormatting>
  <conditionalFormatting sqref="C112">
    <cfRule type="cellIs" priority="6" dxfId="1" operator="lessThan" stopIfTrue="1">
      <formula>0</formula>
    </cfRule>
  </conditionalFormatting>
  <conditionalFormatting sqref="C109">
    <cfRule type="cellIs" priority="7" dxfId="1" operator="greaterThan" stopIfTrue="1">
      <formula>$C$111*0.1</formula>
    </cfRule>
  </conditionalFormatting>
  <conditionalFormatting sqref="D109">
    <cfRule type="cellIs" priority="8" dxfId="1" operator="greaterThan" stopIfTrue="1">
      <formula>$D$111*0.1</formula>
    </cfRule>
  </conditionalFormatting>
  <conditionalFormatting sqref="D54">
    <cfRule type="cellIs" priority="9" dxfId="1" operator="greaterThan" stopIfTrue="1">
      <formula>$D$56*0.1</formula>
    </cfRule>
  </conditionalFormatting>
  <conditionalFormatting sqref="C54">
    <cfRule type="cellIs" priority="10" dxfId="1" operator="greaterThan" stopIfTrue="1">
      <formula>$C$56*0.1</formula>
    </cfRule>
  </conditionalFormatting>
  <conditionalFormatting sqref="E54">
    <cfRule type="cellIs" priority="11" dxfId="24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3"/>
  <headerFooter alignWithMargins="0">
    <oddHeader>&amp;RState of Kansas
City
</oddHeader>
  </headerFooter>
  <rowBreaks count="1" manualBreakCount="1">
    <brk id="60" max="255" man="1"/>
  </rowBreaks>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3">
      <selection activeCell="B61" sqref="B61"/>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0" t="str">
        <f>inputPrYr!D2</f>
        <v>City of Merriam</v>
      </c>
      <c r="B1" s="21"/>
      <c r="C1" s="148"/>
      <c r="D1" s="21">
        <f>inputPrYr!C5</f>
        <v>2014</v>
      </c>
    </row>
    <row r="2" spans="1:4" ht="15.75">
      <c r="A2" s="21"/>
      <c r="B2" s="21"/>
      <c r="C2" s="21"/>
      <c r="D2" s="148"/>
    </row>
    <row r="3" spans="1:4" ht="15.75">
      <c r="A3" s="40"/>
      <c r="B3" s="245"/>
      <c r="C3" s="245"/>
      <c r="D3" s="245"/>
    </row>
    <row r="4" spans="1:4" ht="15.75">
      <c r="A4" s="148" t="s">
        <v>24</v>
      </c>
      <c r="B4" s="246" t="s">
        <v>811</v>
      </c>
      <c r="C4" s="124" t="s">
        <v>814</v>
      </c>
      <c r="D4" s="124" t="s">
        <v>815</v>
      </c>
    </row>
    <row r="5" spans="1:4" ht="15.75">
      <c r="A5" s="523" t="s">
        <v>307</v>
      </c>
      <c r="B5" s="351" t="str">
        <f>CONCATENATE("Actual for ",D1-2,"")</f>
        <v>Actual for 2012</v>
      </c>
      <c r="C5" s="351" t="str">
        <f>CONCATENATE("Estimate for ",D1-1,"")</f>
        <v>Estimate for 2013</v>
      </c>
      <c r="D5" s="221" t="str">
        <f>CONCATENATE("Year for ",D1,"")</f>
        <v>Year for 2014</v>
      </c>
    </row>
    <row r="6" spans="1:4" ht="15.75">
      <c r="A6" s="190" t="s">
        <v>36</v>
      </c>
      <c r="B6" s="67"/>
      <c r="C6" s="67"/>
      <c r="D6" s="67"/>
    </row>
    <row r="7" spans="1:4" ht="15.75">
      <c r="A7" s="247"/>
      <c r="B7" s="67"/>
      <c r="C7" s="67"/>
      <c r="D7" s="67"/>
    </row>
    <row r="8" spans="1:4" ht="15.75">
      <c r="A8" s="248" t="s">
        <v>44</v>
      </c>
      <c r="B8" s="229"/>
      <c r="C8" s="229"/>
      <c r="D8" s="229"/>
    </row>
    <row r="9" spans="1:4" ht="15.75">
      <c r="A9" s="248" t="s">
        <v>37</v>
      </c>
      <c r="B9" s="229"/>
      <c r="C9" s="229"/>
      <c r="D9" s="229"/>
    </row>
    <row r="10" spans="1:4" ht="15.75">
      <c r="A10" s="248" t="s">
        <v>38</v>
      </c>
      <c r="B10" s="229"/>
      <c r="C10" s="229"/>
      <c r="D10" s="229"/>
    </row>
    <row r="11" spans="1:4" ht="15.75">
      <c r="A11" s="248" t="s">
        <v>39</v>
      </c>
      <c r="B11" s="229"/>
      <c r="C11" s="229"/>
      <c r="D11" s="229"/>
    </row>
    <row r="12" spans="1:4" ht="15.75">
      <c r="A12" s="248"/>
      <c r="B12" s="229"/>
      <c r="C12" s="229"/>
      <c r="D12" s="229"/>
    </row>
    <row r="13" spans="1:4" ht="15.75">
      <c r="A13" s="52"/>
      <c r="B13" s="229"/>
      <c r="C13" s="229"/>
      <c r="D13" s="229"/>
    </row>
    <row r="14" spans="1:4" ht="15.75">
      <c r="A14" s="52"/>
      <c r="B14" s="229"/>
      <c r="C14" s="229"/>
      <c r="D14" s="229"/>
    </row>
    <row r="15" spans="1:4" ht="15.75">
      <c r="A15" s="190" t="s">
        <v>336</v>
      </c>
      <c r="B15" s="240">
        <f>SUM(B8:B14)</f>
        <v>0</v>
      </c>
      <c r="C15" s="240">
        <f>SUM(C8:C14)</f>
        <v>0</v>
      </c>
      <c r="D15" s="240">
        <f>SUM(D8:D14)</f>
        <v>0</v>
      </c>
    </row>
    <row r="16" spans="1:4" ht="15.75">
      <c r="A16" s="249"/>
      <c r="B16" s="150"/>
      <c r="C16" s="150"/>
      <c r="D16" s="150"/>
    </row>
    <row r="17" spans="1:4" ht="15.75">
      <c r="A17" s="248" t="s">
        <v>44</v>
      </c>
      <c r="B17" s="229"/>
      <c r="C17" s="229"/>
      <c r="D17" s="229"/>
    </row>
    <row r="18" spans="1:4" ht="15.75">
      <c r="A18" s="248" t="s">
        <v>37</v>
      </c>
      <c r="B18" s="229"/>
      <c r="C18" s="229"/>
      <c r="D18" s="229"/>
    </row>
    <row r="19" spans="1:4" ht="15.75">
      <c r="A19" s="248" t="s">
        <v>38</v>
      </c>
      <c r="B19" s="229"/>
      <c r="C19" s="229"/>
      <c r="D19" s="229"/>
    </row>
    <row r="20" spans="1:4" ht="15.75">
      <c r="A20" s="248" t="s">
        <v>39</v>
      </c>
      <c r="B20" s="229"/>
      <c r="C20" s="229"/>
      <c r="D20" s="229"/>
    </row>
    <row r="21" spans="1:4" ht="15.75">
      <c r="A21" s="190" t="s">
        <v>336</v>
      </c>
      <c r="B21" s="240">
        <f>SUM(B17:B20)</f>
        <v>0</v>
      </c>
      <c r="C21" s="240">
        <f>SUM(C17:C20)</f>
        <v>0</v>
      </c>
      <c r="D21" s="240">
        <f>SUM(D17:D20)</f>
        <v>0</v>
      </c>
    </row>
    <row r="22" spans="1:4" ht="15.75">
      <c r="A22" s="249"/>
      <c r="B22" s="150"/>
      <c r="C22" s="150"/>
      <c r="D22" s="150"/>
    </row>
    <row r="23" spans="1:4" ht="15.75">
      <c r="A23" s="248" t="s">
        <v>44</v>
      </c>
      <c r="B23" s="229"/>
      <c r="C23" s="229"/>
      <c r="D23" s="229"/>
    </row>
    <row r="24" spans="1:4" ht="15.75">
      <c r="A24" s="248" t="s">
        <v>37</v>
      </c>
      <c r="B24" s="229"/>
      <c r="C24" s="229"/>
      <c r="D24" s="229"/>
    </row>
    <row r="25" spans="1:4" ht="15.75">
      <c r="A25" s="248" t="s">
        <v>38</v>
      </c>
      <c r="B25" s="229"/>
      <c r="C25" s="229"/>
      <c r="D25" s="229"/>
    </row>
    <row r="26" spans="1:4" ht="15.75">
      <c r="A26" s="248" t="s">
        <v>39</v>
      </c>
      <c r="B26" s="229"/>
      <c r="C26" s="229"/>
      <c r="D26" s="229"/>
    </row>
    <row r="27" spans="1:4" ht="15.75">
      <c r="A27" s="190" t="s">
        <v>336</v>
      </c>
      <c r="B27" s="240">
        <f>SUM(B23:B26)</f>
        <v>0</v>
      </c>
      <c r="C27" s="240">
        <f>SUM(C23:C26)</f>
        <v>0</v>
      </c>
      <c r="D27" s="240">
        <f>SUM(D23:D26)</f>
        <v>0</v>
      </c>
    </row>
    <row r="28" spans="1:4" ht="15.75">
      <c r="A28" s="249"/>
      <c r="B28" s="150"/>
      <c r="C28" s="150"/>
      <c r="D28" s="150"/>
    </row>
    <row r="29" spans="1:4" ht="15.75">
      <c r="A29" s="248" t="s">
        <v>44</v>
      </c>
      <c r="B29" s="229"/>
      <c r="C29" s="229"/>
      <c r="D29" s="229"/>
    </row>
    <row r="30" spans="1:4" ht="15.75">
      <c r="A30" s="248" t="s">
        <v>37</v>
      </c>
      <c r="B30" s="229"/>
      <c r="C30" s="229"/>
      <c r="D30" s="229"/>
    </row>
    <row r="31" spans="1:4" ht="15.75">
      <c r="A31" s="248" t="s">
        <v>38</v>
      </c>
      <c r="B31" s="229"/>
      <c r="C31" s="229"/>
      <c r="D31" s="229"/>
    </row>
    <row r="32" spans="1:4" ht="15.75">
      <c r="A32" s="248" t="s">
        <v>39</v>
      </c>
      <c r="B32" s="229"/>
      <c r="C32" s="229"/>
      <c r="D32" s="229"/>
    </row>
    <row r="33" spans="1:4" ht="15.75">
      <c r="A33" s="190" t="s">
        <v>336</v>
      </c>
      <c r="B33" s="240">
        <f>SUM(B29:B32)</f>
        <v>0</v>
      </c>
      <c r="C33" s="240">
        <f>SUM(C29:C32)</f>
        <v>0</v>
      </c>
      <c r="D33" s="240">
        <f>SUM(D29:D32)</f>
        <v>0</v>
      </c>
    </row>
    <row r="34" spans="1:4" ht="15.75">
      <c r="A34" s="249"/>
      <c r="B34" s="150"/>
      <c r="C34" s="150"/>
      <c r="D34" s="150"/>
    </row>
    <row r="35" spans="1:4" ht="15.75">
      <c r="A35" s="248" t="s">
        <v>44</v>
      </c>
      <c r="B35" s="229"/>
      <c r="C35" s="229"/>
      <c r="D35" s="229"/>
    </row>
    <row r="36" spans="1:4" ht="15.75">
      <c r="A36" s="248" t="s">
        <v>37</v>
      </c>
      <c r="B36" s="229"/>
      <c r="C36" s="229"/>
      <c r="D36" s="229"/>
    </row>
    <row r="37" spans="1:4" ht="15.75">
      <c r="A37" s="248" t="s">
        <v>38</v>
      </c>
      <c r="B37" s="229"/>
      <c r="C37" s="229"/>
      <c r="D37" s="229"/>
    </row>
    <row r="38" spans="1:4" ht="15.75">
      <c r="A38" s="248" t="s">
        <v>39</v>
      </c>
      <c r="B38" s="229"/>
      <c r="C38" s="229"/>
      <c r="D38" s="229"/>
    </row>
    <row r="39" spans="1:4" ht="15.75">
      <c r="A39" s="190" t="s">
        <v>336</v>
      </c>
      <c r="B39" s="240">
        <f>SUM(B35:B38)</f>
        <v>0</v>
      </c>
      <c r="C39" s="240">
        <f>SUM(C35:C38)</f>
        <v>0</v>
      </c>
      <c r="D39" s="240">
        <f>SUM(D35:D38)</f>
        <v>0</v>
      </c>
    </row>
    <row r="40" spans="1:4" ht="15.75">
      <c r="A40" s="249"/>
      <c r="B40" s="150"/>
      <c r="C40" s="150"/>
      <c r="D40" s="150"/>
    </row>
    <row r="41" spans="1:4" ht="15.75">
      <c r="A41" s="248" t="s">
        <v>44</v>
      </c>
      <c r="B41" s="229"/>
      <c r="C41" s="229"/>
      <c r="D41" s="229"/>
    </row>
    <row r="42" spans="1:4" ht="15.75">
      <c r="A42" s="248" t="s">
        <v>37</v>
      </c>
      <c r="B42" s="229"/>
      <c r="C42" s="229"/>
      <c r="D42" s="229"/>
    </row>
    <row r="43" spans="1:4" ht="15.75">
      <c r="A43" s="248" t="s">
        <v>38</v>
      </c>
      <c r="B43" s="229"/>
      <c r="C43" s="229"/>
      <c r="D43" s="229"/>
    </row>
    <row r="44" spans="1:4" ht="15.75">
      <c r="A44" s="248" t="s">
        <v>39</v>
      </c>
      <c r="B44" s="229"/>
      <c r="C44" s="229"/>
      <c r="D44" s="229"/>
    </row>
    <row r="45" spans="1:4" ht="15.75">
      <c r="A45" s="190" t="s">
        <v>336</v>
      </c>
      <c r="B45" s="240">
        <f>SUM(B41:B44)</f>
        <v>0</v>
      </c>
      <c r="C45" s="240">
        <f>SUM(C41:C44)</f>
        <v>0</v>
      </c>
      <c r="D45" s="240">
        <f>SUM(D41:D44)</f>
        <v>0</v>
      </c>
    </row>
    <row r="46" spans="1:4" ht="15.75">
      <c r="A46" s="249"/>
      <c r="B46" s="150"/>
      <c r="C46" s="150"/>
      <c r="D46" s="150"/>
    </row>
    <row r="47" spans="1:4" ht="15.75">
      <c r="A47" s="248" t="s">
        <v>44</v>
      </c>
      <c r="B47" s="229"/>
      <c r="C47" s="229"/>
      <c r="D47" s="229"/>
    </row>
    <row r="48" spans="1:4" ht="15.75">
      <c r="A48" s="248" t="s">
        <v>37</v>
      </c>
      <c r="B48" s="229"/>
      <c r="C48" s="229"/>
      <c r="D48" s="229"/>
    </row>
    <row r="49" spans="1:4" ht="15.75">
      <c r="A49" s="248" t="s">
        <v>38</v>
      </c>
      <c r="B49" s="229"/>
      <c r="C49" s="229"/>
      <c r="D49" s="229"/>
    </row>
    <row r="50" spans="1:4" ht="15.75">
      <c r="A50" s="248" t="s">
        <v>39</v>
      </c>
      <c r="B50" s="229"/>
      <c r="C50" s="229"/>
      <c r="D50" s="229"/>
    </row>
    <row r="51" spans="1:4" ht="15.75">
      <c r="A51" s="190" t="s">
        <v>336</v>
      </c>
      <c r="B51" s="240">
        <f>SUM(B47:B50)</f>
        <v>0</v>
      </c>
      <c r="C51" s="240">
        <f>SUM(C47:C50)</f>
        <v>0</v>
      </c>
      <c r="D51" s="240">
        <f>SUM(D47:D50)</f>
        <v>0</v>
      </c>
    </row>
    <row r="52" spans="1:4" ht="15.75">
      <c r="A52" s="249"/>
      <c r="B52" s="150"/>
      <c r="C52" s="150"/>
      <c r="D52" s="150"/>
    </row>
    <row r="53" spans="1:4" ht="15.75">
      <c r="A53" s="248" t="s">
        <v>44</v>
      </c>
      <c r="B53" s="229"/>
      <c r="C53" s="229"/>
      <c r="D53" s="229"/>
    </row>
    <row r="54" spans="1:4" ht="15.75">
      <c r="A54" s="248" t="s">
        <v>37</v>
      </c>
      <c r="B54" s="229"/>
      <c r="C54" s="229"/>
      <c r="D54" s="229"/>
    </row>
    <row r="55" spans="1:4" ht="15.75">
      <c r="A55" s="248" t="s">
        <v>38</v>
      </c>
      <c r="B55" s="229"/>
      <c r="C55" s="229"/>
      <c r="D55" s="229"/>
    </row>
    <row r="56" spans="1:4" ht="15.75">
      <c r="A56" s="248" t="s">
        <v>39</v>
      </c>
      <c r="B56" s="229"/>
      <c r="C56" s="229"/>
      <c r="D56" s="229"/>
    </row>
    <row r="57" spans="1:4" ht="15.75">
      <c r="A57" s="190" t="s">
        <v>336</v>
      </c>
      <c r="B57" s="240">
        <f>SUM(B53:B56)</f>
        <v>0</v>
      </c>
      <c r="C57" s="240">
        <f>SUM(C53:C56)</f>
        <v>0</v>
      </c>
      <c r="D57" s="240">
        <f>SUM(D53:D56)</f>
        <v>0</v>
      </c>
    </row>
    <row r="58" spans="1:4" ht="15.75">
      <c r="A58" s="21"/>
      <c r="B58" s="150"/>
      <c r="C58" s="150"/>
      <c r="D58" s="150"/>
    </row>
    <row r="59" spans="1:4" ht="16.5" thickBot="1">
      <c r="A59" s="190" t="s">
        <v>45</v>
      </c>
      <c r="B59" s="250">
        <f>B15+B21+B27+B33+B39+B45+B51+B57</f>
        <v>0</v>
      </c>
      <c r="C59" s="250">
        <f>C15+C21+C27+C33+C39+C45+C51+C57</f>
        <v>0</v>
      </c>
      <c r="D59" s="250">
        <f>D15+D21+D27+D33+D39+D45+D51+D57</f>
        <v>0</v>
      </c>
    </row>
    <row r="60" spans="1:4" ht="16.5" thickTop="1">
      <c r="A60" s="251" t="s">
        <v>306</v>
      </c>
      <c r="B60" s="150"/>
      <c r="C60" s="150"/>
      <c r="D60" s="150"/>
    </row>
    <row r="61" spans="1:4" ht="15.75">
      <c r="A61" s="118" t="s">
        <v>43</v>
      </c>
      <c r="B61" s="574" t="str">
        <f>CONCATENATE("",general!D59,"c")</f>
        <v>7c</v>
      </c>
      <c r="C61" s="150"/>
      <c r="D61" s="150"/>
    </row>
  </sheetData>
  <sheetProtection sheet="1"/>
  <printOptions/>
  <pageMargins left="0.5" right="0.5" top="1" bottom="0.5" header="0.5" footer="0.5"/>
  <pageSetup blackAndWhite="1" fitToHeight="1" fitToWidth="1" horizontalDpi="300" verticalDpi="300" orientation="portrait" scale="80"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dimension ref="B1:K94"/>
  <sheetViews>
    <sheetView zoomScale="90" zoomScaleNormal="90" workbookViewId="0" topLeftCell="B10">
      <selection activeCell="C34" sqref="C34"/>
    </sheetView>
  </sheetViews>
  <sheetFormatPr defaultColWidth="8.796875" defaultRowHeight="15"/>
  <cols>
    <col min="1" max="1" width="2.3984375" style="22" customWidth="1"/>
    <col min="2" max="2" width="31.09765625" style="22" customWidth="1"/>
    <col min="3" max="4" width="15.796875" style="22" customWidth="1"/>
    <col min="5" max="5" width="16.19921875" style="22" customWidth="1"/>
    <col min="6" max="6" width="8.0976562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Merriam</v>
      </c>
      <c r="C1" s="150"/>
      <c r="D1" s="21"/>
      <c r="E1" s="184">
        <f>inputPrYr!$C$5</f>
        <v>2014</v>
      </c>
    </row>
    <row r="2" spans="2:5" ht="15.75">
      <c r="B2" s="21"/>
      <c r="C2" s="21"/>
      <c r="D2" s="21"/>
      <c r="E2" s="146"/>
    </row>
    <row r="3" spans="2:5" ht="15.75">
      <c r="B3" s="40" t="s">
        <v>92</v>
      </c>
      <c r="C3" s="40"/>
      <c r="D3" s="360"/>
      <c r="E3" s="359"/>
    </row>
    <row r="4" spans="2:5" ht="15.75">
      <c r="B4" s="28" t="s">
        <v>24</v>
      </c>
      <c r="C4" s="660" t="s">
        <v>811</v>
      </c>
      <c r="D4" s="661" t="s">
        <v>814</v>
      </c>
      <c r="E4" s="124" t="s">
        <v>815</v>
      </c>
    </row>
    <row r="5" spans="2:5" ht="15.75">
      <c r="B5" s="367" t="str">
        <f>inputPrYr!B18</f>
        <v>Debt Service</v>
      </c>
      <c r="C5" s="351" t="str">
        <f>CONCATENATE("Actual for ",E1-2,"")</f>
        <v>Actual for 2012</v>
      </c>
      <c r="D5" s="351" t="str">
        <f>CONCATENATE("Estimate for ",E1-1,"")</f>
        <v>Estimate for 2013</v>
      </c>
      <c r="E5" s="221" t="str">
        <f>CONCATENATE("Year for ",E1,"")</f>
        <v>Year for 2014</v>
      </c>
    </row>
    <row r="6" spans="2:5" ht="15.75">
      <c r="B6" s="130" t="s">
        <v>147</v>
      </c>
      <c r="C6" s="595">
        <v>71423</v>
      </c>
      <c r="D6" s="350">
        <f>C34</f>
        <v>110423</v>
      </c>
      <c r="E6" s="192">
        <f>D34</f>
        <v>59160</v>
      </c>
    </row>
    <row r="7" spans="2:5" ht="15.75">
      <c r="B7" s="130" t="s">
        <v>149</v>
      </c>
      <c r="C7" s="350"/>
      <c r="D7" s="350"/>
      <c r="E7" s="192"/>
    </row>
    <row r="8" spans="2:5" ht="15.75">
      <c r="B8" s="130" t="s">
        <v>25</v>
      </c>
      <c r="C8" s="581">
        <v>280818</v>
      </c>
      <c r="D8" s="350">
        <f>IF(inputPrYr!H16&gt;0,inputPrYr!G18,inputPrYr!E18)</f>
        <v>344356</v>
      </c>
      <c r="E8" s="253" t="s">
        <v>13</v>
      </c>
    </row>
    <row r="9" spans="2:5" ht="15.75">
      <c r="B9" s="130" t="s">
        <v>26</v>
      </c>
      <c r="C9" s="581">
        <v>4962</v>
      </c>
      <c r="D9" s="223">
        <v>-1713</v>
      </c>
      <c r="E9" s="49"/>
    </row>
    <row r="10" spans="2:5" ht="15.75">
      <c r="B10" s="130" t="s">
        <v>27</v>
      </c>
      <c r="C10" s="581">
        <f>30393+3055+1+298</f>
        <v>33747</v>
      </c>
      <c r="D10" s="223">
        <v>35107</v>
      </c>
      <c r="E10" s="192">
        <f>mvalloc!D8</f>
        <v>34658</v>
      </c>
    </row>
    <row r="11" spans="2:5" ht="15.75">
      <c r="B11" s="130" t="s">
        <v>28</v>
      </c>
      <c r="C11" s="581">
        <v>134</v>
      </c>
      <c r="D11" s="223">
        <v>182</v>
      </c>
      <c r="E11" s="192">
        <f>mvalloc!E8</f>
        <v>121</v>
      </c>
    </row>
    <row r="12" spans="2:5" ht="15.75">
      <c r="B12" s="239" t="s">
        <v>124</v>
      </c>
      <c r="C12" s="581">
        <v>382</v>
      </c>
      <c r="D12" s="223">
        <v>482</v>
      </c>
      <c r="E12" s="192">
        <f>mvalloc!F8</f>
        <v>355</v>
      </c>
    </row>
    <row r="13" spans="2:5" ht="15.75">
      <c r="B13" s="49" t="s">
        <v>1030</v>
      </c>
      <c r="C13" s="581">
        <v>420850</v>
      </c>
      <c r="D13" s="223">
        <v>419300</v>
      </c>
      <c r="E13" s="49">
        <v>422400</v>
      </c>
    </row>
    <row r="14" spans="2:5" ht="15.75">
      <c r="B14" s="49" t="s">
        <v>1031</v>
      </c>
      <c r="C14" s="581"/>
      <c r="D14" s="223">
        <v>-55884</v>
      </c>
      <c r="E14" s="49">
        <f>-67759-408</f>
        <v>-68167</v>
      </c>
    </row>
    <row r="15" spans="2:5" ht="15.75">
      <c r="B15" s="49" t="s">
        <v>1019</v>
      </c>
      <c r="C15" s="581">
        <v>2464076</v>
      </c>
      <c r="D15" s="223">
        <v>2339205</v>
      </c>
      <c r="E15" s="49">
        <v>1065209</v>
      </c>
    </row>
    <row r="16" spans="2:5" ht="15.75">
      <c r="B16" s="230"/>
      <c r="C16" s="581"/>
      <c r="D16" s="223"/>
      <c r="E16" s="49"/>
    </row>
    <row r="17" spans="2:5" ht="15.75">
      <c r="B17" s="266" t="s">
        <v>32</v>
      </c>
      <c r="C17" s="581">
        <f>5090-990</f>
        <v>4100</v>
      </c>
      <c r="D17" s="223">
        <v>3000</v>
      </c>
      <c r="E17" s="49">
        <v>2996</v>
      </c>
    </row>
    <row r="18" spans="2:5" ht="15.75">
      <c r="B18" s="130" t="s">
        <v>271</v>
      </c>
      <c r="C18" s="581"/>
      <c r="D18" s="223"/>
      <c r="E18" s="49"/>
    </row>
    <row r="19" spans="2:5" ht="15.75">
      <c r="B19" s="130" t="s">
        <v>794</v>
      </c>
      <c r="C19" s="352">
        <f>IF(C20*0.1&lt;C18,"Exceed 10% Rule","")</f>
      </c>
      <c r="D19" s="369">
        <f>IF(D20*0.1&lt;D18,"Exceed 10% Rule","")</f>
      </c>
      <c r="E19" s="254">
        <f>IF(E21*0.01+E40&lt;E18,"Exceed 10% Rule","")</f>
      </c>
    </row>
    <row r="20" spans="2:5" ht="15.75">
      <c r="B20" s="232" t="s">
        <v>33</v>
      </c>
      <c r="C20" s="353">
        <f>SUM(C8:C18)</f>
        <v>3209069</v>
      </c>
      <c r="D20" s="353">
        <f>SUM(D8:D18)</f>
        <v>3084035</v>
      </c>
      <c r="E20" s="258">
        <f>SUM(E8:E18)</f>
        <v>1457572</v>
      </c>
    </row>
    <row r="21" spans="2:5" ht="15.75">
      <c r="B21" s="232" t="s">
        <v>34</v>
      </c>
      <c r="C21" s="353">
        <f>C6+C20</f>
        <v>3280492</v>
      </c>
      <c r="D21" s="353">
        <f>D6+D20</f>
        <v>3194458</v>
      </c>
      <c r="E21" s="258">
        <f>E6+E20</f>
        <v>1516732</v>
      </c>
    </row>
    <row r="22" spans="2:5" ht="15.75">
      <c r="B22" s="130" t="s">
        <v>36</v>
      </c>
      <c r="C22" s="130"/>
      <c r="D22" s="350"/>
      <c r="E22" s="192"/>
    </row>
    <row r="23" spans="2:5" ht="15.75">
      <c r="B23" s="230" t="s">
        <v>1032</v>
      </c>
      <c r="C23" s="364">
        <v>2800000</v>
      </c>
      <c r="D23" s="223">
        <v>2915000</v>
      </c>
      <c r="E23" s="49">
        <v>1680000</v>
      </c>
    </row>
    <row r="24" spans="2:10" ht="15.75">
      <c r="B24" s="230" t="s">
        <v>1033</v>
      </c>
      <c r="C24" s="364">
        <v>371059</v>
      </c>
      <c r="D24" s="223">
        <v>220298</v>
      </c>
      <c r="E24" s="49">
        <v>147448</v>
      </c>
      <c r="G24" s="856" t="str">
        <f>CONCATENATE("Desired Carryover Into ",E1+1,"")</f>
        <v>Desired Carryover Into 2015</v>
      </c>
      <c r="H24" s="845"/>
      <c r="I24" s="845"/>
      <c r="J24" s="846"/>
    </row>
    <row r="25" spans="2:10" ht="15.75">
      <c r="B25" s="230" t="s">
        <v>1091</v>
      </c>
      <c r="C25" s="364">
        <v>82116</v>
      </c>
      <c r="D25" s="223"/>
      <c r="E25" s="49"/>
      <c r="G25" s="582"/>
      <c r="H25" s="577"/>
      <c r="I25" s="579"/>
      <c r="J25" s="583"/>
    </row>
    <row r="26" spans="2:10" ht="15.75">
      <c r="B26" s="230" t="s">
        <v>1093</v>
      </c>
      <c r="C26" s="364">
        <f>-7300000-227343</f>
        <v>-7527343</v>
      </c>
      <c r="D26" s="223"/>
      <c r="E26" s="49"/>
      <c r="G26" s="580" t="s">
        <v>638</v>
      </c>
      <c r="H26" s="579"/>
      <c r="I26" s="579"/>
      <c r="J26" s="578">
        <v>0</v>
      </c>
    </row>
    <row r="27" spans="2:10" ht="15.75">
      <c r="B27" s="230" t="s">
        <v>1092</v>
      </c>
      <c r="C27" s="364">
        <v>7444237</v>
      </c>
      <c r="D27" s="223"/>
      <c r="E27" s="49"/>
      <c r="G27" s="582" t="s">
        <v>639</v>
      </c>
      <c r="H27" s="577"/>
      <c r="I27" s="577"/>
      <c r="J27" s="596">
        <f>IF(J26=0,"",ROUND((J26+E40-G39)/inputOth!E7*1000,3)-G44)</f>
      </c>
    </row>
    <row r="28" spans="2:10" ht="15.75">
      <c r="B28" s="230"/>
      <c r="C28" s="364"/>
      <c r="D28" s="223"/>
      <c r="E28" s="49"/>
      <c r="G28" s="587" t="str">
        <f>CONCATENATE("",E1," Tot Exp/Non-Appr Must Be:")</f>
        <v>2014 Tot Exp/Non-Appr Must Be:</v>
      </c>
      <c r="H28" s="585"/>
      <c r="I28" s="586"/>
      <c r="J28" s="584">
        <f>IF(J26&gt;0,IF(E37&lt;E21,IF(J26=G39,E37,((J26-G39)*(1-D39))+E21),E37+(J26-G39)),0)</f>
        <v>0</v>
      </c>
    </row>
    <row r="29" spans="2:10" ht="15.75">
      <c r="B29" s="230"/>
      <c r="C29" s="364"/>
      <c r="D29" s="223"/>
      <c r="E29" s="49"/>
      <c r="G29" s="591" t="s">
        <v>816</v>
      </c>
      <c r="H29" s="592"/>
      <c r="I29" s="592"/>
      <c r="J29" s="588">
        <f>IF(J26&gt;0,J28-E37,0)</f>
        <v>0</v>
      </c>
    </row>
    <row r="30" spans="2:5" ht="15.75">
      <c r="B30" s="362" t="s">
        <v>272</v>
      </c>
      <c r="C30" s="364"/>
      <c r="D30" s="223"/>
      <c r="E30" s="192">
        <f>nhood!E7</f>
      </c>
    </row>
    <row r="31" spans="2:10" ht="15.75">
      <c r="B31" s="362" t="s">
        <v>271</v>
      </c>
      <c r="C31" s="364"/>
      <c r="D31" s="223"/>
      <c r="E31" s="49">
        <v>45357</v>
      </c>
      <c r="G31" s="852" t="str">
        <f>CONCATENATE("Projected Carryover Into ",E1+1,"")</f>
        <v>Projected Carryover Into 2015</v>
      </c>
      <c r="H31" s="853"/>
      <c r="I31" s="853"/>
      <c r="J31" s="846"/>
    </row>
    <row r="32" spans="2:10" ht="15.75">
      <c r="B32" s="362" t="s">
        <v>634</v>
      </c>
      <c r="C32" s="363">
        <f>IF(C33*0.1&lt;C31,"Exceed 10% Rule","")</f>
      </c>
      <c r="D32" s="370">
        <f>IF(D33*0.1&lt;D31,"Exceed 10% Rule","")</f>
      </c>
      <c r="E32" s="361">
        <f>IF(E33*0.1&lt;E31,"Exceed 10% Rule","")</f>
      </c>
      <c r="G32" s="477"/>
      <c r="H32" s="476"/>
      <c r="I32" s="476"/>
      <c r="J32" s="575"/>
    </row>
    <row r="33" spans="2:10" ht="15.75">
      <c r="B33" s="232" t="s">
        <v>40</v>
      </c>
      <c r="C33" s="365">
        <f>SUM(C23:C31)</f>
        <v>3170069</v>
      </c>
      <c r="D33" s="365">
        <f>SUM(D23:D31)</f>
        <v>3135298</v>
      </c>
      <c r="E33" s="233">
        <f>SUM(E23:E31)</f>
        <v>1872805</v>
      </c>
      <c r="G33" s="481">
        <f>D34</f>
        <v>59160</v>
      </c>
      <c r="H33" s="482" t="str">
        <f>CONCATENATE("",E1-1," Ending Cash Balance (est.)")</f>
        <v>2013 Ending Cash Balance (est.)</v>
      </c>
      <c r="I33" s="478"/>
      <c r="J33" s="575"/>
    </row>
    <row r="34" spans="2:10" ht="15.75">
      <c r="B34" s="130" t="s">
        <v>148</v>
      </c>
      <c r="C34" s="366">
        <f>C21-C33</f>
        <v>110423</v>
      </c>
      <c r="D34" s="366">
        <f>D21-D33</f>
        <v>59160</v>
      </c>
      <c r="E34" s="253" t="s">
        <v>13</v>
      </c>
      <c r="G34" s="481">
        <f>E20</f>
        <v>1457572</v>
      </c>
      <c r="H34" s="483" t="str">
        <f>CONCATENATE("",E1," Non-AV Receipts (est.)")</f>
        <v>2014 Non-AV Receipts (est.)</v>
      </c>
      <c r="I34" s="476"/>
      <c r="J34" s="575"/>
    </row>
    <row r="35" spans="2:11" ht="15.75">
      <c r="B35" s="118" t="str">
        <f>CONCATENATE("",E1-2,"/",E1-1," Budget Authority Amount:")</f>
        <v>2012/2013 Budget Authority Amount:</v>
      </c>
      <c r="C35" s="182">
        <f>inputOth!B62</f>
        <v>3271330</v>
      </c>
      <c r="D35" s="241">
        <f>inputPrYr!D18</f>
        <v>3184035</v>
      </c>
      <c r="E35" s="253" t="s">
        <v>13</v>
      </c>
      <c r="F35" s="242"/>
      <c r="G35" s="484">
        <f>IF(E39&gt;0,E38,E40)</f>
        <v>356073</v>
      </c>
      <c r="H35" s="483" t="str">
        <f>CONCATENATE("",E1," Ad Valorem Tax (est.)")</f>
        <v>2014 Ad Valorem Tax (est.)</v>
      </c>
      <c r="I35" s="476"/>
      <c r="J35" s="575"/>
      <c r="K35" s="594">
        <f>IF(G35=E40,"","Note: Does not include Delinquent Taxes")</f>
      </c>
    </row>
    <row r="36" spans="2:10" ht="15.75">
      <c r="B36" s="118"/>
      <c r="C36" s="838" t="s">
        <v>630</v>
      </c>
      <c r="D36" s="839"/>
      <c r="E36" s="49"/>
      <c r="F36" s="387">
        <f>IF(E33/0.95-E33&lt;E36,"Exceeds 5%","")</f>
      </c>
      <c r="G36" s="481">
        <f>SUM(G33:G35)</f>
        <v>1872805</v>
      </c>
      <c r="H36" s="483" t="str">
        <f>CONCATENATE("Total ",E1," Resources Available")</f>
        <v>Total 2014 Resources Available</v>
      </c>
      <c r="I36" s="478"/>
      <c r="J36" s="575"/>
    </row>
    <row r="37" spans="2:10" ht="15.75">
      <c r="B37" s="371" t="str">
        <f>CONCATENATE(C90,"     ",D90)</f>
        <v>     </v>
      </c>
      <c r="C37" s="840" t="s">
        <v>631</v>
      </c>
      <c r="D37" s="841"/>
      <c r="E37" s="192">
        <f>E33+E36</f>
        <v>1872805</v>
      </c>
      <c r="G37" s="485"/>
      <c r="H37" s="483"/>
      <c r="I37" s="476"/>
      <c r="J37" s="575"/>
    </row>
    <row r="38" spans="2:10" ht="15.75">
      <c r="B38" s="371" t="str">
        <f>CONCATENATE(C91,"     ",D91)</f>
        <v>     </v>
      </c>
      <c r="C38" s="243"/>
      <c r="D38" s="146" t="s">
        <v>41</v>
      </c>
      <c r="E38" s="56">
        <f>IF(E37-E21&gt;0,E37-E21,0)</f>
        <v>356073</v>
      </c>
      <c r="G38" s="484">
        <f>C33</f>
        <v>3170069</v>
      </c>
      <c r="H38" s="483" t="str">
        <f>CONCATENATE("Less ",E1-2," Expenditures")</f>
        <v>Less 2012 Expenditures</v>
      </c>
      <c r="I38" s="476"/>
      <c r="J38" s="575"/>
    </row>
    <row r="39" spans="2:10" ht="15.75">
      <c r="B39" s="146"/>
      <c r="C39" s="357" t="s">
        <v>632</v>
      </c>
      <c r="D39" s="593">
        <f>inputOth!E47</f>
        <v>0</v>
      </c>
      <c r="E39" s="192">
        <f>ROUND(IF(D39&gt;0,(E38*D39),0),0)</f>
        <v>0</v>
      </c>
      <c r="G39" s="415">
        <f>SUM(G36-G38)</f>
        <v>-1297264</v>
      </c>
      <c r="H39" s="416" t="str">
        <f>CONCATENATE("Projected ",E1+1," carryover (est.)")</f>
        <v>Projected 2015 carryover (est.)</v>
      </c>
      <c r="I39" s="479"/>
      <c r="J39" s="573"/>
    </row>
    <row r="40" spans="2:5" ht="16.5" thickBot="1">
      <c r="B40" s="21"/>
      <c r="C40" s="850" t="str">
        <f>CONCATENATE("Amount of  ",E1-1," Ad Valorem Tax")</f>
        <v>Amount of  2013 Ad Valorem Tax</v>
      </c>
      <c r="D40" s="851"/>
      <c r="E40" s="259">
        <f>E38+E39</f>
        <v>356073</v>
      </c>
    </row>
    <row r="41" spans="2:10" ht="16.5" thickTop="1">
      <c r="B41" s="21"/>
      <c r="C41" s="850"/>
      <c r="D41" s="850"/>
      <c r="E41" s="358"/>
      <c r="G41" s="847" t="s">
        <v>872</v>
      </c>
      <c r="H41" s="848"/>
      <c r="I41" s="848"/>
      <c r="J41" s="849"/>
    </row>
    <row r="42" spans="2:10" ht="15.75">
      <c r="B42" s="21"/>
      <c r="C42" s="358"/>
      <c r="D42" s="358"/>
      <c r="E42" s="358"/>
      <c r="G42" s="734"/>
      <c r="H42" s="693"/>
      <c r="I42" s="722"/>
      <c r="J42" s="723"/>
    </row>
    <row r="43" spans="2:10" ht="15.75">
      <c r="B43" s="28"/>
      <c r="C43" s="28"/>
      <c r="D43" s="360"/>
      <c r="E43" s="360"/>
      <c r="G43" s="736">
        <f>summ!H17</f>
        <v>2.376</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f>summ!E17</f>
        <v>2.376</v>
      </c>
      <c r="H44" s="693" t="str">
        <f>CONCATENATE("",E1-1," Fund Mill Rate")</f>
        <v>2013 Fund Mill Rate</v>
      </c>
      <c r="I44" s="722"/>
      <c r="J44" s="723"/>
    </row>
    <row r="45" spans="2:10" ht="15.75">
      <c r="B45" s="368" t="str">
        <f>inputPrYr!B19</f>
        <v>Library</v>
      </c>
      <c r="C45" s="351" t="str">
        <f t="shared" si="0"/>
        <v>Actual for 2012</v>
      </c>
      <c r="D45" s="351" t="str">
        <f t="shared" si="0"/>
        <v>Estimate for 2013</v>
      </c>
      <c r="E45" s="177" t="str">
        <f t="shared" si="0"/>
        <v>Year for 2014</v>
      </c>
      <c r="G45" s="737">
        <f>summ!H43</f>
        <v>27.522000000000002</v>
      </c>
      <c r="H45" s="693" t="str">
        <f>CONCATENATE("Total ",E1," Mill Rate")</f>
        <v>Total 2014 Mill Rate</v>
      </c>
      <c r="I45" s="722"/>
      <c r="J45" s="723"/>
    </row>
    <row r="46" spans="2:10" ht="15.75">
      <c r="B46" s="130" t="s">
        <v>147</v>
      </c>
      <c r="C46" s="364"/>
      <c r="D46" s="350">
        <f>C74</f>
        <v>0</v>
      </c>
      <c r="E46" s="192">
        <f>D74</f>
        <v>0</v>
      </c>
      <c r="G46" s="735">
        <f>summ!E43</f>
        <v>27.522000000000002</v>
      </c>
      <c r="H46" s="718" t="str">
        <f>CONCATENATE("Total ",E1-1," Mill Rate")</f>
        <v>Total 2013 Mill Rate</v>
      </c>
      <c r="I46" s="719"/>
      <c r="J46" s="720"/>
    </row>
    <row r="47" spans="2:5" ht="15.75">
      <c r="B47" s="141" t="s">
        <v>149</v>
      </c>
      <c r="C47" s="130"/>
      <c r="D47" s="350"/>
      <c r="E47" s="192"/>
    </row>
    <row r="48" spans="2:9" ht="15.75">
      <c r="B48" s="130" t="s">
        <v>25</v>
      </c>
      <c r="C48" s="364"/>
      <c r="D48" s="350">
        <f>IF(inputPrYr!H16&gt;0,inputPrYr!G19,inputPrYr!E19)</f>
        <v>0</v>
      </c>
      <c r="E48" s="253" t="s">
        <v>13</v>
      </c>
      <c r="G48" s="781" t="s">
        <v>978</v>
      </c>
      <c r="H48" s="759"/>
      <c r="I48" s="758" t="str">
        <f>cert!F49</f>
        <v>No</v>
      </c>
    </row>
    <row r="49" spans="2:5" ht="15.75">
      <c r="B49" s="130" t="s">
        <v>26</v>
      </c>
      <c r="C49" s="364"/>
      <c r="D49" s="223"/>
      <c r="E49" s="49"/>
    </row>
    <row r="50" spans="2:5" ht="15.75">
      <c r="B50" s="130" t="s">
        <v>27</v>
      </c>
      <c r="C50" s="364"/>
      <c r="D50" s="223"/>
      <c r="E50" s="192" t="str">
        <f>mvalloc!D9</f>
        <v>  </v>
      </c>
    </row>
    <row r="51" spans="2:5" ht="15.75">
      <c r="B51" s="130" t="s">
        <v>28</v>
      </c>
      <c r="C51" s="364"/>
      <c r="D51" s="223"/>
      <c r="E51" s="192" t="str">
        <f>mvalloc!E9</f>
        <v> </v>
      </c>
    </row>
    <row r="52" spans="2:5" ht="15.75">
      <c r="B52" s="239" t="s">
        <v>124</v>
      </c>
      <c r="C52" s="364"/>
      <c r="D52" s="223"/>
      <c r="E52" s="192" t="str">
        <f>mvalloc!F9</f>
        <v> </v>
      </c>
    </row>
    <row r="53" spans="2:5" ht="15.75">
      <c r="B53" s="49"/>
      <c r="C53" s="364"/>
      <c r="D53" s="223"/>
      <c r="E53" s="49"/>
    </row>
    <row r="54" spans="2:5" ht="15.75">
      <c r="B54" s="223"/>
      <c r="C54" s="364"/>
      <c r="D54" s="223"/>
      <c r="E54" s="49"/>
    </row>
    <row r="55" spans="2:5" ht="15.75">
      <c r="B55" s="230"/>
      <c r="C55" s="364"/>
      <c r="D55" s="223"/>
      <c r="E55" s="49"/>
    </row>
    <row r="56" spans="2:5" ht="15.75">
      <c r="B56" s="230"/>
      <c r="C56" s="364"/>
      <c r="D56" s="223"/>
      <c r="E56" s="49"/>
    </row>
    <row r="57" spans="2:5" ht="15.75">
      <c r="B57" s="266" t="s">
        <v>32</v>
      </c>
      <c r="C57" s="364"/>
      <c r="D57" s="223"/>
      <c r="E57" s="49"/>
    </row>
    <row r="58" spans="2:5" ht="15.75">
      <c r="B58" s="130" t="s">
        <v>271</v>
      </c>
      <c r="C58" s="364"/>
      <c r="D58" s="223"/>
      <c r="E58" s="49"/>
    </row>
    <row r="59" spans="2:5" ht="15.75">
      <c r="B59" s="130" t="s">
        <v>794</v>
      </c>
      <c r="C59" s="352">
        <f>IF(C60*0.1&lt;C58,"Exceed 10% Rule","")</f>
      </c>
      <c r="D59" s="369">
        <f>IF(D60*0.1&lt;D58,"Exceed 10% Rule","")</f>
      </c>
      <c r="E59" s="254">
        <f>IF(E61*0.01+E80&lt;E58,"Exceed 10% Rule","")</f>
      </c>
    </row>
    <row r="60" spans="2:5" ht="15.75">
      <c r="B60" s="232" t="s">
        <v>33</v>
      </c>
      <c r="C60" s="365">
        <f>SUM(C48:C58)</f>
        <v>0</v>
      </c>
      <c r="D60" s="365">
        <f>SUM(D48:D58)</f>
        <v>0</v>
      </c>
      <c r="E60" s="233">
        <f>SUM(E48:E58)</f>
        <v>0</v>
      </c>
    </row>
    <row r="61" spans="2:5" ht="15.75">
      <c r="B61" s="232" t="s">
        <v>34</v>
      </c>
      <c r="C61" s="365">
        <f>C46+C60</f>
        <v>0</v>
      </c>
      <c r="D61" s="365">
        <f>D46+D60</f>
        <v>0</v>
      </c>
      <c r="E61" s="233">
        <f>E46+E60</f>
        <v>0</v>
      </c>
    </row>
    <row r="62" spans="2:5" ht="15.75">
      <c r="B62" s="130" t="s">
        <v>36</v>
      </c>
      <c r="C62" s="130"/>
      <c r="D62" s="350"/>
      <c r="E62" s="192"/>
    </row>
    <row r="63" spans="2:5" ht="15.75">
      <c r="B63" s="230"/>
      <c r="C63" s="364"/>
      <c r="D63" s="223"/>
      <c r="E63" s="49"/>
    </row>
    <row r="64" spans="2:10" ht="15.75">
      <c r="B64" s="230"/>
      <c r="C64" s="364"/>
      <c r="D64" s="223"/>
      <c r="E64" s="49"/>
      <c r="G64" s="854" t="str">
        <f>CONCATENATE("Desired Carryover Into ",E1+1,"")</f>
        <v>Desired Carryover Into 2015</v>
      </c>
      <c r="H64" s="857"/>
      <c r="I64" s="857"/>
      <c r="J64" s="858"/>
    </row>
    <row r="65" spans="2:10" ht="15.75">
      <c r="B65" s="230"/>
      <c r="C65" s="364"/>
      <c r="D65" s="223"/>
      <c r="E65" s="49"/>
      <c r="G65" s="601"/>
      <c r="H65" s="597"/>
      <c r="I65" s="599"/>
      <c r="J65" s="602"/>
    </row>
    <row r="66" spans="2:10" ht="15.75">
      <c r="B66" s="230"/>
      <c r="C66" s="364"/>
      <c r="D66" s="223"/>
      <c r="E66" s="49"/>
      <c r="G66" s="600" t="s">
        <v>638</v>
      </c>
      <c r="H66" s="599"/>
      <c r="I66" s="599"/>
      <c r="J66" s="598">
        <v>0</v>
      </c>
    </row>
    <row r="67" spans="2:10" ht="15.75">
      <c r="B67" s="230"/>
      <c r="C67" s="364"/>
      <c r="D67" s="223"/>
      <c r="E67" s="49"/>
      <c r="G67" s="601" t="s">
        <v>639</v>
      </c>
      <c r="H67" s="597"/>
      <c r="I67" s="597"/>
      <c r="J67" s="609">
        <f>IF(J66=0,"",ROUND((J66+E80-G79)/inputOth!E7*1000,3)-G84)</f>
      </c>
    </row>
    <row r="68" spans="2:10" ht="15.75">
      <c r="B68" s="230"/>
      <c r="C68" s="364"/>
      <c r="D68" s="223"/>
      <c r="E68" s="49"/>
      <c r="G68" s="606" t="str">
        <f>CONCATENATE("",E1," Tot Exp/Non-Appr Must Be:")</f>
        <v>2014 Tot Exp/Non-Appr Must Be:</v>
      </c>
      <c r="H68" s="604"/>
      <c r="I68" s="605"/>
      <c r="J68" s="603">
        <f>IF(J66&gt;0,IF(E77&lt;E61,IF(J66=G79,E77,((J66-G79)*(1-D79))+E61),E77+(J66-G79)),0)</f>
        <v>0</v>
      </c>
    </row>
    <row r="69" spans="2:10" ht="15.75">
      <c r="B69" s="230"/>
      <c r="C69" s="364"/>
      <c r="D69" s="223"/>
      <c r="E69" s="49"/>
      <c r="G69" s="608" t="s">
        <v>816</v>
      </c>
      <c r="H69" s="610"/>
      <c r="I69" s="610"/>
      <c r="J69" s="607">
        <f>IF(J66&gt;0,J68-E77,0)</f>
        <v>0</v>
      </c>
    </row>
    <row r="70" spans="2:5" ht="15.75">
      <c r="B70" s="239" t="s">
        <v>272</v>
      </c>
      <c r="C70" s="364"/>
      <c r="D70" s="223"/>
      <c r="E70" s="192">
        <f>nhood!E8</f>
      </c>
    </row>
    <row r="71" spans="2:10" ht="15.75">
      <c r="B71" s="239" t="s">
        <v>271</v>
      </c>
      <c r="C71" s="364"/>
      <c r="D71" s="223"/>
      <c r="E71" s="49"/>
      <c r="G71" s="854" t="str">
        <f>CONCATENATE("Projected Carryover Into ",E1+1,"")</f>
        <v>Projected Carryover Into 2015</v>
      </c>
      <c r="H71" s="855"/>
      <c r="I71" s="855"/>
      <c r="J71" s="846"/>
    </row>
    <row r="72" spans="2:10" ht="15.75">
      <c r="B72" s="239" t="s">
        <v>633</v>
      </c>
      <c r="C72" s="352">
        <f>IF(C73*0.1&lt;C71,"Exceed 10% Rule","")</f>
      </c>
      <c r="D72" s="369">
        <f>IF(D73*0.1&lt;D71,"Exceed 10% Rule","")</f>
      </c>
      <c r="E72" s="254">
        <f>IF(E73*0.1&lt;E71,"Exceed 10% Rule","")</f>
      </c>
      <c r="G72" s="612"/>
      <c r="H72" s="611"/>
      <c r="I72" s="611"/>
      <c r="J72" s="728"/>
    </row>
    <row r="73" spans="2:10" ht="15.75">
      <c r="B73" s="232" t="s">
        <v>40</v>
      </c>
      <c r="C73" s="365">
        <f>SUM(C63:C71)</f>
        <v>0</v>
      </c>
      <c r="D73" s="365">
        <f>SUM(D63:D71)</f>
        <v>0</v>
      </c>
      <c r="E73" s="233">
        <f>SUM(E63:E71)</f>
        <v>0</v>
      </c>
      <c r="G73" s="614">
        <f>D74</f>
        <v>0</v>
      </c>
      <c r="H73" s="615" t="str">
        <f>CONCATENATE("",E1-1," Ending Cash Balance (est.)")</f>
        <v>2013 Ending Cash Balance (est.)</v>
      </c>
      <c r="I73" s="616"/>
      <c r="J73" s="728"/>
    </row>
    <row r="74" spans="2:10" ht="15.75">
      <c r="B74" s="130" t="s">
        <v>148</v>
      </c>
      <c r="C74" s="366">
        <f>C61-C73</f>
        <v>0</v>
      </c>
      <c r="D74" s="366">
        <f>D61-D73</f>
        <v>0</v>
      </c>
      <c r="E74" s="253" t="s">
        <v>13</v>
      </c>
      <c r="G74" s="614">
        <f>E60</f>
        <v>0</v>
      </c>
      <c r="H74" s="617" t="str">
        <f>CONCATENATE("",E1," Non-AV Receipts (est.)")</f>
        <v>2014 Non-AV Receipts (est.)</v>
      </c>
      <c r="I74" s="616"/>
      <c r="J74" s="728"/>
    </row>
    <row r="75" spans="2:11" ht="15.75">
      <c r="B75" s="118" t="str">
        <f>CONCATENATE("",E1-2,"/",E1-1," Budget Authority Amount:")</f>
        <v>2012/2013 Budget Authority Amount:</v>
      </c>
      <c r="C75" s="182">
        <f>inputOth!B63</f>
        <v>0</v>
      </c>
      <c r="D75" s="182">
        <f>inputPrYr!D19</f>
        <v>0</v>
      </c>
      <c r="E75" s="253" t="s">
        <v>13</v>
      </c>
      <c r="F75" s="242"/>
      <c r="G75" s="618">
        <f>IF(E79&gt;0,E78,E80)</f>
        <v>0</v>
      </c>
      <c r="H75" s="617" t="str">
        <f>CONCATENATE("",E1," Ad Valorem Tax (est.)")</f>
        <v>2014 Ad Valorem Tax (est.)</v>
      </c>
      <c r="I75" s="616"/>
      <c r="J75" s="728"/>
      <c r="K75" s="594">
        <f>IF(G75=E80,"","Note: Does not include Delinquent Taxes")</f>
      </c>
    </row>
    <row r="76" spans="2:10" ht="15.75">
      <c r="B76" s="118"/>
      <c r="C76" s="838" t="s">
        <v>630</v>
      </c>
      <c r="D76" s="839"/>
      <c r="E76" s="49"/>
      <c r="F76" s="752">
        <f>IF(E73/0.95-E73&lt;E76,"Exceeds 5%","")</f>
      </c>
      <c r="G76" s="620">
        <f>SUM(G73:G75)</f>
        <v>0</v>
      </c>
      <c r="H76" s="617" t="str">
        <f>CONCATENATE("Total ",E1," Resources Available")</f>
        <v>Total 2014 Resources Available</v>
      </c>
      <c r="I76" s="613"/>
      <c r="J76" s="728"/>
    </row>
    <row r="77" spans="2:10" ht="15.75">
      <c r="B77" s="371" t="str">
        <f>CONCATENATE(C93,"     ",D93)</f>
        <v>     </v>
      </c>
      <c r="C77" s="840" t="s">
        <v>631</v>
      </c>
      <c r="D77" s="841"/>
      <c r="E77" s="192">
        <f>E73+E76</f>
        <v>0</v>
      </c>
      <c r="G77" s="623"/>
      <c r="H77" s="621"/>
      <c r="I77" s="611"/>
      <c r="J77" s="728"/>
    </row>
    <row r="78" spans="2:10" ht="15.75">
      <c r="B78" s="371" t="str">
        <f>CONCATENATE(C94,"     ",D94)</f>
        <v>     </v>
      </c>
      <c r="C78" s="243"/>
      <c r="D78" s="146" t="s">
        <v>41</v>
      </c>
      <c r="E78" s="56">
        <f>IF(E77-E61&gt;0,E77-E61,0)</f>
        <v>0</v>
      </c>
      <c r="G78" s="622">
        <f>ROUND(C73*0.05+C73,0)</f>
        <v>0</v>
      </c>
      <c r="H78" s="621" t="str">
        <f>CONCATENATE("Less ",E1-2," Expenditures + 5%")</f>
        <v>Less 2012 Expenditures + 5%</v>
      </c>
      <c r="I78" s="613"/>
      <c r="J78" s="728"/>
    </row>
    <row r="79" spans="2:10" ht="15.75">
      <c r="B79" s="146"/>
      <c r="C79" s="357" t="s">
        <v>632</v>
      </c>
      <c r="D79" s="593">
        <f>inputOth!E47</f>
        <v>0</v>
      </c>
      <c r="E79" s="192">
        <f>ROUND(IF(D79&gt;0,(E78*D79),0),0)</f>
        <v>0</v>
      </c>
      <c r="G79" s="624">
        <f>G76-G78</f>
        <v>0</v>
      </c>
      <c r="H79" s="625" t="str">
        <f>CONCATENATE("Projected ",E1+1," carryover (est.)")</f>
        <v>Projected 2015 carryover (est.)</v>
      </c>
      <c r="I79" s="619"/>
      <c r="J79" s="573"/>
    </row>
    <row r="80" spans="2:6" ht="16.5" thickBot="1">
      <c r="B80" s="21"/>
      <c r="C80" s="850" t="str">
        <f>CONCATENATE("Amount of  ",E1-1," Ad Valorem Tax")</f>
        <v>Amount of  2013 Ad Valorem Tax</v>
      </c>
      <c r="D80" s="851"/>
      <c r="E80" s="259">
        <f>E78+E79</f>
        <v>0</v>
      </c>
      <c r="F80" s="576" t="e">
        <f>IF('Library Grant '!F33="","",IF('Library Grant '!F33="Qualify","Qualifies for State Library Grant","See 'Library Grant' tab"))</f>
        <v>#VALUE!</v>
      </c>
    </row>
    <row r="81" spans="2:10" ht="16.5" thickTop="1">
      <c r="B81" s="21"/>
      <c r="C81" s="850"/>
      <c r="D81" s="850"/>
      <c r="E81" s="21"/>
      <c r="G81" s="847" t="s">
        <v>872</v>
      </c>
      <c r="H81" s="848"/>
      <c r="I81" s="848"/>
      <c r="J81" s="849"/>
    </row>
    <row r="82" spans="2:10" ht="15.75">
      <c r="B82" s="21"/>
      <c r="C82" s="358"/>
      <c r="D82" s="146"/>
      <c r="E82" s="146"/>
      <c r="G82" s="734"/>
      <c r="H82" s="693"/>
      <c r="I82" s="722"/>
      <c r="J82" s="723"/>
    </row>
    <row r="83" spans="2:10" ht="15.75">
      <c r="B83" s="118" t="s">
        <v>43</v>
      </c>
      <c r="C83" s="252">
        <v>8</v>
      </c>
      <c r="D83" s="77"/>
      <c r="E83" s="21"/>
      <c r="G83" s="736" t="str">
        <f>summ!H18</f>
        <v> </v>
      </c>
      <c r="H83" s="693" t="str">
        <f>CONCATENATE("",E1," Fund Mill Rate")</f>
        <v>2014 Fund Mill Rate</v>
      </c>
      <c r="I83" s="722"/>
      <c r="J83" s="723"/>
    </row>
    <row r="84" spans="2:10" ht="15.75">
      <c r="B84" s="356"/>
      <c r="G84" s="735" t="str">
        <f>summ!E18</f>
        <v>  </v>
      </c>
      <c r="H84" s="693" t="str">
        <f>CONCATENATE("",E1-1," Fund Mill Rate")</f>
        <v>2013 Fund Mill Rate</v>
      </c>
      <c r="I84" s="722"/>
      <c r="J84" s="723"/>
    </row>
    <row r="85" spans="3:10" ht="15.75">
      <c r="C85" s="82"/>
      <c r="G85" s="737">
        <f>summ!H43</f>
        <v>27.522000000000002</v>
      </c>
      <c r="H85" s="693" t="str">
        <f>CONCATENATE("Total ",E1," Mill Rate")</f>
        <v>Total 2014 Mill Rate</v>
      </c>
      <c r="I85" s="722"/>
      <c r="J85" s="723"/>
    </row>
    <row r="86" spans="2:10" ht="15.75">
      <c r="B86" s="82"/>
      <c r="G86" s="735">
        <f>summ!E43</f>
        <v>27.522000000000002</v>
      </c>
      <c r="H86" s="718" t="str">
        <f>CONCATENATE("Total ",E1-1," Mill Rate")</f>
        <v>Total 2013 Mill Rate</v>
      </c>
      <c r="I86" s="719"/>
      <c r="J86" s="720"/>
    </row>
    <row r="88" spans="7:9" ht="15.75">
      <c r="G88" s="781" t="s">
        <v>978</v>
      </c>
      <c r="H88" s="761"/>
      <c r="I88" s="760" t="str">
        <f>cert!F49</f>
        <v>No</v>
      </c>
    </row>
    <row r="90" spans="3:4" ht="15.75" hidden="1">
      <c r="C90" s="22">
        <f>IF(C33&gt;C35,"See Tab A","")</f>
      </c>
      <c r="D90" s="22">
        <f>IF(D33&gt;D35,"See Tab C","")</f>
      </c>
    </row>
    <row r="91" spans="3:4" ht="15.75" hidden="1">
      <c r="C91" s="22">
        <f>IF(C34&lt;0,"See Tab B","")</f>
      </c>
      <c r="D91" s="22">
        <f>IF(D34&lt;0,"See Tab D","")</f>
      </c>
    </row>
    <row r="92" ht="15.75" hidden="1"/>
    <row r="93" spans="3:4" ht="15.75" hidden="1">
      <c r="C93" s="22">
        <f>IF(C73&gt;C75,"See Tab A","")</f>
      </c>
      <c r="D93" s="22">
        <f>IF(D73&gt;D75,"See Tab C","")</f>
      </c>
    </row>
    <row r="94" spans="3:4" ht="15.75" hidden="1">
      <c r="C94" s="22">
        <f>IF(C74&lt;0,"See Tab B","")</f>
      </c>
      <c r="D94" s="22">
        <f>IF(D74&lt;0,"See Tab D","")</f>
      </c>
    </row>
  </sheetData>
  <sheetProtection sheet="1"/>
  <mergeCells count="14">
    <mergeCell ref="G31:J31"/>
    <mergeCell ref="G41:J41"/>
    <mergeCell ref="G71:J71"/>
    <mergeCell ref="G24:J24"/>
    <mergeCell ref="G64:J64"/>
    <mergeCell ref="C81:D81"/>
    <mergeCell ref="C80:D80"/>
    <mergeCell ref="C76:D76"/>
    <mergeCell ref="C77:D77"/>
    <mergeCell ref="C36:D36"/>
    <mergeCell ref="G81:J81"/>
    <mergeCell ref="C37:D37"/>
    <mergeCell ref="C40:D40"/>
    <mergeCell ref="C41:D41"/>
  </mergeCells>
  <conditionalFormatting sqref="E71">
    <cfRule type="cellIs" priority="20" dxfId="248" operator="greaterThan" stopIfTrue="1">
      <formula>$E$73*0.1</formula>
    </cfRule>
  </conditionalFormatting>
  <conditionalFormatting sqref="E76">
    <cfRule type="cellIs" priority="19" dxfId="248" operator="greaterThan" stopIfTrue="1">
      <formula>$E$73/0.95-$E$73</formula>
    </cfRule>
  </conditionalFormatting>
  <conditionalFormatting sqref="E31">
    <cfRule type="cellIs" priority="18" dxfId="248" operator="greaterThan" stopIfTrue="1">
      <formula>$E$33*0.1</formula>
    </cfRule>
  </conditionalFormatting>
  <conditionalFormatting sqref="E36">
    <cfRule type="cellIs" priority="17" dxfId="248" operator="greaterThan" stopIfTrue="1">
      <formula>$E$33/0.95-$E$33</formula>
    </cfRule>
  </conditionalFormatting>
  <conditionalFormatting sqref="C73">
    <cfRule type="cellIs" priority="16" dxfId="1" operator="greaterThan" stopIfTrue="1">
      <formula>$C$75</formula>
    </cfRule>
  </conditionalFormatting>
  <conditionalFormatting sqref="C74 C34">
    <cfRule type="cellIs" priority="15" dxfId="1" operator="lessThan" stopIfTrue="1">
      <formula>0</formula>
    </cfRule>
  </conditionalFormatting>
  <conditionalFormatting sqref="D73">
    <cfRule type="cellIs" priority="14" dxfId="1" operator="greaterThan" stopIfTrue="1">
      <formula>$D$75</formula>
    </cfRule>
  </conditionalFormatting>
  <conditionalFormatting sqref="C33">
    <cfRule type="cellIs" priority="13" dxfId="1" operator="greaterThan" stopIfTrue="1">
      <formula>$C$35</formula>
    </cfRule>
  </conditionalFormatting>
  <conditionalFormatting sqref="D33">
    <cfRule type="cellIs" priority="12" dxfId="1" operator="greaterThan" stopIfTrue="1">
      <formula>$D$35</formula>
    </cfRule>
  </conditionalFormatting>
  <conditionalFormatting sqref="C31">
    <cfRule type="cellIs" priority="11" dxfId="1" operator="greaterThan" stopIfTrue="1">
      <formula>$C$33*0.1</formula>
    </cfRule>
  </conditionalFormatting>
  <conditionalFormatting sqref="D31">
    <cfRule type="cellIs" priority="10" dxfId="1" operator="greaterThan" stopIfTrue="1">
      <formula>$D$33*0.1</formula>
    </cfRule>
  </conditionalFormatting>
  <conditionalFormatting sqref="C71">
    <cfRule type="cellIs" priority="9" dxfId="1" operator="greaterThan" stopIfTrue="1">
      <formula>$C$73*0.1</formula>
    </cfRule>
  </conditionalFormatting>
  <conditionalFormatting sqref="D71">
    <cfRule type="cellIs" priority="8" dxfId="1" operator="greaterThan" stopIfTrue="1">
      <formula>$D$73*0.1</formula>
    </cfRule>
  </conditionalFormatting>
  <conditionalFormatting sqref="D18">
    <cfRule type="cellIs" priority="7" dxfId="1" operator="greaterThan" stopIfTrue="1">
      <formula>$D$20*0.1</formula>
    </cfRule>
  </conditionalFormatting>
  <conditionalFormatting sqref="C18">
    <cfRule type="cellIs" priority="6" dxfId="1" operator="greaterThan" stopIfTrue="1">
      <formula>$C$20*0.1</formula>
    </cfRule>
  </conditionalFormatting>
  <conditionalFormatting sqref="E18">
    <cfRule type="cellIs" priority="5" dxfId="248" operator="greaterThan" stopIfTrue="1">
      <formula>$E$20*0.1+E40</formula>
    </cfRule>
  </conditionalFormatting>
  <conditionalFormatting sqref="C58">
    <cfRule type="cellIs" priority="4" dxfId="248" operator="greaterThan" stopIfTrue="1">
      <formula>$C$60*0.1</formula>
    </cfRule>
  </conditionalFormatting>
  <conditionalFormatting sqref="D58">
    <cfRule type="cellIs" priority="3" dxfId="248" operator="greaterThan" stopIfTrue="1">
      <formula>$D$60*0.1</formula>
    </cfRule>
  </conditionalFormatting>
  <conditionalFormatting sqref="E58">
    <cfRule type="cellIs" priority="2" dxfId="248" operator="greaterThan" stopIfTrue="1">
      <formula>$E$60*0.1+E80</formula>
    </cfRule>
  </conditionalFormatting>
  <conditionalFormatting sqref="D74 D34">
    <cfRule type="cellIs" priority="1" dxfId="0"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J5" sqref="J5"/>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92</v>
      </c>
      <c r="C3" s="168"/>
      <c r="D3" s="168"/>
      <c r="E3" s="256"/>
    </row>
    <row r="4" spans="2:5" ht="15.75">
      <c r="B4" s="28" t="s">
        <v>24</v>
      </c>
      <c r="C4" s="660" t="s">
        <v>811</v>
      </c>
      <c r="D4" s="661" t="s">
        <v>814</v>
      </c>
      <c r="E4" s="124" t="s">
        <v>815</v>
      </c>
    </row>
    <row r="5" spans="2:5" ht="15.75">
      <c r="B5" s="368">
        <f>inputPrYr!B21</f>
        <v>0</v>
      </c>
      <c r="C5" s="351" t="str">
        <f>CONCATENATE("Actual for ",E1-2,"")</f>
        <v>Actual for 2012</v>
      </c>
      <c r="D5" s="351" t="str">
        <f>CONCATENATE("Estimate for ",E1-1,"")</f>
        <v>Estimate for 2013</v>
      </c>
      <c r="E5" s="221" t="str">
        <f>CONCATENATE("Year for ",E1,"")</f>
        <v>Year for 2014</v>
      </c>
    </row>
    <row r="6" spans="2:5" ht="15.75">
      <c r="B6" s="222" t="s">
        <v>147</v>
      </c>
      <c r="C6" s="223"/>
      <c r="D6" s="350">
        <f>C34</f>
        <v>0</v>
      </c>
      <c r="E6" s="192">
        <f>D34</f>
        <v>0</v>
      </c>
    </row>
    <row r="7" spans="2:5" ht="15.75">
      <c r="B7" s="225" t="s">
        <v>149</v>
      </c>
      <c r="C7" s="138"/>
      <c r="D7" s="138"/>
      <c r="E7" s="67"/>
    </row>
    <row r="8" spans="2:5" ht="15.75">
      <c r="B8" s="130" t="s">
        <v>25</v>
      </c>
      <c r="C8" s="223"/>
      <c r="D8" s="350">
        <f>IF(inputPrYr!H16&gt;0,inputPrYr!G21,inputPrYr!E21)</f>
        <v>0</v>
      </c>
      <c r="E8" s="253" t="s">
        <v>13</v>
      </c>
    </row>
    <row r="9" spans="2:5" ht="15.75">
      <c r="B9" s="130" t="s">
        <v>26</v>
      </c>
      <c r="C9" s="223"/>
      <c r="D9" s="223"/>
      <c r="E9" s="49"/>
    </row>
    <row r="10" spans="2:5" ht="15.75">
      <c r="B10" s="130" t="s">
        <v>27</v>
      </c>
      <c r="C10" s="223"/>
      <c r="D10" s="223"/>
      <c r="E10" s="192" t="str">
        <f>mvalloc!D10</f>
        <v>  </v>
      </c>
    </row>
    <row r="11" spans="2:5" ht="15.75">
      <c r="B11" s="130" t="s">
        <v>28</v>
      </c>
      <c r="C11" s="223"/>
      <c r="D11" s="223"/>
      <c r="E11" s="192" t="str">
        <f>mvalloc!E10</f>
        <v> </v>
      </c>
    </row>
    <row r="12" spans="2:5" ht="15.75">
      <c r="B12" s="138" t="s">
        <v>124</v>
      </c>
      <c r="C12" s="223"/>
      <c r="D12" s="223"/>
      <c r="E12" s="192" t="str">
        <f>mvalloc!F10</f>
        <v> </v>
      </c>
    </row>
    <row r="13" spans="2:5" ht="15.75">
      <c r="B13" s="49"/>
      <c r="C13" s="223"/>
      <c r="D13" s="223"/>
      <c r="E13" s="49"/>
    </row>
    <row r="14" spans="2:5" ht="15.75">
      <c r="B14" s="238"/>
      <c r="C14" s="223"/>
      <c r="D14" s="223"/>
      <c r="E14" s="49"/>
    </row>
    <row r="15" spans="2:5" ht="15.75">
      <c r="B15" s="238"/>
      <c r="C15" s="223"/>
      <c r="D15" s="223"/>
      <c r="E15" s="49"/>
    </row>
    <row r="16" spans="2:5" ht="15.75">
      <c r="B16" s="238"/>
      <c r="C16" s="223"/>
      <c r="D16" s="223"/>
      <c r="E16" s="49"/>
    </row>
    <row r="17" spans="2:5" ht="15.75">
      <c r="B17" s="230" t="s">
        <v>32</v>
      </c>
      <c r="C17" s="223"/>
      <c r="D17" s="223"/>
      <c r="E17" s="49"/>
    </row>
    <row r="18" spans="2:5" ht="15.75">
      <c r="B18" s="138" t="s">
        <v>271</v>
      </c>
      <c r="C18" s="223"/>
      <c r="D18" s="223"/>
      <c r="E18" s="49"/>
    </row>
    <row r="19" spans="2:5" ht="15.75">
      <c r="B19" s="222" t="s">
        <v>794</v>
      </c>
      <c r="C19" s="348">
        <f>IF(C20*0.1&lt;C18,"Exceed 10% Rule","")</f>
      </c>
      <c r="D19" s="348">
        <f>IF(D20*0.1&lt;D18,"Exceed 10% Rule","")</f>
      </c>
      <c r="E19" s="355">
        <f>IF(E20*0.1+E40&lt;E18,"Exceed 10% Rule","")</f>
      </c>
    </row>
    <row r="20" spans="2:5" ht="15.75">
      <c r="B20" s="232" t="s">
        <v>33</v>
      </c>
      <c r="C20" s="353">
        <f>SUM(C8:C18)</f>
        <v>0</v>
      </c>
      <c r="D20" s="353">
        <f>SUM(D8:D18)</f>
        <v>0</v>
      </c>
      <c r="E20" s="258">
        <f>SUM(E8:E18)</f>
        <v>0</v>
      </c>
    </row>
    <row r="21" spans="2:5" ht="15.75">
      <c r="B21" s="232" t="s">
        <v>34</v>
      </c>
      <c r="C21" s="350">
        <f>C6+C20</f>
        <v>0</v>
      </c>
      <c r="D21" s="350">
        <f>D6+D20</f>
        <v>0</v>
      </c>
      <c r="E21" s="192">
        <f>E6+E20</f>
        <v>0</v>
      </c>
    </row>
    <row r="22" spans="2:5" ht="15.75">
      <c r="B22" s="130" t="s">
        <v>36</v>
      </c>
      <c r="C22" s="239"/>
      <c r="D22" s="239"/>
      <c r="E22" s="47"/>
    </row>
    <row r="23" spans="2:5" ht="15.75">
      <c r="B23" s="238"/>
      <c r="C23" s="223"/>
      <c r="D23" s="223"/>
      <c r="E23" s="49"/>
    </row>
    <row r="24" spans="2:10" ht="15.75">
      <c r="B24" s="238"/>
      <c r="C24" s="223"/>
      <c r="D24" s="223"/>
      <c r="E24" s="49"/>
      <c r="G24" s="856" t="str">
        <f>CONCATENATE("Desired Carryover Into ",E1+1,"")</f>
        <v>Desired Carryover Into 2015</v>
      </c>
      <c r="H24" s="845"/>
      <c r="I24" s="845"/>
      <c r="J24" s="846"/>
    </row>
    <row r="25" spans="2:10" ht="15.75">
      <c r="B25" s="238"/>
      <c r="C25" s="223"/>
      <c r="D25" s="223"/>
      <c r="E25" s="49"/>
      <c r="G25" s="701"/>
      <c r="H25" s="688"/>
      <c r="I25" s="695"/>
      <c r="J25" s="702"/>
    </row>
    <row r="26" spans="2:10" ht="15.75">
      <c r="B26" s="238"/>
      <c r="C26" s="223"/>
      <c r="D26" s="223"/>
      <c r="E26" s="49"/>
      <c r="G26" s="700" t="s">
        <v>638</v>
      </c>
      <c r="H26" s="695"/>
      <c r="I26" s="695"/>
      <c r="J26" s="689">
        <v>0</v>
      </c>
    </row>
    <row r="27" spans="2:10" ht="15.75">
      <c r="B27" s="238"/>
      <c r="C27" s="223"/>
      <c r="D27" s="223"/>
      <c r="E27" s="49"/>
      <c r="G27" s="701" t="s">
        <v>639</v>
      </c>
      <c r="H27" s="688"/>
      <c r="I27" s="688"/>
      <c r="J27" s="729">
        <f>IF(J26=0,"",ROUND((J26+E40-G39)/inputOth!E7*1000,3)-G44)</f>
      </c>
    </row>
    <row r="28" spans="2:10" ht="15.75">
      <c r="B28" s="238"/>
      <c r="C28" s="223"/>
      <c r="D28" s="223"/>
      <c r="E28" s="49"/>
      <c r="G28" s="726" t="str">
        <f>CONCATENATE("",E1," Tot Exp/Non-Appr Must Be:")</f>
        <v>2014 Tot Exp/Non-Appr Must Be:</v>
      </c>
      <c r="H28" s="724"/>
      <c r="I28" s="725"/>
      <c r="J28" s="721">
        <f>IF(J26&gt;0,IF(E37&lt;E21,IF(J26=G39,E37,((J26-G39)*(1-D39))+E21),E37+(J26-G39)),0)</f>
        <v>0</v>
      </c>
    </row>
    <row r="29" spans="2:10" ht="15.75">
      <c r="B29" s="238"/>
      <c r="C29" s="223"/>
      <c r="D29" s="223"/>
      <c r="E29" s="49"/>
      <c r="G29" s="591" t="s">
        <v>816</v>
      </c>
      <c r="H29" s="732"/>
      <c r="I29" s="732"/>
      <c r="J29" s="727">
        <f>IF(J26&gt;0,J28-E37,0)</f>
        <v>0</v>
      </c>
    </row>
    <row r="30" spans="2:10" ht="15.75">
      <c r="B30" s="239" t="s">
        <v>272</v>
      </c>
      <c r="C30" s="223"/>
      <c r="D30" s="223"/>
      <c r="E30" s="56">
        <f>nhood!E9</f>
      </c>
      <c r="J30" s="678"/>
    </row>
    <row r="31" spans="2:10" ht="15.75">
      <c r="B31" s="239" t="s">
        <v>271</v>
      </c>
      <c r="C31" s="223"/>
      <c r="D31" s="223"/>
      <c r="E31" s="49"/>
      <c r="G31" s="856" t="str">
        <f>CONCATENATE("Projected Carryover Into ",E1+1,"")</f>
        <v>Projected Carryover Into 2015</v>
      </c>
      <c r="H31" s="853"/>
      <c r="I31" s="853"/>
      <c r="J31" s="859"/>
    </row>
    <row r="32" spans="2:10" ht="15.75">
      <c r="B32" s="239" t="s">
        <v>795</v>
      </c>
      <c r="C32" s="348">
        <f>IF(C33*0.1&lt;C31,"Exceed 10% Rule","")</f>
      </c>
      <c r="D32" s="348">
        <f>IF(D33*0.1&lt;D31,"Exceed 10% Rule","")</f>
      </c>
      <c r="E32" s="355">
        <f>IF(E33*0.1&lt;E31,"Exceed 10% Rule","")</f>
      </c>
      <c r="G32" s="701"/>
      <c r="H32" s="695"/>
      <c r="I32" s="695"/>
      <c r="J32" s="738"/>
    </row>
    <row r="33" spans="2:10" ht="15.75">
      <c r="B33" s="232" t="s">
        <v>40</v>
      </c>
      <c r="C33" s="353">
        <f>SUM(C23:C31)</f>
        <v>0</v>
      </c>
      <c r="D33" s="353">
        <f>SUM(D23:D31)</f>
        <v>0</v>
      </c>
      <c r="E33" s="258">
        <f>SUM(E23:E31)</f>
        <v>0</v>
      </c>
      <c r="G33" s="692">
        <f>D34</f>
        <v>0</v>
      </c>
      <c r="H33" s="693" t="str">
        <f>CONCATENATE("",E1-1," Ending Cash Balance (est.)")</f>
        <v>2013 Ending Cash Balance (est.)</v>
      </c>
      <c r="I33" s="694"/>
      <c r="J33" s="738"/>
    </row>
    <row r="34" spans="2:10" ht="15.75">
      <c r="B34" s="130" t="s">
        <v>148</v>
      </c>
      <c r="C34" s="350">
        <f>C21-C33</f>
        <v>0</v>
      </c>
      <c r="D34" s="350">
        <f>D21-D33</f>
        <v>0</v>
      </c>
      <c r="E34" s="253" t="s">
        <v>13</v>
      </c>
      <c r="G34" s="692">
        <f>E20</f>
        <v>0</v>
      </c>
      <c r="H34" s="695" t="str">
        <f>CONCATENATE("",E1," Non-AV Receipts (est.)")</f>
        <v>2014 Non-AV Receipts (est.)</v>
      </c>
      <c r="I34" s="694"/>
      <c r="J34" s="738"/>
    </row>
    <row r="35" spans="2:11" ht="15.75">
      <c r="B35" s="118" t="str">
        <f>CONCATENATE("",$E$1-2,"/",$E$1-1," Budget Authority Amount:")</f>
        <v>2012/2013 Budget Authority Amount:</v>
      </c>
      <c r="C35" s="182">
        <f>inputOth!B64</f>
        <v>0</v>
      </c>
      <c r="D35" s="241">
        <f>inputPrYr!D21</f>
        <v>0</v>
      </c>
      <c r="E35" s="253" t="s">
        <v>13</v>
      </c>
      <c r="F35" s="242"/>
      <c r="G35" s="696">
        <f>IF(E39&gt;0,E38,E40)</f>
        <v>0</v>
      </c>
      <c r="H35" s="695" t="str">
        <f>CONCATENATE("",E1," Ad Valorem Tax (est.)")</f>
        <v>2014 Ad Valorem Tax (est.)</v>
      </c>
      <c r="I35" s="694"/>
      <c r="J35" s="740"/>
      <c r="K35" s="594">
        <f>IF(G35=E40,"","Note: Does not include Delinquent Taxes")</f>
      </c>
    </row>
    <row r="36" spans="2:10" ht="15.75">
      <c r="B36" s="118"/>
      <c r="C36" s="838" t="s">
        <v>630</v>
      </c>
      <c r="D36" s="839"/>
      <c r="E36" s="49"/>
      <c r="F36" s="752">
        <f>IF(E33/0.95-E33&lt;E36,"Exceeds 5%","")</f>
      </c>
      <c r="G36" s="692">
        <f>SUM(G33:G35)</f>
        <v>0</v>
      </c>
      <c r="H36" s="695" t="str">
        <f>CONCATENATE("Total ",E1," Resources Available")</f>
        <v>Total 2014 Resources Available</v>
      </c>
      <c r="I36" s="694"/>
      <c r="J36" s="738"/>
    </row>
    <row r="37" spans="2:10" ht="15.75">
      <c r="B37" s="371" t="str">
        <f>CONCATENATE(C95,"     ",D95)</f>
        <v>     </v>
      </c>
      <c r="C37" s="840" t="s">
        <v>631</v>
      </c>
      <c r="D37" s="841"/>
      <c r="E37" s="192">
        <f>SUM(E33+E36)</f>
        <v>0</v>
      </c>
      <c r="G37" s="697"/>
      <c r="H37" s="695"/>
      <c r="I37" s="695"/>
      <c r="J37" s="738"/>
    </row>
    <row r="38" spans="2:10" ht="15.75">
      <c r="B38" s="371" t="str">
        <f>CONCATENATE(C96,"     ",D96)</f>
        <v>     </v>
      </c>
      <c r="C38" s="357"/>
      <c r="D38" s="146" t="s">
        <v>41</v>
      </c>
      <c r="E38" s="192">
        <f>IF(E37-E21&gt;0,E37-E21,0)</f>
        <v>0</v>
      </c>
      <c r="G38" s="696">
        <f>ROUND(C33*0.05+C33,0)</f>
        <v>0</v>
      </c>
      <c r="H38" s="695" t="str">
        <f>CONCATENATE("Less ",E1-2," Expenditures + 5%")</f>
        <v>Less 2012 Expenditures + 5%</v>
      </c>
      <c r="I38" s="694"/>
      <c r="J38" s="738"/>
    </row>
    <row r="39" spans="2:10" ht="15.75">
      <c r="B39" s="371"/>
      <c r="C39" s="357" t="s">
        <v>632</v>
      </c>
      <c r="D39" s="593">
        <f>inputOth!$E$47</f>
        <v>0</v>
      </c>
      <c r="E39" s="192">
        <f>ROUND(IF(D39&gt;0,(E38*D39),0),0)</f>
        <v>0</v>
      </c>
      <c r="G39" s="730">
        <f>G36-G38</f>
        <v>0</v>
      </c>
      <c r="H39" s="731" t="str">
        <f>CONCATENATE("Projected ",E1+1," carryover (est.)")</f>
        <v>Projected 2015 carryover (est.)</v>
      </c>
      <c r="I39" s="698"/>
      <c r="J39" s="739"/>
    </row>
    <row r="40" spans="2:10" ht="16.5" thickBot="1">
      <c r="B40" s="21"/>
      <c r="C40" s="842" t="str">
        <f>CONCATENATE("Amount of  ",$E$1-1," Ad Valorem Tax")</f>
        <v>Amount of  2013 Ad Valorem Tax</v>
      </c>
      <c r="D40" s="843"/>
      <c r="E40" s="259">
        <f>SUM(E38:E39)</f>
        <v>0</v>
      </c>
      <c r="G40" s="678"/>
      <c r="H40" s="678"/>
      <c r="I40" s="678"/>
      <c r="J40" s="678"/>
    </row>
    <row r="41" spans="2:10" ht="16.5" thickTop="1">
      <c r="B41" s="21"/>
      <c r="C41" s="850"/>
      <c r="D41" s="850"/>
      <c r="E41" s="21"/>
      <c r="G41" s="847" t="s">
        <v>872</v>
      </c>
      <c r="H41" s="848"/>
      <c r="I41" s="848"/>
      <c r="J41" s="849"/>
    </row>
    <row r="42" spans="2:10" ht="15.75">
      <c r="B42" s="21"/>
      <c r="C42" s="21"/>
      <c r="D42" s="21"/>
      <c r="E42" s="21"/>
      <c r="G42" s="734"/>
      <c r="H42" s="693"/>
      <c r="I42" s="722"/>
      <c r="J42" s="723"/>
    </row>
    <row r="43" spans="2:10" ht="15.75">
      <c r="B43" s="28"/>
      <c r="C43" s="257"/>
      <c r="D43" s="257"/>
      <c r="E43" s="257"/>
      <c r="G43" s="736" t="str">
        <f>summ!H19</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summ!E19</f>
        <v>  </v>
      </c>
      <c r="H44" s="693" t="str">
        <f>CONCATENATE("",E1-1," Fund Mill Rate")</f>
        <v>2013 Fund Mill Rate</v>
      </c>
      <c r="I44" s="722"/>
      <c r="J44" s="723"/>
    </row>
    <row r="45" spans="2:10" ht="15.75">
      <c r="B45" s="367">
        <f>(inputPrYr!B22)</f>
        <v>0</v>
      </c>
      <c r="C45" s="351" t="str">
        <f t="shared" si="0"/>
        <v>Actual for 2012</v>
      </c>
      <c r="D45" s="351" t="str">
        <f t="shared" si="0"/>
        <v>Estimate for 2013</v>
      </c>
      <c r="E45" s="177" t="str">
        <f t="shared" si="0"/>
        <v>Year for 2014</v>
      </c>
      <c r="G45" s="737">
        <f>summ!H43</f>
        <v>27.522000000000002</v>
      </c>
      <c r="H45" s="693" t="str">
        <f>CONCATENATE("Total ",E1," Mill Rate")</f>
        <v>Total 2014 Mill Rate</v>
      </c>
      <c r="I45" s="722"/>
      <c r="J45" s="723"/>
    </row>
    <row r="46" spans="2:10" ht="15.75">
      <c r="B46" s="222" t="s">
        <v>147</v>
      </c>
      <c r="C46" s="223"/>
      <c r="D46" s="350">
        <f>C74</f>
        <v>0</v>
      </c>
      <c r="E46" s="192">
        <f>D74</f>
        <v>0</v>
      </c>
      <c r="G46" s="735">
        <f>summ!E43</f>
        <v>27.522000000000002</v>
      </c>
      <c r="H46" s="718" t="str">
        <f>CONCATENATE("Total ",E1-1," Mill Rate")</f>
        <v>Total 2013 Mill Rate</v>
      </c>
      <c r="I46" s="719"/>
      <c r="J46" s="720"/>
    </row>
    <row r="47" spans="2:5" ht="15.75">
      <c r="B47" s="222" t="s">
        <v>149</v>
      </c>
      <c r="C47" s="138"/>
      <c r="D47" s="138"/>
      <c r="E47" s="67"/>
    </row>
    <row r="48" spans="2:9" ht="15.75">
      <c r="B48" s="130" t="s">
        <v>25</v>
      </c>
      <c r="C48" s="223"/>
      <c r="D48" s="350">
        <f>IF(inputPrYr!H16&gt;0,inputPrYr!G22,inputPrYr!E22)</f>
        <v>0</v>
      </c>
      <c r="E48" s="253" t="s">
        <v>13</v>
      </c>
      <c r="G48" s="781" t="s">
        <v>978</v>
      </c>
      <c r="H48" s="763"/>
      <c r="I48" s="762" t="str">
        <f>cert!F49</f>
        <v>No</v>
      </c>
    </row>
    <row r="49" spans="2:5" ht="15.75">
      <c r="B49" s="130" t="s">
        <v>26</v>
      </c>
      <c r="C49" s="223"/>
      <c r="D49" s="223"/>
      <c r="E49" s="49"/>
    </row>
    <row r="50" spans="2:5" ht="15.75">
      <c r="B50" s="130" t="s">
        <v>27</v>
      </c>
      <c r="C50" s="223"/>
      <c r="D50" s="223"/>
      <c r="E50" s="192" t="str">
        <f>mvalloc!D11</f>
        <v>  </v>
      </c>
    </row>
    <row r="51" spans="2:5" ht="15.75">
      <c r="B51" s="130" t="s">
        <v>28</v>
      </c>
      <c r="C51" s="223"/>
      <c r="D51" s="223"/>
      <c r="E51" s="192" t="str">
        <f>mvalloc!E11</f>
        <v> </v>
      </c>
    </row>
    <row r="52" spans="2:5" ht="15.75">
      <c r="B52" s="138" t="s">
        <v>124</v>
      </c>
      <c r="C52" s="223"/>
      <c r="D52" s="223"/>
      <c r="E52" s="192" t="str">
        <f>mvalloc!F11</f>
        <v> </v>
      </c>
    </row>
    <row r="53" spans="2:5" ht="15.75">
      <c r="B53" s="49"/>
      <c r="C53" s="223"/>
      <c r="D53" s="223"/>
      <c r="E53" s="49"/>
    </row>
    <row r="54" spans="2:5" ht="15.75">
      <c r="B54" s="238"/>
      <c r="C54" s="223"/>
      <c r="D54" s="223"/>
      <c r="E54" s="49"/>
    </row>
    <row r="55" spans="2:5" ht="15.75">
      <c r="B55" s="238"/>
      <c r="C55" s="223"/>
      <c r="D55" s="223"/>
      <c r="E55" s="49"/>
    </row>
    <row r="56" spans="2:5" ht="15.75">
      <c r="B56" s="238"/>
      <c r="C56" s="223"/>
      <c r="D56" s="223"/>
      <c r="E56" s="49"/>
    </row>
    <row r="57" spans="2:5" ht="15.75">
      <c r="B57" s="230" t="s">
        <v>32</v>
      </c>
      <c r="C57" s="223"/>
      <c r="D57" s="223"/>
      <c r="E57" s="49"/>
    </row>
    <row r="58" spans="2:5" ht="15.75">
      <c r="B58" s="138" t="s">
        <v>271</v>
      </c>
      <c r="C58" s="223"/>
      <c r="D58" s="223"/>
      <c r="E58" s="49"/>
    </row>
    <row r="59" spans="2:5" ht="15.75">
      <c r="B59" s="222" t="s">
        <v>794</v>
      </c>
      <c r="C59" s="348">
        <f>IF(C60*0.1&lt;C58,"Exceed 10% Rule","")</f>
      </c>
      <c r="D59" s="348">
        <f>IF(D60*0.1&lt;D58,"Exceed 10% Rule","")</f>
      </c>
      <c r="E59" s="355">
        <f>IF(E60*0.1+E80&lt;E58,"Exceed 10% Rule","")</f>
      </c>
    </row>
    <row r="60" spans="2:5" ht="15.75">
      <c r="B60" s="232" t="s">
        <v>33</v>
      </c>
      <c r="C60" s="353">
        <f>SUM(C48:C58)</f>
        <v>0</v>
      </c>
      <c r="D60" s="353">
        <f>SUM(D48:D58)</f>
        <v>0</v>
      </c>
      <c r="E60" s="258">
        <f>SUM(E48:E58)</f>
        <v>0</v>
      </c>
    </row>
    <row r="61" spans="2:5" ht="15.75">
      <c r="B61" s="232" t="s">
        <v>34</v>
      </c>
      <c r="C61" s="353">
        <f>C46+C60</f>
        <v>0</v>
      </c>
      <c r="D61" s="353">
        <f>D46+D60</f>
        <v>0</v>
      </c>
      <c r="E61" s="258">
        <f>E46+E60</f>
        <v>0</v>
      </c>
    </row>
    <row r="62" spans="2:5" ht="15.75">
      <c r="B62" s="130" t="s">
        <v>36</v>
      </c>
      <c r="C62" s="239"/>
      <c r="D62" s="239"/>
      <c r="E62" s="47"/>
    </row>
    <row r="63" spans="2:5" ht="15.75">
      <c r="B63" s="238"/>
      <c r="C63" s="223"/>
      <c r="D63" s="223"/>
      <c r="E63" s="49"/>
    </row>
    <row r="64" spans="2:10" ht="15.75">
      <c r="B64" s="238"/>
      <c r="C64" s="223"/>
      <c r="D64" s="223"/>
      <c r="E64" s="49"/>
      <c r="G64" s="856" t="str">
        <f>CONCATENATE("Desired Carryover Into ",E1+1,"")</f>
        <v>Desired Carryover Into 2015</v>
      </c>
      <c r="H64" s="845"/>
      <c r="I64" s="845"/>
      <c r="J64" s="846"/>
    </row>
    <row r="65" spans="2:10" ht="15.75">
      <c r="B65" s="238"/>
      <c r="C65" s="223"/>
      <c r="D65" s="223"/>
      <c r="E65" s="49"/>
      <c r="G65" s="701"/>
      <c r="H65" s="688"/>
      <c r="I65" s="695"/>
      <c r="J65" s="702"/>
    </row>
    <row r="66" spans="2:10" ht="15.75">
      <c r="B66" s="238"/>
      <c r="C66" s="223"/>
      <c r="D66" s="223"/>
      <c r="E66" s="49"/>
      <c r="G66" s="700" t="s">
        <v>638</v>
      </c>
      <c r="H66" s="695"/>
      <c r="I66" s="695"/>
      <c r="J66" s="689">
        <v>0</v>
      </c>
    </row>
    <row r="67" spans="2:10" ht="15.75">
      <c r="B67" s="238"/>
      <c r="C67" s="223"/>
      <c r="D67" s="223"/>
      <c r="E67" s="49"/>
      <c r="G67" s="701" t="s">
        <v>639</v>
      </c>
      <c r="H67" s="688"/>
      <c r="I67" s="688"/>
      <c r="J67" s="729">
        <f>IF(J66=0,"",ROUND((J66+E80-G79)/inputOth!E7*1000,3)-G84)</f>
      </c>
    </row>
    <row r="68" spans="2:10" ht="15.75">
      <c r="B68" s="238"/>
      <c r="C68" s="223"/>
      <c r="D68" s="223"/>
      <c r="E68" s="49"/>
      <c r="G68" s="726" t="str">
        <f>CONCATENATE("",E1," Tot Exp/Non-Appr Must Be:")</f>
        <v>2014 Tot Exp/Non-Appr Must Be:</v>
      </c>
      <c r="H68" s="724"/>
      <c r="I68" s="725"/>
      <c r="J68" s="721">
        <f>IF(J66&gt;0,IF(E77&lt;E61,IF(J66=G79,E77,((J66-G79)*(1-D79))+E61),E77+(J66-G79)),0)</f>
        <v>0</v>
      </c>
    </row>
    <row r="69" spans="2:10" ht="15.75">
      <c r="B69" s="238"/>
      <c r="C69" s="223"/>
      <c r="D69" s="223"/>
      <c r="E69" s="49"/>
      <c r="G69" s="591" t="s">
        <v>816</v>
      </c>
      <c r="H69" s="732"/>
      <c r="I69" s="732"/>
      <c r="J69" s="727">
        <f>IF(J66&gt;0,J68-E77,0)</f>
        <v>0</v>
      </c>
    </row>
    <row r="70" spans="2:10" ht="15.75">
      <c r="B70" s="239" t="s">
        <v>272</v>
      </c>
      <c r="C70" s="223"/>
      <c r="D70" s="223"/>
      <c r="E70" s="56">
        <f>nhood!E10</f>
      </c>
      <c r="J70" s="678"/>
    </row>
    <row r="71" spans="2:10" ht="15.75">
      <c r="B71" s="239" t="s">
        <v>271</v>
      </c>
      <c r="C71" s="223"/>
      <c r="D71" s="223"/>
      <c r="E71" s="49"/>
      <c r="G71" s="856" t="str">
        <f>CONCATENATE("Projected Carryover Into ",E1+1,"")</f>
        <v>Projected Carryover Into 2015</v>
      </c>
      <c r="H71" s="860"/>
      <c r="I71" s="860"/>
      <c r="J71" s="859"/>
    </row>
    <row r="72" spans="2:10" ht="15.75">
      <c r="B72" s="239" t="s">
        <v>795</v>
      </c>
      <c r="C72" s="348">
        <f>IF(C73*0.1&lt;C71,"Exceed 10% Rule","")</f>
      </c>
      <c r="D72" s="348">
        <f>IF(D73*0.1&lt;D71,"Exceed 10% Rule","")</f>
      </c>
      <c r="E72" s="355">
        <f>IF(E73*0.1&lt;E71,"Exceed 10% Rule","")</f>
      </c>
      <c r="G72" s="690"/>
      <c r="H72" s="688"/>
      <c r="I72" s="688"/>
      <c r="J72" s="681"/>
    </row>
    <row r="73" spans="2:10" ht="15.75">
      <c r="B73" s="232" t="s">
        <v>40</v>
      </c>
      <c r="C73" s="353">
        <f>SUM(C63:C71)</f>
        <v>0</v>
      </c>
      <c r="D73" s="353">
        <f>SUM(D63:D71)</f>
        <v>0</v>
      </c>
      <c r="E73" s="258">
        <f>SUM(E63:E71)</f>
        <v>0</v>
      </c>
      <c r="G73" s="692">
        <f>D74</f>
        <v>0</v>
      </c>
      <c r="H73" s="693" t="str">
        <f>CONCATENATE("",E1-1," Ending Cash Balance (est.)")</f>
        <v>2013 Ending Cash Balance (est.)</v>
      </c>
      <c r="I73" s="694"/>
      <c r="J73" s="681"/>
    </row>
    <row r="74" spans="2:10" ht="15.75">
      <c r="B74" s="130" t="s">
        <v>148</v>
      </c>
      <c r="C74" s="350">
        <f>C61-C73</f>
        <v>0</v>
      </c>
      <c r="D74" s="350">
        <f>D61-D73</f>
        <v>0</v>
      </c>
      <c r="E74" s="253" t="s">
        <v>13</v>
      </c>
      <c r="G74" s="692">
        <f>E60</f>
        <v>0</v>
      </c>
      <c r="H74" s="695" t="str">
        <f>CONCATENATE("",E1," Non-AV Receipts (est.)")</f>
        <v>2014 Non-AV Receipts (est.)</v>
      </c>
      <c r="I74" s="694"/>
      <c r="J74" s="681"/>
    </row>
    <row r="75" spans="2:11" ht="15.75">
      <c r="B75" s="118" t="str">
        <f>CONCATENATE("",$E$1-2,"/",$E$1-1," Budget Authority Amount:")</f>
        <v>2012/2013 Budget Authority Amount:</v>
      </c>
      <c r="C75" s="182">
        <f>inputOth!B65</f>
        <v>0</v>
      </c>
      <c r="D75" s="241">
        <f>inputPrYr!D22</f>
        <v>0</v>
      </c>
      <c r="E75" s="253" t="s">
        <v>13</v>
      </c>
      <c r="F75" s="242"/>
      <c r="G75" s="696">
        <f>IF(D79&gt;0,E78,E80)</f>
        <v>0</v>
      </c>
      <c r="H75" s="695" t="str">
        <f>CONCATENATE("",E1," Ad Valorem Tax (est.)")</f>
        <v>2014 Ad Valorem Tax (est.)</v>
      </c>
      <c r="I75" s="694"/>
      <c r="J75" s="681"/>
      <c r="K75" s="594">
        <f>IF(G75=E80,"","Note: Does not include Delinquent Taxes")</f>
      </c>
    </row>
    <row r="76" spans="2:10" ht="15.75">
      <c r="B76" s="118"/>
      <c r="C76" s="838" t="s">
        <v>630</v>
      </c>
      <c r="D76" s="839"/>
      <c r="E76" s="49"/>
      <c r="F76" s="752">
        <f>IF(E73/0.95-E73&lt;E76,"Exceeds 5%","")</f>
      </c>
      <c r="G76" s="703">
        <f>SUM(G73:G75)</f>
        <v>0</v>
      </c>
      <c r="H76" s="695" t="str">
        <f>CONCATENATE("Total ",E1," Resources Available")</f>
        <v>Total 2014 Resources Available</v>
      </c>
      <c r="I76" s="691"/>
      <c r="J76" s="681"/>
    </row>
    <row r="77" spans="2:10" ht="15.75">
      <c r="B77" s="371" t="str">
        <f>CONCATENATE(C97,"     ",D97)</f>
        <v>     </v>
      </c>
      <c r="C77" s="840" t="s">
        <v>631</v>
      </c>
      <c r="D77" s="841"/>
      <c r="E77" s="192">
        <f>E73+E76</f>
        <v>0</v>
      </c>
      <c r="G77" s="706"/>
      <c r="H77" s="704"/>
      <c r="I77" s="688"/>
      <c r="J77" s="681"/>
    </row>
    <row r="78" spans="2:10" ht="15.75">
      <c r="B78" s="371" t="str">
        <f>CONCATENATE(C98,"     ",D98)</f>
        <v>     </v>
      </c>
      <c r="C78" s="243"/>
      <c r="D78" s="146" t="s">
        <v>41</v>
      </c>
      <c r="E78" s="192">
        <f>IF(E77-E61&gt;0,E77-E61,0)</f>
        <v>0</v>
      </c>
      <c r="G78" s="705">
        <f>ROUND(C73*0.05+C73,0)</f>
        <v>0</v>
      </c>
      <c r="H78" s="704" t="str">
        <f>CONCATENATE("Less ",E1-2," Expenditures + 5%")</f>
        <v>Less 2012 Expenditures + 5%</v>
      </c>
      <c r="I78" s="691"/>
      <c r="J78" s="681"/>
    </row>
    <row r="79" spans="2:10" ht="15.75">
      <c r="B79" s="118"/>
      <c r="C79" s="357" t="s">
        <v>632</v>
      </c>
      <c r="D79" s="593">
        <f>inputOth!E47</f>
        <v>0</v>
      </c>
      <c r="E79" s="192">
        <f>ROUND(IF(D79&gt;0,(E78*D79),0),0)</f>
        <v>0</v>
      </c>
      <c r="G79" s="707">
        <f>G76-G78</f>
        <v>0</v>
      </c>
      <c r="H79" s="708" t="str">
        <f>CONCATENATE("Projected ",E1+1," carryover (est.)")</f>
        <v>Projected 2015 carryover (est.)</v>
      </c>
      <c r="I79" s="699"/>
      <c r="J79" s="739"/>
    </row>
    <row r="80" spans="2:9" ht="16.5" thickBot="1">
      <c r="B80" s="146"/>
      <c r="C80" s="842" t="str">
        <f>CONCATENATE("Amount of  ",$E$1-1," Ad Valorem Tax")</f>
        <v>Amount of  2013 Ad Valorem Tax</v>
      </c>
      <c r="D80" s="843"/>
      <c r="E80" s="259">
        <f>E78+E79</f>
        <v>0</v>
      </c>
      <c r="G80" s="678"/>
      <c r="H80" s="678"/>
      <c r="I80" s="678"/>
    </row>
    <row r="81" spans="2:10" ht="16.5" thickTop="1">
      <c r="B81" s="146"/>
      <c r="C81" s="850"/>
      <c r="D81" s="850"/>
      <c r="E81" s="146"/>
      <c r="G81" s="847" t="s">
        <v>872</v>
      </c>
      <c r="H81" s="848"/>
      <c r="I81" s="848"/>
      <c r="J81" s="849"/>
    </row>
    <row r="82" spans="2:10" ht="15.75">
      <c r="B82" s="146"/>
      <c r="C82" s="515"/>
      <c r="D82" s="146"/>
      <c r="E82" s="146"/>
      <c r="G82" s="734"/>
      <c r="H82" s="693"/>
      <c r="I82" s="722"/>
      <c r="J82" s="723"/>
    </row>
    <row r="83" spans="2:10" ht="15.75">
      <c r="B83" s="118" t="s">
        <v>43</v>
      </c>
      <c r="C83" s="249"/>
      <c r="D83" s="21"/>
      <c r="E83" s="21"/>
      <c r="G83" s="736" t="str">
        <f>summ!H20</f>
        <v>  </v>
      </c>
      <c r="H83" s="693" t="str">
        <f>CONCATENATE("",E1," Fund Mill Rate")</f>
        <v>2014 Fund Mill Rate</v>
      </c>
      <c r="I83" s="722"/>
      <c r="J83" s="723"/>
    </row>
    <row r="84" spans="2:10" ht="15.75">
      <c r="B84" s="356"/>
      <c r="G84" s="735" t="str">
        <f>summ!E20</f>
        <v>  </v>
      </c>
      <c r="H84" s="693" t="str">
        <f>CONCATENATE("",E1-1," Fund Mill Rate")</f>
        <v>2013 Fund Mill Rate</v>
      </c>
      <c r="I84" s="722"/>
      <c r="J84" s="723"/>
    </row>
    <row r="85" spans="2:10" ht="15.75">
      <c r="B85" s="8"/>
      <c r="G85" s="737">
        <f>summ!H43</f>
        <v>27.522000000000002</v>
      </c>
      <c r="H85" s="693" t="str">
        <f>CONCATENATE("Total ",E1," Mill Rate")</f>
        <v>Total 2014 Mill Rate</v>
      </c>
      <c r="I85" s="722"/>
      <c r="J85" s="723"/>
    </row>
    <row r="86" spans="7:10" ht="15.75">
      <c r="G86" s="735">
        <f>summ!E43</f>
        <v>27.522000000000002</v>
      </c>
      <c r="H86" s="718" t="str">
        <f>CONCATENATE("Total ",E1-1," Mill Rate")</f>
        <v>Total 2013 Mill Rate</v>
      </c>
      <c r="I86" s="719"/>
      <c r="J86" s="720"/>
    </row>
    <row r="88" spans="7:9" ht="15.75">
      <c r="G88" s="781" t="s">
        <v>978</v>
      </c>
      <c r="H88" s="765"/>
      <c r="I88" s="764" t="str">
        <f>cert!F49</f>
        <v>No</v>
      </c>
    </row>
    <row r="95" spans="3:4" ht="15.75" hidden="1">
      <c r="C95" s="372">
        <f>IF(C33&gt;C35,"See Tab A","")</f>
      </c>
      <c r="D95" s="372">
        <f>IF(D33&gt;D35,"See Tab C","")</f>
      </c>
    </row>
    <row r="96" spans="3:4" ht="15.75" hidden="1">
      <c r="C96" s="372">
        <f>IF(C34&lt;0,"See Tab B","")</f>
      </c>
      <c r="D96" s="372">
        <f>IF(D34&lt;0,"See Tab D","")</f>
      </c>
    </row>
    <row r="97" spans="3:4" ht="15.75" hidden="1">
      <c r="C97" s="372">
        <f>IF(C73&gt;C75,"See Tab A","")</f>
      </c>
      <c r="D97" s="372">
        <f>IF(D73&gt;D75,"See Tab C","")</f>
      </c>
    </row>
    <row r="98" spans="3:4" ht="15.75" hidden="1">
      <c r="C98" s="372">
        <f>IF(C74&lt;0,"See Tab B","")</f>
      </c>
      <c r="D98" s="372">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1">
    <cfRule type="cellIs" priority="4" dxfId="248" operator="greaterThan" stopIfTrue="1">
      <formula>$E$73*0.1</formula>
    </cfRule>
  </conditionalFormatting>
  <conditionalFormatting sqref="E76">
    <cfRule type="cellIs" priority="5" dxfId="248" operator="greaterThan" stopIfTrue="1">
      <formula>$E$73/0.95-$E$73</formula>
    </cfRule>
  </conditionalFormatting>
  <conditionalFormatting sqref="E31">
    <cfRule type="cellIs" priority="6" dxfId="248" operator="greaterThan" stopIfTrue="1">
      <formula>$E$33*0.1</formula>
    </cfRule>
  </conditionalFormatting>
  <conditionalFormatting sqref="D33">
    <cfRule type="cellIs" priority="8" dxfId="1" operator="greaterThan" stopIfTrue="1">
      <formula>$D$35</formula>
    </cfRule>
  </conditionalFormatting>
  <conditionalFormatting sqref="C33">
    <cfRule type="cellIs" priority="9" dxfId="1" operator="greaterThan" stopIfTrue="1">
      <formula>$C$35</formula>
    </cfRule>
  </conditionalFormatting>
  <conditionalFormatting sqref="C34 C74">
    <cfRule type="cellIs" priority="10" dxfId="1" operator="lessThan" stopIfTrue="1">
      <formula>0</formula>
    </cfRule>
  </conditionalFormatting>
  <conditionalFormatting sqref="D73">
    <cfRule type="cellIs" priority="11" dxfId="1" operator="greaterThan" stopIfTrue="1">
      <formula>$D$75</formula>
    </cfRule>
  </conditionalFormatting>
  <conditionalFormatting sqref="C73">
    <cfRule type="cellIs" priority="12" dxfId="1" operator="greaterThan" stopIfTrue="1">
      <formula>$C$75</formula>
    </cfRule>
  </conditionalFormatting>
  <conditionalFormatting sqref="C31">
    <cfRule type="cellIs" priority="13" dxfId="1" operator="greaterThan" stopIfTrue="1">
      <formula>$C$33*0.1</formula>
    </cfRule>
  </conditionalFormatting>
  <conditionalFormatting sqref="D31">
    <cfRule type="cellIs" priority="14" dxfId="1" operator="greaterThan" stopIfTrue="1">
      <formula>$D$33*0.1</formula>
    </cfRule>
  </conditionalFormatting>
  <conditionalFormatting sqref="C71">
    <cfRule type="cellIs" priority="15" dxfId="1" operator="greaterThan" stopIfTrue="1">
      <formula>$C$73*0.1</formula>
    </cfRule>
  </conditionalFormatting>
  <conditionalFormatting sqref="D71">
    <cfRule type="cellIs" priority="16" dxfId="1" operator="greaterThan" stopIfTrue="1">
      <formula>$D$73*0.1</formula>
    </cfRule>
  </conditionalFormatting>
  <conditionalFormatting sqref="D18">
    <cfRule type="cellIs" priority="17" dxfId="1" operator="greaterThan" stopIfTrue="1">
      <formula>$D$20*0.1</formula>
    </cfRule>
  </conditionalFormatting>
  <conditionalFormatting sqref="C18">
    <cfRule type="cellIs" priority="18" dxfId="1" operator="greaterThan" stopIfTrue="1">
      <formula>$C$20*0.1</formula>
    </cfRule>
  </conditionalFormatting>
  <conditionalFormatting sqref="D58">
    <cfRule type="cellIs" priority="19" dxfId="1" operator="greaterThan" stopIfTrue="1">
      <formula>$D$60*0.1</formula>
    </cfRule>
  </conditionalFormatting>
  <conditionalFormatting sqref="C58">
    <cfRule type="cellIs" priority="20" dxfId="1" operator="greaterThan" stopIfTrue="1">
      <formula>$C$60*0.1</formula>
    </cfRule>
  </conditionalFormatting>
  <conditionalFormatting sqref="E58">
    <cfRule type="cellIs" priority="21" dxfId="248" operator="greaterThan" stopIfTrue="1">
      <formula>$E$60*0.1+E80</formula>
    </cfRule>
  </conditionalFormatting>
  <conditionalFormatting sqref="E18">
    <cfRule type="cellIs" priority="22" dxfId="248" operator="greaterThan" stopIfTrue="1">
      <formula>$E$20*0.1+E40</formula>
    </cfRule>
  </conditionalFormatting>
  <conditionalFormatting sqref="D74 D34">
    <cfRule type="cellIs" priority="3" dxfId="0" operator="lessThan" stopIfTrue="1">
      <formula>0</formula>
    </cfRule>
  </conditionalFormatting>
  <conditionalFormatting sqref="E36">
    <cfRule type="cellIs" priority="1" dxfId="248" operator="greaterThan" stopIfTrue="1">
      <formula>$E$33/0.95-$E$33</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2" sqref="J2"/>
    </sheetView>
  </sheetViews>
  <sheetFormatPr defaultColWidth="8.796875" defaultRowHeight="15"/>
  <cols>
    <col min="1" max="1" width="2.3984375" style="22" customWidth="1"/>
    <col min="2" max="2" width="31.09765625" style="22" customWidth="1"/>
    <col min="3" max="4" width="15.796875" style="22" customWidth="1"/>
    <col min="5" max="5" width="16.0976562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92</v>
      </c>
      <c r="C3" s="168"/>
      <c r="D3" s="168"/>
      <c r="E3" s="256"/>
    </row>
    <row r="4" spans="2:5" ht="15.75">
      <c r="B4" s="28" t="s">
        <v>24</v>
      </c>
      <c r="C4" s="660" t="s">
        <v>811</v>
      </c>
      <c r="D4" s="661" t="s">
        <v>814</v>
      </c>
      <c r="E4" s="124" t="s">
        <v>815</v>
      </c>
    </row>
    <row r="5" spans="2:5" ht="15.75">
      <c r="B5" s="368">
        <f>inputPrYr!B23</f>
        <v>0</v>
      </c>
      <c r="C5" s="351" t="str">
        <f>CONCATENATE("Actual for ",E1-2,"")</f>
        <v>Actual for 2012</v>
      </c>
      <c r="D5" s="351" t="str">
        <f>CONCATENATE("Estimate for ",E1-1,"")</f>
        <v>Estimate for 2013</v>
      </c>
      <c r="E5" s="221" t="str">
        <f>CONCATENATE("Year for ",E1,"")</f>
        <v>Year for 2014</v>
      </c>
    </row>
    <row r="6" spans="2:5" ht="15.75">
      <c r="B6" s="222" t="s">
        <v>147</v>
      </c>
      <c r="C6" s="223"/>
      <c r="D6" s="350">
        <f>C34</f>
        <v>0</v>
      </c>
      <c r="E6" s="192">
        <f>D34</f>
        <v>0</v>
      </c>
    </row>
    <row r="7" spans="2:5" ht="15.75">
      <c r="B7" s="225" t="s">
        <v>149</v>
      </c>
      <c r="C7" s="350"/>
      <c r="D7" s="350"/>
      <c r="E7" s="192"/>
    </row>
    <row r="8" spans="2:5" ht="15.75">
      <c r="B8" s="130" t="s">
        <v>25</v>
      </c>
      <c r="C8" s="226"/>
      <c r="D8" s="350">
        <f>IF(inputPrYr!H16&gt;0,inputPrYr!G23,inputPrYr!E23)</f>
        <v>0</v>
      </c>
      <c r="E8" s="253" t="s">
        <v>13</v>
      </c>
    </row>
    <row r="9" spans="2:5" ht="15.75">
      <c r="B9" s="130" t="s">
        <v>26</v>
      </c>
      <c r="C9" s="226"/>
      <c r="D9" s="226"/>
      <c r="E9" s="49"/>
    </row>
    <row r="10" spans="2:5" ht="15.75">
      <c r="B10" s="130" t="s">
        <v>27</v>
      </c>
      <c r="C10" s="226"/>
      <c r="D10" s="226"/>
      <c r="E10" s="192" t="str">
        <f>mvalloc!D12</f>
        <v>  </v>
      </c>
    </row>
    <row r="11" spans="2:5" ht="15.75">
      <c r="B11" s="130" t="s">
        <v>28</v>
      </c>
      <c r="C11" s="226"/>
      <c r="D11" s="226"/>
      <c r="E11" s="192" t="str">
        <f>mvalloc!E12</f>
        <v> </v>
      </c>
    </row>
    <row r="12" spans="2:5" ht="15.75">
      <c r="B12" s="138" t="s">
        <v>124</v>
      </c>
      <c r="C12" s="226"/>
      <c r="D12" s="226"/>
      <c r="E12" s="192" t="str">
        <f>mvalloc!F12</f>
        <v> </v>
      </c>
    </row>
    <row r="13" spans="2:5" ht="15.75">
      <c r="B13" s="49"/>
      <c r="C13" s="226"/>
      <c r="D13" s="226"/>
      <c r="E13" s="49"/>
    </row>
    <row r="14" spans="2:5" ht="15.75">
      <c r="B14" s="238"/>
      <c r="C14" s="226"/>
      <c r="D14" s="226"/>
      <c r="E14" s="49"/>
    </row>
    <row r="15" spans="2:5" ht="15.75">
      <c r="B15" s="238"/>
      <c r="C15" s="226"/>
      <c r="D15" s="226"/>
      <c r="E15" s="49"/>
    </row>
    <row r="16" spans="2:5" ht="15.75">
      <c r="B16" s="238"/>
      <c r="C16" s="226"/>
      <c r="D16" s="226"/>
      <c r="E16" s="49"/>
    </row>
    <row r="17" spans="2:5" ht="15.75">
      <c r="B17" s="230" t="s">
        <v>32</v>
      </c>
      <c r="C17" s="226"/>
      <c r="D17" s="226"/>
      <c r="E17" s="49"/>
    </row>
    <row r="18" spans="2:5" ht="15.75">
      <c r="B18" s="138" t="s">
        <v>271</v>
      </c>
      <c r="C18" s="226"/>
      <c r="D18" s="226"/>
      <c r="E18" s="49"/>
    </row>
    <row r="19" spans="2:5" ht="15.75">
      <c r="B19" s="222" t="s">
        <v>794</v>
      </c>
      <c r="C19" s="352">
        <f>IF(C20*0.1&lt;C18,"Exceed 10% Rule","")</f>
      </c>
      <c r="D19" s="352">
        <f>IF(D20*0.1&lt;D18,"Exceed 10% Rule","")</f>
      </c>
      <c r="E19" s="369">
        <f>IF(E20*0.1+E40&lt;E18,"Exceed 10% Rule","")</f>
      </c>
    </row>
    <row r="20" spans="2:5" ht="15.75">
      <c r="B20" s="232" t="s">
        <v>33</v>
      </c>
      <c r="C20" s="353">
        <f>SUM(C8:C18)</f>
        <v>0</v>
      </c>
      <c r="D20" s="353">
        <f>SUM(D8:D18)</f>
        <v>0</v>
      </c>
      <c r="E20" s="258">
        <f>SUM(E8:E18)</f>
        <v>0</v>
      </c>
    </row>
    <row r="21" spans="2:5" ht="15.75">
      <c r="B21" s="232" t="s">
        <v>34</v>
      </c>
      <c r="C21" s="353">
        <f>C6+C20</f>
        <v>0</v>
      </c>
      <c r="D21" s="353">
        <f>D6+D20</f>
        <v>0</v>
      </c>
      <c r="E21" s="258">
        <f>E6+E20</f>
        <v>0</v>
      </c>
    </row>
    <row r="22" spans="2:6" ht="15.75">
      <c r="B22" s="130" t="s">
        <v>36</v>
      </c>
      <c r="C22" s="239"/>
      <c r="D22" s="239"/>
      <c r="E22" s="47"/>
      <c r="F22" s="260"/>
    </row>
    <row r="23" spans="2:5" ht="15.75">
      <c r="B23" s="261"/>
      <c r="C23" s="226"/>
      <c r="D23" s="226"/>
      <c r="E23" s="48"/>
    </row>
    <row r="24" spans="2:10" ht="15.75">
      <c r="B24" s="238"/>
      <c r="C24" s="226"/>
      <c r="D24" s="226"/>
      <c r="E24" s="49"/>
      <c r="G24" s="856" t="str">
        <f>CONCATENATE("Desired Carryover Into ",E1+1,"")</f>
        <v>Desired Carryover Into 2015</v>
      </c>
      <c r="H24" s="845"/>
      <c r="I24" s="845"/>
      <c r="J24" s="846"/>
    </row>
    <row r="25" spans="2:10" ht="15.75">
      <c r="B25" s="238"/>
      <c r="C25" s="226"/>
      <c r="D25" s="226"/>
      <c r="E25" s="49"/>
      <c r="G25" s="701"/>
      <c r="H25" s="688"/>
      <c r="I25" s="695"/>
      <c r="J25" s="702"/>
    </row>
    <row r="26" spans="2:10" ht="15.75">
      <c r="B26" s="238"/>
      <c r="C26" s="226"/>
      <c r="D26" s="226"/>
      <c r="E26" s="49"/>
      <c r="G26" s="700" t="s">
        <v>638</v>
      </c>
      <c r="H26" s="695"/>
      <c r="I26" s="695"/>
      <c r="J26" s="689">
        <v>0</v>
      </c>
    </row>
    <row r="27" spans="2:10" ht="15.75">
      <c r="B27" s="238"/>
      <c r="C27" s="226"/>
      <c r="D27" s="226"/>
      <c r="E27" s="49"/>
      <c r="G27" s="701" t="s">
        <v>639</v>
      </c>
      <c r="H27" s="688"/>
      <c r="I27" s="688"/>
      <c r="J27" s="729">
        <f>IF(J26=0,"",ROUND((J26+E40-G39)/inputOth!E7*1000,3)-G44)</f>
      </c>
    </row>
    <row r="28" spans="2:10" ht="15.75">
      <c r="B28" s="238"/>
      <c r="C28" s="226"/>
      <c r="D28" s="226"/>
      <c r="E28" s="49"/>
      <c r="G28" s="726" t="str">
        <f>CONCATENATE("",E1," Tot Exp/Non-Appr Must Be:")</f>
        <v>2014 Tot Exp/Non-Appr Must Be:</v>
      </c>
      <c r="H28" s="724"/>
      <c r="I28" s="725"/>
      <c r="J28" s="721">
        <f>IF(J26&gt;0,IF(E37&lt;E21,IF(J26=G39,E37,((J26-G39)*(1-D39))+E21),E37+(J26-G39)),0)</f>
        <v>0</v>
      </c>
    </row>
    <row r="29" spans="2:10" ht="15.75">
      <c r="B29" s="238"/>
      <c r="C29" s="226"/>
      <c r="D29" s="226"/>
      <c r="E29" s="49"/>
      <c r="G29" s="591" t="s">
        <v>816</v>
      </c>
      <c r="H29" s="732"/>
      <c r="I29" s="732"/>
      <c r="J29" s="727">
        <f>IF(J26&gt;0,J28-E37,0)</f>
        <v>0</v>
      </c>
    </row>
    <row r="30" spans="2:10" ht="15.75">
      <c r="B30" s="239" t="s">
        <v>272</v>
      </c>
      <c r="C30" s="226"/>
      <c r="D30" s="226"/>
      <c r="E30" s="56">
        <f>nhood!E11</f>
      </c>
      <c r="J30" s="678"/>
    </row>
    <row r="31" spans="2:10" ht="15.75">
      <c r="B31" s="239" t="s">
        <v>271</v>
      </c>
      <c r="C31" s="226"/>
      <c r="D31" s="226"/>
      <c r="E31" s="49"/>
      <c r="G31" s="856" t="str">
        <f>CONCATENATE("Projected Carryover Into ",E1+1,"")</f>
        <v>Projected Carryover Into 2015</v>
      </c>
      <c r="H31" s="853"/>
      <c r="I31" s="853"/>
      <c r="J31" s="859"/>
    </row>
    <row r="32" spans="2:10" ht="15.75">
      <c r="B32" s="239" t="s">
        <v>795</v>
      </c>
      <c r="C32" s="352">
        <f>IF(C33*0.1&lt;C31,"Exceed 10% Rule","")</f>
      </c>
      <c r="D32" s="352">
        <f>IF(D33*0.1&lt;D31,"Exceed 10% Rule","")</f>
      </c>
      <c r="E32" s="369">
        <f>IF(E33*0.1&lt;E31,"Exceed 10% Rule","")</f>
      </c>
      <c r="G32" s="701"/>
      <c r="H32" s="695"/>
      <c r="I32" s="695"/>
      <c r="J32" s="741"/>
    </row>
    <row r="33" spans="2:10" ht="15.75">
      <c r="B33" s="232" t="s">
        <v>40</v>
      </c>
      <c r="C33" s="353">
        <f>SUM(C23:C31)</f>
        <v>0</v>
      </c>
      <c r="D33" s="353">
        <f>SUM(D23:D31)</f>
        <v>0</v>
      </c>
      <c r="E33" s="258">
        <f>SUM(E23:E31)</f>
        <v>0</v>
      </c>
      <c r="G33" s="692">
        <f>D34</f>
        <v>0</v>
      </c>
      <c r="H33" s="693" t="str">
        <f>CONCATENATE("",E1-1," Ending Cash Balance (est.)")</f>
        <v>2013 Ending Cash Balance (est.)</v>
      </c>
      <c r="I33" s="694"/>
      <c r="J33" s="741"/>
    </row>
    <row r="34" spans="2:10" ht="15.75">
      <c r="B34" s="130" t="s">
        <v>148</v>
      </c>
      <c r="C34" s="350">
        <f>C21-C33</f>
        <v>0</v>
      </c>
      <c r="D34" s="350">
        <f>D21-D33</f>
        <v>0</v>
      </c>
      <c r="E34" s="253" t="s">
        <v>13</v>
      </c>
      <c r="G34" s="692">
        <f>E20</f>
        <v>0</v>
      </c>
      <c r="H34" s="695" t="str">
        <f>CONCATENATE("",E1," Non-AV Receipts (est.)")</f>
        <v>2014 Non-AV Receipts (est.)</v>
      </c>
      <c r="I34" s="694"/>
      <c r="J34" s="741"/>
    </row>
    <row r="35" spans="2:10" ht="15.75">
      <c r="B35" s="118" t="str">
        <f>CONCATENATE("",$E$1-2,"/",$E$1-1," Budget Authority Amount:")</f>
        <v>2012/2013 Budget Authority Amount:</v>
      </c>
      <c r="C35" s="182">
        <f>inputOth!B66</f>
        <v>0</v>
      </c>
      <c r="D35" s="241">
        <f>inputPrYr!D23</f>
        <v>0</v>
      </c>
      <c r="E35" s="253" t="s">
        <v>13</v>
      </c>
      <c r="F35" s="242"/>
      <c r="G35" s="696">
        <f>IF(E39&gt;0,E38,E40)</f>
        <v>0</v>
      </c>
      <c r="H35" s="695" t="str">
        <f>CONCATENATE("",E1," Ad Valorem Tax (est.)")</f>
        <v>2014 Ad Valorem Tax (est.)</v>
      </c>
      <c r="I35" s="694"/>
      <c r="J35" s="741"/>
    </row>
    <row r="36" spans="2:10" ht="15.75">
      <c r="B36" s="118"/>
      <c r="C36" s="838" t="s">
        <v>630</v>
      </c>
      <c r="D36" s="839"/>
      <c r="E36" s="49"/>
      <c r="F36" s="752">
        <f>IF(E33/0.95-E33&lt;E36,"Exceeds 5%","")</f>
      </c>
      <c r="G36" s="692">
        <f>SUM(G33:G35)</f>
        <v>0</v>
      </c>
      <c r="H36" s="695" t="str">
        <f>CONCATENATE("Total ",E1," Resources Available")</f>
        <v>Total 2014 Resources Available</v>
      </c>
      <c r="I36" s="694"/>
      <c r="J36" s="741"/>
    </row>
    <row r="37" spans="2:10" ht="15.75">
      <c r="B37" s="371" t="str">
        <f>CONCATENATE(C93,"     ",D93)</f>
        <v>     </v>
      </c>
      <c r="C37" s="840" t="s">
        <v>631</v>
      </c>
      <c r="D37" s="841"/>
      <c r="E37" s="192">
        <f>E33+E36</f>
        <v>0</v>
      </c>
      <c r="G37" s="697"/>
      <c r="H37" s="695"/>
      <c r="I37" s="695"/>
      <c r="J37" s="741"/>
    </row>
    <row r="38" spans="2:10" ht="15.75">
      <c r="B38" s="371" t="str">
        <f>CONCATENATE(C94,"     ",D94)</f>
        <v>     </v>
      </c>
      <c r="C38" s="243"/>
      <c r="D38" s="146" t="s">
        <v>41</v>
      </c>
      <c r="E38" s="192">
        <f>IF(E37-E21&gt;0,E37-E21,0)</f>
        <v>0</v>
      </c>
      <c r="G38" s="696">
        <f>ROUND(C33*0.05+C33,0)</f>
        <v>0</v>
      </c>
      <c r="H38" s="695" t="str">
        <f>CONCATENATE("Less ",E1-2," Expenditures + 5%")</f>
        <v>Less 2012 Expenditures + 5%</v>
      </c>
      <c r="I38" s="694"/>
      <c r="J38" s="741"/>
    </row>
    <row r="39" spans="2:10" ht="15.75">
      <c r="B39" s="146"/>
      <c r="C39" s="357" t="s">
        <v>632</v>
      </c>
      <c r="D39" s="593">
        <f>inputOth!$E$47</f>
        <v>0</v>
      </c>
      <c r="E39" s="192">
        <f>ROUND(IF(D39&gt;0,(E38*D39),0),0)</f>
        <v>0</v>
      </c>
      <c r="G39" s="730">
        <f>G36-G38</f>
        <v>0</v>
      </c>
      <c r="H39" s="731" t="str">
        <f>CONCATENATE("Projected ",E1+1," carryover (est.)")</f>
        <v>Projected 2015 carryover (est.)</v>
      </c>
      <c r="I39" s="698"/>
      <c r="J39" s="739"/>
    </row>
    <row r="40" spans="2:10" ht="16.5" thickBot="1">
      <c r="B40" s="21"/>
      <c r="C40" s="842" t="str">
        <f>CONCATENATE("Amount of  ",$E$1-1," Ad Valorem Tax")</f>
        <v>Amount of  2013 Ad Valorem Tax</v>
      </c>
      <c r="D40" s="843"/>
      <c r="E40" s="259">
        <f>E38+E39</f>
        <v>0</v>
      </c>
      <c r="G40" s="678"/>
      <c r="H40" s="678"/>
      <c r="I40" s="678"/>
      <c r="J40" s="678"/>
    </row>
    <row r="41" spans="2:10" ht="16.5" thickTop="1">
      <c r="B41" s="21"/>
      <c r="C41" s="850"/>
      <c r="D41" s="850"/>
      <c r="E41" s="21"/>
      <c r="G41" s="847" t="s">
        <v>872</v>
      </c>
      <c r="H41" s="848"/>
      <c r="I41" s="848"/>
      <c r="J41" s="849"/>
    </row>
    <row r="42" spans="2:10" ht="15.75">
      <c r="B42" s="21"/>
      <c r="C42" s="21"/>
      <c r="D42" s="21"/>
      <c r="E42" s="21"/>
      <c r="G42" s="734"/>
      <c r="H42" s="693"/>
      <c r="I42" s="722"/>
      <c r="J42" s="723"/>
    </row>
    <row r="43" spans="2:10" ht="15.75">
      <c r="B43" s="28"/>
      <c r="C43" s="257"/>
      <c r="D43" s="257"/>
      <c r="E43" s="257"/>
      <c r="G43" s="736" t="str">
        <f>summ!H21</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summ!E21</f>
        <v>  </v>
      </c>
      <c r="H44" s="693" t="str">
        <f>CONCATENATE("",E1-1," Fund Mill Rate")</f>
        <v>2013 Fund Mill Rate</v>
      </c>
      <c r="I44" s="722"/>
      <c r="J44" s="723"/>
    </row>
    <row r="45" spans="2:10" ht="15.75">
      <c r="B45" s="367">
        <f>inputPrYr!B24</f>
        <v>0</v>
      </c>
      <c r="C45" s="351" t="str">
        <f t="shared" si="0"/>
        <v>Actual for 2012</v>
      </c>
      <c r="D45" s="351" t="str">
        <f t="shared" si="0"/>
        <v>Estimate for 2013</v>
      </c>
      <c r="E45" s="177" t="str">
        <f t="shared" si="0"/>
        <v>Year for 2014</v>
      </c>
      <c r="G45" s="737">
        <f>summ!H43</f>
        <v>27.522000000000002</v>
      </c>
      <c r="H45" s="693" t="str">
        <f>CONCATENATE("Total ",E1," Mill Rate")</f>
        <v>Total 2014 Mill Rate</v>
      </c>
      <c r="I45" s="722"/>
      <c r="J45" s="723"/>
    </row>
    <row r="46" spans="2:10" ht="15.75">
      <c r="B46" s="222" t="s">
        <v>147</v>
      </c>
      <c r="C46" s="223"/>
      <c r="D46" s="350">
        <f>C74</f>
        <v>0</v>
      </c>
      <c r="E46" s="192">
        <f>D74</f>
        <v>0</v>
      </c>
      <c r="G46" s="735">
        <f>summ!E43</f>
        <v>27.522000000000002</v>
      </c>
      <c r="H46" s="718" t="str">
        <f>CONCATENATE("Total ",E1-1," Mill Rate")</f>
        <v>Total 2013 Mill Rate</v>
      </c>
      <c r="I46" s="719"/>
      <c r="J46" s="720"/>
    </row>
    <row r="47" spans="2:5" ht="15.75">
      <c r="B47" s="222" t="s">
        <v>149</v>
      </c>
      <c r="C47" s="138"/>
      <c r="D47" s="138"/>
      <c r="E47" s="67"/>
    </row>
    <row r="48" spans="2:9" ht="15.75">
      <c r="B48" s="130" t="s">
        <v>25</v>
      </c>
      <c r="C48" s="223"/>
      <c r="D48" s="350">
        <f>IF(inputPrYr!H16&gt;0,inputPrYr!G24,inputPrYr!E24)</f>
        <v>0</v>
      </c>
      <c r="E48" s="253" t="s">
        <v>13</v>
      </c>
      <c r="G48" s="781" t="s">
        <v>978</v>
      </c>
      <c r="H48" s="767"/>
      <c r="I48" s="766" t="str">
        <f>cert!F49</f>
        <v>No</v>
      </c>
    </row>
    <row r="49" spans="2:5" ht="15.75">
      <c r="B49" s="130" t="s">
        <v>26</v>
      </c>
      <c r="C49" s="223"/>
      <c r="D49" s="223"/>
      <c r="E49" s="49"/>
    </row>
    <row r="50" spans="2:5" ht="15.75">
      <c r="B50" s="130" t="s">
        <v>27</v>
      </c>
      <c r="C50" s="223"/>
      <c r="D50" s="223"/>
      <c r="E50" s="192" t="str">
        <f>mvalloc!D13</f>
        <v>  </v>
      </c>
    </row>
    <row r="51" spans="2:5" ht="15.75">
      <c r="B51" s="130" t="s">
        <v>28</v>
      </c>
      <c r="C51" s="223"/>
      <c r="D51" s="223"/>
      <c r="E51" s="192" t="str">
        <f>mvalloc!E13</f>
        <v> </v>
      </c>
    </row>
    <row r="52" spans="2:5" ht="15.75">
      <c r="B52" s="138" t="s">
        <v>124</v>
      </c>
      <c r="C52" s="223"/>
      <c r="D52" s="223"/>
      <c r="E52" s="192" t="str">
        <f>mvalloc!F13</f>
        <v> </v>
      </c>
    </row>
    <row r="53" spans="2:5" ht="15.75">
      <c r="B53" s="49"/>
      <c r="C53" s="223"/>
      <c r="D53" s="223"/>
      <c r="E53" s="49"/>
    </row>
    <row r="54" spans="2:5" ht="15.75">
      <c r="B54" s="238"/>
      <c r="C54" s="223"/>
      <c r="D54" s="223"/>
      <c r="E54" s="49"/>
    </row>
    <row r="55" spans="2:5" ht="15.75">
      <c r="B55" s="238"/>
      <c r="C55" s="223"/>
      <c r="D55" s="223"/>
      <c r="E55" s="49"/>
    </row>
    <row r="56" spans="2:5" ht="15.75">
      <c r="B56" s="238"/>
      <c r="C56" s="223"/>
      <c r="D56" s="223"/>
      <c r="E56" s="49"/>
    </row>
    <row r="57" spans="2:5" ht="15.75">
      <c r="B57" s="230" t="s">
        <v>32</v>
      </c>
      <c r="C57" s="223"/>
      <c r="D57" s="223"/>
      <c r="E57" s="49"/>
    </row>
    <row r="58" spans="2:5" ht="15.75">
      <c r="B58" s="138" t="s">
        <v>271</v>
      </c>
      <c r="C58" s="223"/>
      <c r="D58" s="223"/>
      <c r="E58" s="49"/>
    </row>
    <row r="59" spans="2:5" ht="15.75">
      <c r="B59" s="222" t="s">
        <v>794</v>
      </c>
      <c r="C59" s="352">
        <f>IF(C60*0.1&lt;C58,"Exceed 10% Rule","")</f>
      </c>
      <c r="D59" s="352">
        <f>IF(D60*0.1&lt;D58,"Exceed 10% Rule","")</f>
      </c>
      <c r="E59" s="369">
        <f>IF(E60*0.1+E80&lt;E58,"Exceed 10% Rule","")</f>
      </c>
    </row>
    <row r="60" spans="2:5" ht="15.75">
      <c r="B60" s="232" t="s">
        <v>33</v>
      </c>
      <c r="C60" s="353">
        <f>SUM(C48:C58)</f>
        <v>0</v>
      </c>
      <c r="D60" s="353">
        <f>SUM(D48:D58)</f>
        <v>0</v>
      </c>
      <c r="E60" s="258">
        <f>SUM(E49:E58)</f>
        <v>0</v>
      </c>
    </row>
    <row r="61" spans="2:5" ht="15.75">
      <c r="B61" s="232" t="s">
        <v>34</v>
      </c>
      <c r="C61" s="353">
        <f>C46+C60</f>
        <v>0</v>
      </c>
      <c r="D61" s="353">
        <f>D46+D60</f>
        <v>0</v>
      </c>
      <c r="E61" s="258">
        <f>E46+E60</f>
        <v>0</v>
      </c>
    </row>
    <row r="62" spans="2:5" ht="15.75">
      <c r="B62" s="130" t="s">
        <v>36</v>
      </c>
      <c r="C62" s="239"/>
      <c r="D62" s="239"/>
      <c r="E62" s="47"/>
    </row>
    <row r="63" spans="2:5" ht="15.75">
      <c r="B63" s="238"/>
      <c r="C63" s="223"/>
      <c r="D63" s="223"/>
      <c r="E63" s="49"/>
    </row>
    <row r="64" spans="2:10" ht="15.75">
      <c r="B64" s="238"/>
      <c r="C64" s="223"/>
      <c r="D64" s="223"/>
      <c r="E64" s="49"/>
      <c r="G64" s="856" t="str">
        <f>CONCATENATE("Desired Carryover Into ",E1+1,"")</f>
        <v>Desired Carryover Into 2015</v>
      </c>
      <c r="H64" s="845"/>
      <c r="I64" s="845"/>
      <c r="J64" s="846"/>
    </row>
    <row r="65" spans="2:10" ht="15.75">
      <c r="B65" s="238"/>
      <c r="C65" s="223"/>
      <c r="D65" s="223"/>
      <c r="E65" s="49"/>
      <c r="G65" s="701"/>
      <c r="H65" s="688"/>
      <c r="I65" s="695"/>
      <c r="J65" s="702"/>
    </row>
    <row r="66" spans="2:10" ht="15.75">
      <c r="B66" s="238"/>
      <c r="C66" s="223"/>
      <c r="D66" s="223"/>
      <c r="E66" s="49"/>
      <c r="G66" s="700" t="s">
        <v>638</v>
      </c>
      <c r="H66" s="695"/>
      <c r="I66" s="695"/>
      <c r="J66" s="689">
        <v>0</v>
      </c>
    </row>
    <row r="67" spans="2:10" ht="15.75">
      <c r="B67" s="238"/>
      <c r="C67" s="223"/>
      <c r="D67" s="223"/>
      <c r="E67" s="49"/>
      <c r="G67" s="701" t="s">
        <v>639</v>
      </c>
      <c r="H67" s="688"/>
      <c r="I67" s="688"/>
      <c r="J67" s="729">
        <f>IF(J66=0,"",ROUND((J66+E80-G79)/inputOth!E7*1000,3)-G84)</f>
      </c>
    </row>
    <row r="68" spans="2:10" ht="15.75">
      <c r="B68" s="238"/>
      <c r="C68" s="223"/>
      <c r="D68" s="223"/>
      <c r="E68" s="49"/>
      <c r="G68" s="726" t="str">
        <f>CONCATENATE("",E1," Tot Exp/Non-Appr Must Be:")</f>
        <v>2014 Tot Exp/Non-Appr Must Be:</v>
      </c>
      <c r="H68" s="724"/>
      <c r="I68" s="725"/>
      <c r="J68" s="721">
        <f>IF(J66&gt;0,IF(E77&lt;E61,IF(J66=G79,E77,((J66-G79)*(1-D79))+E61),E77+(J66-G79)),0)</f>
        <v>0</v>
      </c>
    </row>
    <row r="69" spans="2:10" ht="15.75">
      <c r="B69" s="238"/>
      <c r="C69" s="223"/>
      <c r="D69" s="223"/>
      <c r="E69" s="49"/>
      <c r="G69" s="591" t="s">
        <v>816</v>
      </c>
      <c r="H69" s="732"/>
      <c r="I69" s="732"/>
      <c r="J69" s="727">
        <f>IF(J66&gt;0,J68-E77,0)</f>
        <v>0</v>
      </c>
    </row>
    <row r="70" spans="2:10" ht="15.75">
      <c r="B70" s="239" t="s">
        <v>272</v>
      </c>
      <c r="C70" s="223"/>
      <c r="D70" s="223"/>
      <c r="E70" s="56">
        <f>nhood!E12</f>
      </c>
      <c r="J70" s="678"/>
    </row>
    <row r="71" spans="2:10" ht="15.75">
      <c r="B71" s="239" t="s">
        <v>271</v>
      </c>
      <c r="C71" s="223"/>
      <c r="D71" s="223"/>
      <c r="E71" s="49"/>
      <c r="G71" s="856" t="str">
        <f>CONCATENATE("Projected Carryover Into ",E1+1,"")</f>
        <v>Projected Carryover Into 2015</v>
      </c>
      <c r="H71" s="860"/>
      <c r="I71" s="860"/>
      <c r="J71" s="859"/>
    </row>
    <row r="72" spans="2:10" ht="15.75">
      <c r="B72" s="239" t="s">
        <v>795</v>
      </c>
      <c r="C72" s="352">
        <f>IF(C73*0.1&lt;C71,"Exceed 10% Rule","")</f>
      </c>
      <c r="D72" s="352">
        <f>IF(D73*0.1&lt;D71,"Exceed 10% Rule","")</f>
      </c>
      <c r="E72" s="369">
        <f>IF(E73*0.1&lt;E71,"Exceed 10% Rule","")</f>
      </c>
      <c r="G72" s="690"/>
      <c r="H72" s="688"/>
      <c r="I72" s="688"/>
      <c r="J72" s="741"/>
    </row>
    <row r="73" spans="2:10" ht="15.75">
      <c r="B73" s="232" t="s">
        <v>40</v>
      </c>
      <c r="C73" s="353">
        <f>SUM(C63:C71)</f>
        <v>0</v>
      </c>
      <c r="D73" s="353">
        <f>SUM(D63:D71)</f>
        <v>0</v>
      </c>
      <c r="E73" s="258">
        <f>SUM(E63:E71)</f>
        <v>0</v>
      </c>
      <c r="G73" s="692">
        <f>D74</f>
        <v>0</v>
      </c>
      <c r="H73" s="693" t="str">
        <f>CONCATENATE("",E1-1," Ending Cash Balance (est.)")</f>
        <v>2013 Ending Cash Balance (est.)</v>
      </c>
      <c r="I73" s="694"/>
      <c r="J73" s="741"/>
    </row>
    <row r="74" spans="2:10" ht="15.75">
      <c r="B74" s="130" t="s">
        <v>148</v>
      </c>
      <c r="C74" s="350">
        <f>C61-C73</f>
        <v>0</v>
      </c>
      <c r="D74" s="350">
        <f>D61-D73</f>
        <v>0</v>
      </c>
      <c r="E74" s="253" t="s">
        <v>13</v>
      </c>
      <c r="G74" s="692">
        <f>E60</f>
        <v>0</v>
      </c>
      <c r="H74" s="695" t="str">
        <f>CONCATENATE("",E1," Non-AV Receipts (est.)")</f>
        <v>2014 Non-AV Receipts (est.)</v>
      </c>
      <c r="I74" s="694"/>
      <c r="J74" s="741"/>
    </row>
    <row r="75" spans="2:11" ht="15.75">
      <c r="B75" s="118" t="str">
        <f>CONCATENATE("",$E$1-2,"/",$E$1-1," Budget Authority Amount:")</f>
        <v>2012/2013 Budget Authority Amount:</v>
      </c>
      <c r="C75" s="182">
        <f>inputOth!B67</f>
        <v>0</v>
      </c>
      <c r="D75" s="241">
        <f>inputPrYr!D24</f>
        <v>0</v>
      </c>
      <c r="E75" s="253" t="s">
        <v>13</v>
      </c>
      <c r="F75" s="242"/>
      <c r="G75" s="696">
        <f>IF(D79&gt;0,E78,E80)</f>
        <v>0</v>
      </c>
      <c r="H75" s="695" t="str">
        <f>CONCATENATE("",E1," Ad Valorem Tax (est.)")</f>
        <v>2014 Ad Valorem Tax (est.)</v>
      </c>
      <c r="I75" s="694"/>
      <c r="J75" s="741"/>
      <c r="K75" s="594">
        <f>IF(G75=E80,"","Note: Does not include Delinquent Taxes")</f>
      </c>
    </row>
    <row r="76" spans="2:10" ht="15.75">
      <c r="B76" s="118"/>
      <c r="C76" s="838" t="s">
        <v>630</v>
      </c>
      <c r="D76" s="839"/>
      <c r="E76" s="49"/>
      <c r="F76" s="752">
        <f>IF(E73/0.95-E73&lt;E76,"Exceeds 5%","")</f>
      </c>
      <c r="G76" s="703">
        <f>SUM(G73:G75)</f>
        <v>0</v>
      </c>
      <c r="H76" s="695" t="str">
        <f>CONCATENATE("Total ",E1," Resources Available")</f>
        <v>Total 2014 Resources Available</v>
      </c>
      <c r="I76" s="691"/>
      <c r="J76" s="741"/>
    </row>
    <row r="77" spans="2:10" ht="15.75">
      <c r="B77" s="371" t="str">
        <f>CONCATENATE(C95,"     ",D95)</f>
        <v>     </v>
      </c>
      <c r="C77" s="840" t="s">
        <v>631</v>
      </c>
      <c r="D77" s="841"/>
      <c r="E77" s="192">
        <f>E73+E76</f>
        <v>0</v>
      </c>
      <c r="G77" s="706"/>
      <c r="H77" s="704"/>
      <c r="I77" s="688"/>
      <c r="J77" s="741"/>
    </row>
    <row r="78" spans="2:10" ht="15.75">
      <c r="B78" s="371" t="str">
        <f>CONCATENATE(C96,"     ",D96)</f>
        <v>     </v>
      </c>
      <c r="C78" s="243"/>
      <c r="D78" s="146" t="s">
        <v>41</v>
      </c>
      <c r="E78" s="192">
        <f>IF(E77-E61&gt;0,E77-E61,0)</f>
        <v>0</v>
      </c>
      <c r="G78" s="705">
        <f>ROUND(C73*0.05+C73,0)</f>
        <v>0</v>
      </c>
      <c r="H78" s="704" t="str">
        <f>CONCATENATE("Less ",E1-2," Expenditures + 5%")</f>
        <v>Less 2012 Expenditures + 5%</v>
      </c>
      <c r="I78" s="691"/>
      <c r="J78" s="741"/>
    </row>
    <row r="79" spans="2:10" ht="15.75">
      <c r="B79" s="146"/>
      <c r="C79" s="357" t="s">
        <v>632</v>
      </c>
      <c r="D79" s="593">
        <f>inputOth!$E$47</f>
        <v>0</v>
      </c>
      <c r="E79" s="192">
        <f>ROUND(IF(D79&gt;0,(E78*D79),0),0)</f>
        <v>0</v>
      </c>
      <c r="G79" s="707">
        <f>G76-G78</f>
        <v>0</v>
      </c>
      <c r="H79" s="708" t="str">
        <f>CONCATENATE("Projected ",E1+1," carryover (est.)")</f>
        <v>Projected 2015 carryover (est.)</v>
      </c>
      <c r="I79" s="699"/>
      <c r="J79" s="739"/>
    </row>
    <row r="80" spans="2:9" ht="16.5" thickBot="1">
      <c r="B80" s="21"/>
      <c r="C80" s="842" t="str">
        <f>CONCATENATE("Amount of  ",$E$1-1," Ad Valorem Tax")</f>
        <v>Amount of  2013 Ad Valorem Tax</v>
      </c>
      <c r="D80" s="843"/>
      <c r="E80" s="259">
        <f>E78+E79</f>
        <v>0</v>
      </c>
      <c r="G80" s="678"/>
      <c r="H80" s="678"/>
      <c r="I80" s="678"/>
    </row>
    <row r="81" spans="2:10" ht="16.5" thickTop="1">
      <c r="B81" s="21"/>
      <c r="C81" s="850"/>
      <c r="D81" s="850"/>
      <c r="E81" s="21"/>
      <c r="G81" s="847" t="s">
        <v>872</v>
      </c>
      <c r="H81" s="848"/>
      <c r="I81" s="848"/>
      <c r="J81" s="849"/>
    </row>
    <row r="82" spans="2:10" ht="15.75">
      <c r="B82" s="21"/>
      <c r="C82" s="21"/>
      <c r="D82" s="21"/>
      <c r="E82" s="21"/>
      <c r="G82" s="734"/>
      <c r="H82" s="693"/>
      <c r="I82" s="722"/>
      <c r="J82" s="723"/>
    </row>
    <row r="83" spans="2:10" ht="15.75">
      <c r="B83" s="118" t="s">
        <v>43</v>
      </c>
      <c r="C83" s="249"/>
      <c r="D83" s="21"/>
      <c r="E83" s="21"/>
      <c r="G83" s="736" t="str">
        <f>summ!H22</f>
        <v>  </v>
      </c>
      <c r="H83" s="693" t="str">
        <f>CONCATENATE("",E1," Fund Mill Rate")</f>
        <v>2014 Fund Mill Rate</v>
      </c>
      <c r="I83" s="722"/>
      <c r="J83" s="723"/>
    </row>
    <row r="84" spans="7:10" ht="15.75">
      <c r="G84" s="735" t="str">
        <f>summ!E22</f>
        <v>  </v>
      </c>
      <c r="H84" s="693" t="str">
        <f>CONCATENATE("",E1-1," Fund Mill Rate")</f>
        <v>2013 Fund Mill Rate</v>
      </c>
      <c r="I84" s="722"/>
      <c r="J84" s="723"/>
    </row>
    <row r="85" spans="7:10" ht="15.75">
      <c r="G85" s="737">
        <f>summ!H43</f>
        <v>27.522000000000002</v>
      </c>
      <c r="H85" s="693" t="str">
        <f>CONCATENATE("Total ",E1," Mill Rate")</f>
        <v>Total 2014 Mill Rate</v>
      </c>
      <c r="I85" s="722"/>
      <c r="J85" s="723"/>
    </row>
    <row r="86" spans="7:10" ht="15.75">
      <c r="G86" s="735">
        <f>summ!E43</f>
        <v>27.522000000000002</v>
      </c>
      <c r="H86" s="718" t="str">
        <f>CONCATENATE("Total ",E1-1," Mill Rate")</f>
        <v>Total 2013 Mill Rate</v>
      </c>
      <c r="I86" s="719"/>
      <c r="J86" s="720"/>
    </row>
    <row r="88" spans="7:9" ht="15.75">
      <c r="G88" s="781" t="s">
        <v>978</v>
      </c>
      <c r="H88" s="769"/>
      <c r="I88" s="768" t="str">
        <f>cert!F49</f>
        <v>No</v>
      </c>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58" sqref="J58"/>
    </sheetView>
  </sheetViews>
  <sheetFormatPr defaultColWidth="8.796875" defaultRowHeight="15"/>
  <cols>
    <col min="1" max="1" width="2.3984375" style="22" customWidth="1"/>
    <col min="2" max="2" width="31.09765625" style="22" customWidth="1"/>
    <col min="3" max="4" width="15.796875" style="22" customWidth="1"/>
    <col min="5" max="5" width="16.0976562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92</v>
      </c>
      <c r="C3" s="168"/>
      <c r="D3" s="168"/>
      <c r="E3" s="256"/>
    </row>
    <row r="4" spans="2:5" ht="15.75">
      <c r="B4" s="28" t="s">
        <v>24</v>
      </c>
      <c r="C4" s="660" t="s">
        <v>811</v>
      </c>
      <c r="D4" s="661" t="s">
        <v>814</v>
      </c>
      <c r="E4" s="124" t="s">
        <v>815</v>
      </c>
    </row>
    <row r="5" spans="2:5" ht="15.75">
      <c r="B5" s="367">
        <f>inputPrYr!B25</f>
        <v>0</v>
      </c>
      <c r="C5" s="351" t="str">
        <f>CONCATENATE("Actual for ",E1-2,"")</f>
        <v>Actual for 2012</v>
      </c>
      <c r="D5" s="351" t="str">
        <f>CONCATENATE("Estimate for ",E1-1,"")</f>
        <v>Estimate for 2013</v>
      </c>
      <c r="E5" s="221" t="str">
        <f>CONCATENATE("Year for ",E1,"")</f>
        <v>Year for 2014</v>
      </c>
    </row>
    <row r="6" spans="2:5" ht="15.75">
      <c r="B6" s="222" t="s">
        <v>147</v>
      </c>
      <c r="C6" s="223"/>
      <c r="D6" s="350">
        <f>C34</f>
        <v>0</v>
      </c>
      <c r="E6" s="192">
        <f>D34</f>
        <v>0</v>
      </c>
    </row>
    <row r="7" spans="2:5" ht="15.75">
      <c r="B7" s="222" t="s">
        <v>149</v>
      </c>
      <c r="C7" s="138"/>
      <c r="D7" s="138"/>
      <c r="E7" s="67"/>
    </row>
    <row r="8" spans="2:5" ht="15.75">
      <c r="B8" s="130" t="s">
        <v>25</v>
      </c>
      <c r="C8" s="223"/>
      <c r="D8" s="350">
        <f>IF(inputPrYr!H16&gt;0,inputPrYr!G25,inputPrYr!E25)</f>
        <v>0</v>
      </c>
      <c r="E8" s="253" t="s">
        <v>13</v>
      </c>
    </row>
    <row r="9" spans="2:5" ht="15.75">
      <c r="B9" s="130" t="s">
        <v>26</v>
      </c>
      <c r="C9" s="223"/>
      <c r="D9" s="223"/>
      <c r="E9" s="49"/>
    </row>
    <row r="10" spans="2:5" ht="15.75">
      <c r="B10" s="130" t="s">
        <v>27</v>
      </c>
      <c r="C10" s="223"/>
      <c r="D10" s="223"/>
      <c r="E10" s="192" t="str">
        <f>mvalloc!D14</f>
        <v>  </v>
      </c>
    </row>
    <row r="11" spans="2:5" ht="15.75">
      <c r="B11" s="130" t="s">
        <v>28</v>
      </c>
      <c r="C11" s="223"/>
      <c r="D11" s="223"/>
      <c r="E11" s="192" t="str">
        <f>mvalloc!E14</f>
        <v> </v>
      </c>
    </row>
    <row r="12" spans="2:5" ht="15.75">
      <c r="B12" s="138" t="s">
        <v>124</v>
      </c>
      <c r="C12" s="223"/>
      <c r="D12" s="223"/>
      <c r="E12" s="192" t="str">
        <f>mvalloc!F14</f>
        <v> </v>
      </c>
    </row>
    <row r="13" spans="2:5" ht="15.75">
      <c r="B13" s="49"/>
      <c r="C13" s="223"/>
      <c r="D13" s="223"/>
      <c r="E13" s="49"/>
    </row>
    <row r="14" spans="2:5" ht="15.75">
      <c r="B14" s="238"/>
      <c r="C14" s="223"/>
      <c r="D14" s="223"/>
      <c r="E14" s="49"/>
    </row>
    <row r="15" spans="2:5" ht="15.75">
      <c r="B15" s="238"/>
      <c r="C15" s="223"/>
      <c r="D15" s="223"/>
      <c r="E15" s="49"/>
    </row>
    <row r="16" spans="2:5" ht="15.75">
      <c r="B16" s="238"/>
      <c r="C16" s="223"/>
      <c r="D16" s="223"/>
      <c r="E16" s="49"/>
    </row>
    <row r="17" spans="2:5" ht="15.75">
      <c r="B17" s="230" t="s">
        <v>32</v>
      </c>
      <c r="C17" s="223"/>
      <c r="D17" s="223"/>
      <c r="E17" s="49"/>
    </row>
    <row r="18" spans="2:5" ht="15.75">
      <c r="B18" s="138" t="s">
        <v>271</v>
      </c>
      <c r="C18" s="223"/>
      <c r="D18" s="223"/>
      <c r="E18" s="49"/>
    </row>
    <row r="19" spans="2:5" ht="15.75">
      <c r="B19" s="222" t="s">
        <v>794</v>
      </c>
      <c r="C19" s="352">
        <f>IF(C20*0.1&lt;C18,"Exceed 10% Rule","")</f>
      </c>
      <c r="D19" s="352">
        <f>IF(D20*0.1&lt;D18,"Exceed 10% Rule","")</f>
      </c>
      <c r="E19" s="369">
        <f>IF(E20*0.1+E40&lt;E18,"Exceed 10% Rule","")</f>
      </c>
    </row>
    <row r="20" spans="2:5" ht="15.75">
      <c r="B20" s="232" t="s">
        <v>33</v>
      </c>
      <c r="C20" s="353">
        <f>SUM(C8:C18)</f>
        <v>0</v>
      </c>
      <c r="D20" s="353">
        <f>SUM(D8:D18)</f>
        <v>0</v>
      </c>
      <c r="E20" s="258">
        <f>SUM(E8:E18)</f>
        <v>0</v>
      </c>
    </row>
    <row r="21" spans="2:5" ht="15.75">
      <c r="B21" s="232" t="s">
        <v>34</v>
      </c>
      <c r="C21" s="353">
        <f>C6+C20</f>
        <v>0</v>
      </c>
      <c r="D21" s="353">
        <f>D6+D20</f>
        <v>0</v>
      </c>
      <c r="E21" s="258">
        <f>E6+E20</f>
        <v>0</v>
      </c>
    </row>
    <row r="22" spans="2:5" ht="15.75">
      <c r="B22" s="130" t="s">
        <v>36</v>
      </c>
      <c r="C22" s="239"/>
      <c r="D22" s="239"/>
      <c r="E22" s="47"/>
    </row>
    <row r="23" spans="2:5" ht="15.75">
      <c r="B23" s="238"/>
      <c r="C23" s="223"/>
      <c r="D23" s="223"/>
      <c r="E23" s="49"/>
    </row>
    <row r="24" spans="2:10" ht="15.75">
      <c r="B24" s="238"/>
      <c r="C24" s="223"/>
      <c r="D24" s="223"/>
      <c r="E24" s="49"/>
      <c r="G24" s="856" t="str">
        <f>CONCATENATE("Desired Carryover Into ",E1+1,"")</f>
        <v>Desired Carryover Into 2015</v>
      </c>
      <c r="H24" s="845"/>
      <c r="I24" s="845"/>
      <c r="J24" s="846"/>
    </row>
    <row r="25" spans="2:10" ht="15.75">
      <c r="B25" s="238"/>
      <c r="C25" s="223"/>
      <c r="D25" s="223"/>
      <c r="E25" s="49"/>
      <c r="G25" s="701"/>
      <c r="H25" s="688"/>
      <c r="I25" s="695"/>
      <c r="J25" s="702"/>
    </row>
    <row r="26" spans="2:10" ht="15.75">
      <c r="B26" s="238"/>
      <c r="C26" s="223"/>
      <c r="D26" s="223"/>
      <c r="E26" s="49"/>
      <c r="G26" s="700" t="s">
        <v>638</v>
      </c>
      <c r="H26" s="695"/>
      <c r="I26" s="695"/>
      <c r="J26" s="689">
        <v>0</v>
      </c>
    </row>
    <row r="27" spans="2:10" ht="15.75">
      <c r="B27" s="238"/>
      <c r="C27" s="223"/>
      <c r="D27" s="223"/>
      <c r="E27" s="49"/>
      <c r="G27" s="701" t="s">
        <v>639</v>
      </c>
      <c r="H27" s="688"/>
      <c r="I27" s="688"/>
      <c r="J27" s="729">
        <f>IF(J26=0,"",ROUND((J26+E40-G39)/inputOth!E7*1000,3)-G44)</f>
      </c>
    </row>
    <row r="28" spans="2:10" ht="15.75">
      <c r="B28" s="238"/>
      <c r="C28" s="223"/>
      <c r="D28" s="223"/>
      <c r="E28" s="49"/>
      <c r="G28" s="726" t="str">
        <f>CONCATENATE("",E1," Tot Exp/Non-Appr Must Be:")</f>
        <v>2014 Tot Exp/Non-Appr Must Be:</v>
      </c>
      <c r="H28" s="724"/>
      <c r="I28" s="725"/>
      <c r="J28" s="721">
        <f>IF(J26&gt;0,IF(E37&lt;E21,IF(J26=G39,E37,((J26-G39)*(1-D39))+E21),E37+(J26-G39)),0)</f>
        <v>0</v>
      </c>
    </row>
    <row r="29" spans="2:10" ht="15.75">
      <c r="B29" s="238"/>
      <c r="C29" s="223"/>
      <c r="D29" s="223"/>
      <c r="E29" s="49"/>
      <c r="G29" s="591" t="s">
        <v>816</v>
      </c>
      <c r="H29" s="732"/>
      <c r="I29" s="732"/>
      <c r="J29" s="727">
        <f>IF(J26&gt;0,J28-E37,0)</f>
        <v>0</v>
      </c>
    </row>
    <row r="30" spans="2:10" ht="15.75">
      <c r="B30" s="239" t="s">
        <v>272</v>
      </c>
      <c r="C30" s="223"/>
      <c r="D30" s="223"/>
      <c r="E30" s="56">
        <f>nhood!E13</f>
      </c>
      <c r="J30" s="678"/>
    </row>
    <row r="31" spans="2:10" ht="15.75">
      <c r="B31" s="239" t="s">
        <v>271</v>
      </c>
      <c r="C31" s="223"/>
      <c r="D31" s="223"/>
      <c r="E31" s="49"/>
      <c r="G31" s="856" t="str">
        <f>CONCATENATE("Projected Carryover Into ",E1+1,"")</f>
        <v>Projected Carryover Into 2015</v>
      </c>
      <c r="H31" s="853"/>
      <c r="I31" s="853"/>
      <c r="J31" s="859"/>
    </row>
    <row r="32" spans="2:10" ht="15.75">
      <c r="B32" s="239" t="s">
        <v>795</v>
      </c>
      <c r="C32" s="352">
        <f>IF(C33*0.1&lt;C31,"Exceed 10% Rule","")</f>
      </c>
      <c r="D32" s="352">
        <f>IF(D33*0.1&lt;D31,"Exceed 10% Rule","")</f>
      </c>
      <c r="E32" s="369">
        <f>IF(E33*0.1&lt;E31,"Exceed 10% Rule","")</f>
      </c>
      <c r="G32" s="701"/>
      <c r="H32" s="695"/>
      <c r="I32" s="695"/>
      <c r="J32" s="741"/>
    </row>
    <row r="33" spans="2:10" ht="15.75">
      <c r="B33" s="232" t="s">
        <v>40</v>
      </c>
      <c r="C33" s="353">
        <f>SUM(C23:C31)</f>
        <v>0</v>
      </c>
      <c r="D33" s="353">
        <f>SUM(D23:D31)</f>
        <v>0</v>
      </c>
      <c r="E33" s="258">
        <f>SUM(E23:E31)</f>
        <v>0</v>
      </c>
      <c r="G33" s="692">
        <f>D34</f>
        <v>0</v>
      </c>
      <c r="H33" s="693" t="str">
        <f>CONCATENATE("",E1-1," Ending Cash Balance (est.)")</f>
        <v>2013 Ending Cash Balance (est.)</v>
      </c>
      <c r="I33" s="694"/>
      <c r="J33" s="741"/>
    </row>
    <row r="34" spans="2:10" ht="15.75">
      <c r="B34" s="130" t="s">
        <v>148</v>
      </c>
      <c r="C34" s="350">
        <f>C21-C33</f>
        <v>0</v>
      </c>
      <c r="D34" s="350">
        <f>D21-D33</f>
        <v>0</v>
      </c>
      <c r="E34" s="253" t="s">
        <v>13</v>
      </c>
      <c r="G34" s="692">
        <f>E20</f>
        <v>0</v>
      </c>
      <c r="H34" s="695" t="str">
        <f>CONCATENATE("",E1," Non-AV Receipts (est.)")</f>
        <v>2014 Non-AV Receipts (est.)</v>
      </c>
      <c r="I34" s="694"/>
      <c r="J34" s="741"/>
    </row>
    <row r="35" spans="2:11" ht="15.75">
      <c r="B35" s="118" t="str">
        <f>CONCATENATE("",$E$1-2,"/",$E$1-1," Budget Authority Amount:")</f>
        <v>2012/2013 Budget Authority Amount:</v>
      </c>
      <c r="C35" s="182">
        <f>inputOth!B68</f>
        <v>0</v>
      </c>
      <c r="D35" s="241">
        <f>inputPrYr!D25</f>
        <v>0</v>
      </c>
      <c r="E35" s="253" t="s">
        <v>13</v>
      </c>
      <c r="F35" s="242"/>
      <c r="G35" s="696">
        <f>IF(D39&gt;0,E38,E40)</f>
        <v>0</v>
      </c>
      <c r="H35" s="695" t="str">
        <f>CONCATENATE("",E1," Ad Valorem Tax (est.)")</f>
        <v>2014 Ad Valorem Tax (est.)</v>
      </c>
      <c r="I35" s="694"/>
      <c r="J35" s="741"/>
      <c r="K35" s="594">
        <f>IF(G35=E40,"","Note: Does not include Delinquent Taxes")</f>
      </c>
    </row>
    <row r="36" spans="2:10" ht="15.75">
      <c r="B36" s="118"/>
      <c r="C36" s="838" t="s">
        <v>630</v>
      </c>
      <c r="D36" s="839"/>
      <c r="E36" s="49"/>
      <c r="F36" s="752">
        <f>IF(E33/0.95-E33&lt;E36,"Exceeds 5%","")</f>
      </c>
      <c r="G36" s="692">
        <f>SUM(G33:G35)</f>
        <v>0</v>
      </c>
      <c r="H36" s="695" t="str">
        <f>CONCATENATE("Total ",E1," Resources Available")</f>
        <v>Total 2014 Resources Available</v>
      </c>
      <c r="I36" s="694"/>
      <c r="J36" s="741"/>
    </row>
    <row r="37" spans="2:10" ht="15.75">
      <c r="B37" s="371" t="str">
        <f>CONCATENATE(C93,"     ",D93)</f>
        <v>     </v>
      </c>
      <c r="C37" s="840" t="s">
        <v>631</v>
      </c>
      <c r="D37" s="841"/>
      <c r="E37" s="192">
        <f>E33+E36</f>
        <v>0</v>
      </c>
      <c r="G37" s="697"/>
      <c r="H37" s="695"/>
      <c r="I37" s="695"/>
      <c r="J37" s="741"/>
    </row>
    <row r="38" spans="2:10" ht="15.75">
      <c r="B38" s="371" t="str">
        <f>CONCATENATE(C94,"     ",D94)</f>
        <v>     </v>
      </c>
      <c r="C38" s="243"/>
      <c r="D38" s="146" t="s">
        <v>41</v>
      </c>
      <c r="E38" s="192">
        <f>IF(E37-E21&gt;0,E37-E21,0)</f>
        <v>0</v>
      </c>
      <c r="G38" s="696">
        <f>ROUND(C33*0.05+C33,0)</f>
        <v>0</v>
      </c>
      <c r="H38" s="695" t="str">
        <f>CONCATENATE("Less ",E1-2," Expenditures + 5%")</f>
        <v>Less 2012 Expenditures + 5%</v>
      </c>
      <c r="I38" s="694"/>
      <c r="J38" s="741"/>
    </row>
    <row r="39" spans="2:10" ht="15.75">
      <c r="B39" s="146"/>
      <c r="C39" s="357" t="s">
        <v>632</v>
      </c>
      <c r="D39" s="593">
        <f>inputOth!$E$47</f>
        <v>0</v>
      </c>
      <c r="E39" s="192">
        <f>ROUND(IF(D39&gt;0,(E38*D39),0),0)</f>
        <v>0</v>
      </c>
      <c r="G39" s="730">
        <f>G36-G38</f>
        <v>0</v>
      </c>
      <c r="H39" s="731" t="str">
        <f>CONCATENATE("Projected ",E1+1," carryover (est.)")</f>
        <v>Projected 2015 carryover (est.)</v>
      </c>
      <c r="I39" s="698"/>
      <c r="J39" s="739"/>
    </row>
    <row r="40" spans="2:10" ht="16.5" thickBot="1">
      <c r="B40" s="21"/>
      <c r="C40" s="842" t="str">
        <f>CONCATENATE("Amount of  ",$E$1-1," Ad Valorem Tax")</f>
        <v>Amount of  2013 Ad Valorem Tax</v>
      </c>
      <c r="D40" s="843"/>
      <c r="E40" s="259">
        <f>E38+E39</f>
        <v>0</v>
      </c>
      <c r="G40" s="678"/>
      <c r="H40" s="678"/>
      <c r="I40" s="678"/>
      <c r="J40" s="678"/>
    </row>
    <row r="41" spans="2:10" ht="16.5" thickTop="1">
      <c r="B41" s="21"/>
      <c r="C41" s="850"/>
      <c r="D41" s="850"/>
      <c r="E41" s="21"/>
      <c r="G41" s="847" t="s">
        <v>872</v>
      </c>
      <c r="H41" s="848"/>
      <c r="I41" s="848"/>
      <c r="J41" s="849"/>
    </row>
    <row r="42" spans="2:10" ht="15.75">
      <c r="B42" s="21"/>
      <c r="C42" s="21"/>
      <c r="D42" s="21"/>
      <c r="E42" s="21"/>
      <c r="G42" s="734"/>
      <c r="H42" s="693"/>
      <c r="I42" s="722"/>
      <c r="J42" s="723"/>
    </row>
    <row r="43" spans="2:10" ht="15.75">
      <c r="B43" s="28"/>
      <c r="C43" s="257"/>
      <c r="D43" s="257"/>
      <c r="E43" s="257"/>
      <c r="G43" s="736" t="str">
        <f>summ!H23</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summ!E23</f>
        <v>  </v>
      </c>
      <c r="H44" s="693" t="str">
        <f>CONCATENATE("",E1-1," Fund Mill Rate")</f>
        <v>2013 Fund Mill Rate</v>
      </c>
      <c r="I44" s="722"/>
      <c r="J44" s="723"/>
    </row>
    <row r="45" spans="2:10" ht="15.75">
      <c r="B45" s="368">
        <f>inputPrYr!B26</f>
        <v>0</v>
      </c>
      <c r="C45" s="351" t="str">
        <f t="shared" si="0"/>
        <v>Actual for 2012</v>
      </c>
      <c r="D45" s="351" t="str">
        <f t="shared" si="0"/>
        <v>Estimate for 2013</v>
      </c>
      <c r="E45" s="177" t="str">
        <f t="shared" si="0"/>
        <v>Year for 2014</v>
      </c>
      <c r="G45" s="737">
        <f>summ!H43</f>
        <v>27.522000000000002</v>
      </c>
      <c r="H45" s="693" t="str">
        <f>CONCATENATE("Total ",E1," Mill Rate")</f>
        <v>Total 2014 Mill Rate</v>
      </c>
      <c r="I45" s="722"/>
      <c r="J45" s="723"/>
    </row>
    <row r="46" spans="2:10" ht="15.75">
      <c r="B46" s="222" t="s">
        <v>147</v>
      </c>
      <c r="C46" s="223"/>
      <c r="D46" s="350">
        <f>C74</f>
        <v>0</v>
      </c>
      <c r="E46" s="192">
        <f>D74</f>
        <v>0</v>
      </c>
      <c r="G46" s="735">
        <f>summ!E43</f>
        <v>27.522000000000002</v>
      </c>
      <c r="H46" s="718" t="str">
        <f>CONCATENATE("Total ",E1-1," Mill Rate")</f>
        <v>Total 2013 Mill Rate</v>
      </c>
      <c r="I46" s="719"/>
      <c r="J46" s="720"/>
    </row>
    <row r="47" spans="2:5" ht="15.75">
      <c r="B47" s="225" t="s">
        <v>149</v>
      </c>
      <c r="C47" s="138"/>
      <c r="D47" s="138"/>
      <c r="E47" s="67"/>
    </row>
    <row r="48" spans="2:9" ht="15.75">
      <c r="B48" s="130" t="s">
        <v>25</v>
      </c>
      <c r="C48" s="223"/>
      <c r="D48" s="350">
        <f>IF(inputPrYr!H16&gt;0,inputPrYr!G26,inputPrYr!E26)</f>
        <v>0</v>
      </c>
      <c r="E48" s="253" t="s">
        <v>13</v>
      </c>
      <c r="G48" s="781" t="s">
        <v>978</v>
      </c>
      <c r="H48" s="771"/>
      <c r="I48" s="770" t="str">
        <f>cert!F49</f>
        <v>No</v>
      </c>
    </row>
    <row r="49" spans="2:5" ht="15.75">
      <c r="B49" s="130" t="s">
        <v>26</v>
      </c>
      <c r="C49" s="223"/>
      <c r="D49" s="223"/>
      <c r="E49" s="49"/>
    </row>
    <row r="50" spans="2:5" ht="15.75">
      <c r="B50" s="130" t="s">
        <v>27</v>
      </c>
      <c r="C50" s="223"/>
      <c r="D50" s="223"/>
      <c r="E50" s="192" t="str">
        <f>mvalloc!D15</f>
        <v>  </v>
      </c>
    </row>
    <row r="51" spans="2:5" ht="15.75">
      <c r="B51" s="130" t="s">
        <v>28</v>
      </c>
      <c r="C51" s="223"/>
      <c r="D51" s="223"/>
      <c r="E51" s="192" t="str">
        <f>mvalloc!E15</f>
        <v> </v>
      </c>
    </row>
    <row r="52" spans="2:5" ht="15.75">
      <c r="B52" s="138" t="s">
        <v>124</v>
      </c>
      <c r="C52" s="223"/>
      <c r="D52" s="223"/>
      <c r="E52" s="192" t="str">
        <f>mvalloc!F15</f>
        <v> </v>
      </c>
    </row>
    <row r="53" spans="2:5" ht="15.75">
      <c r="B53" s="49"/>
      <c r="C53" s="223"/>
      <c r="D53" s="223"/>
      <c r="E53" s="49"/>
    </row>
    <row r="54" spans="2:5" ht="15.75">
      <c r="B54" s="238"/>
      <c r="C54" s="223"/>
      <c r="D54" s="223"/>
      <c r="E54" s="49"/>
    </row>
    <row r="55" spans="2:5" ht="15.75">
      <c r="B55" s="238"/>
      <c r="C55" s="223"/>
      <c r="D55" s="223"/>
      <c r="E55" s="49"/>
    </row>
    <row r="56" spans="2:5" ht="15.75">
      <c r="B56" s="238"/>
      <c r="C56" s="223"/>
      <c r="D56" s="223"/>
      <c r="E56" s="49"/>
    </row>
    <row r="57" spans="2:5" ht="15.75">
      <c r="B57" s="230" t="s">
        <v>32</v>
      </c>
      <c r="C57" s="223"/>
      <c r="D57" s="223"/>
      <c r="E57" s="49"/>
    </row>
    <row r="58" spans="2:5" ht="15.75">
      <c r="B58" s="138" t="s">
        <v>271</v>
      </c>
      <c r="C58" s="223"/>
      <c r="D58" s="223"/>
      <c r="E58" s="49"/>
    </row>
    <row r="59" spans="2:5" ht="15.75">
      <c r="B59" s="222" t="s">
        <v>794</v>
      </c>
      <c r="C59" s="352">
        <f>IF(C60*0.1&lt;C58,"Exceed 10% Rule","")</f>
      </c>
      <c r="D59" s="352">
        <f>IF(D60*0.1&lt;D58,"Exceed 10% Rule","")</f>
      </c>
      <c r="E59" s="369">
        <f>IF(E60*0.1+E80&lt;E58,"Exceed 10% Rule","")</f>
      </c>
    </row>
    <row r="60" spans="2:5" ht="15.75">
      <c r="B60" s="232" t="s">
        <v>33</v>
      </c>
      <c r="C60" s="353">
        <f>SUM(C48:C58)</f>
        <v>0</v>
      </c>
      <c r="D60" s="353">
        <f>SUM(D48:D58)</f>
        <v>0</v>
      </c>
      <c r="E60" s="258">
        <f>SUM(E48:E58)</f>
        <v>0</v>
      </c>
    </row>
    <row r="61" spans="2:5" ht="15.75">
      <c r="B61" s="232" t="s">
        <v>34</v>
      </c>
      <c r="C61" s="353">
        <f>C46+C60</f>
        <v>0</v>
      </c>
      <c r="D61" s="353">
        <f>D46+D60</f>
        <v>0</v>
      </c>
      <c r="E61" s="258">
        <f>E46+E60</f>
        <v>0</v>
      </c>
    </row>
    <row r="62" spans="2:5" ht="15.75">
      <c r="B62" s="130" t="s">
        <v>36</v>
      </c>
      <c r="C62" s="239"/>
      <c r="D62" s="239"/>
      <c r="E62" s="47"/>
    </row>
    <row r="63" spans="2:5" ht="15.75">
      <c r="B63" s="238"/>
      <c r="C63" s="223"/>
      <c r="D63" s="223"/>
      <c r="E63" s="49"/>
    </row>
    <row r="64" spans="2:10" ht="15.75">
      <c r="B64" s="238"/>
      <c r="C64" s="223"/>
      <c r="D64" s="223"/>
      <c r="E64" s="49"/>
      <c r="G64" s="856" t="str">
        <f>CONCATENATE("Desired Carryover Into ",E1+1,"")</f>
        <v>Desired Carryover Into 2015</v>
      </c>
      <c r="H64" s="845"/>
      <c r="I64" s="845"/>
      <c r="J64" s="846"/>
    </row>
    <row r="65" spans="2:10" ht="15.75">
      <c r="B65" s="238"/>
      <c r="C65" s="223"/>
      <c r="D65" s="223"/>
      <c r="E65" s="49"/>
      <c r="G65" s="701"/>
      <c r="H65" s="688"/>
      <c r="I65" s="695"/>
      <c r="J65" s="702"/>
    </row>
    <row r="66" spans="2:10" ht="15.75">
      <c r="B66" s="238"/>
      <c r="C66" s="223"/>
      <c r="D66" s="223"/>
      <c r="E66" s="49"/>
      <c r="G66" s="700" t="s">
        <v>638</v>
      </c>
      <c r="H66" s="695"/>
      <c r="I66" s="695"/>
      <c r="J66" s="689">
        <v>0</v>
      </c>
    </row>
    <row r="67" spans="2:10" ht="15.75">
      <c r="B67" s="238"/>
      <c r="C67" s="223"/>
      <c r="D67" s="223"/>
      <c r="E67" s="49"/>
      <c r="G67" s="701" t="s">
        <v>639</v>
      </c>
      <c r="H67" s="688"/>
      <c r="I67" s="688"/>
      <c r="J67" s="729">
        <f>IF(J66=0,"",ROUND((J66+E80-G79)/inputOth!E7*1000,3)-G84)</f>
      </c>
    </row>
    <row r="68" spans="2:10" ht="15.75">
      <c r="B68" s="238"/>
      <c r="C68" s="223"/>
      <c r="D68" s="223"/>
      <c r="E68" s="49"/>
      <c r="G68" s="726" t="str">
        <f>CONCATENATE("",E1," Tot Exp/Non-Appr Must Be:")</f>
        <v>2014 Tot Exp/Non-Appr Must Be:</v>
      </c>
      <c r="H68" s="724"/>
      <c r="I68" s="725"/>
      <c r="J68" s="721">
        <f>IF(J66&gt;0,IF(E77&lt;E61,IF(J66=G79,E77,((J66-G79)*(1-D79))+E61),E77+(J66-G79)),0)</f>
        <v>0</v>
      </c>
    </row>
    <row r="69" spans="2:10" ht="15.75">
      <c r="B69" s="238"/>
      <c r="C69" s="223"/>
      <c r="D69" s="223"/>
      <c r="E69" s="49"/>
      <c r="G69" s="591" t="s">
        <v>816</v>
      </c>
      <c r="H69" s="732"/>
      <c r="I69" s="732"/>
      <c r="J69" s="727">
        <f>IF(J66&gt;0,J68-E77,0)</f>
        <v>0</v>
      </c>
    </row>
    <row r="70" spans="2:10" ht="15.75">
      <c r="B70" s="239" t="s">
        <v>272</v>
      </c>
      <c r="C70" s="223"/>
      <c r="D70" s="223"/>
      <c r="E70" s="56">
        <f>nhood!E14</f>
      </c>
      <c r="J70" s="678"/>
    </row>
    <row r="71" spans="2:10" ht="15.75">
      <c r="B71" s="239" t="s">
        <v>271</v>
      </c>
      <c r="C71" s="223"/>
      <c r="D71" s="223"/>
      <c r="E71" s="49"/>
      <c r="G71" s="856" t="str">
        <f>CONCATENATE("Projected Carryover Into ",E1+1,"")</f>
        <v>Projected Carryover Into 2015</v>
      </c>
      <c r="H71" s="860"/>
      <c r="I71" s="860"/>
      <c r="J71" s="859"/>
    </row>
    <row r="72" spans="2:10" ht="15.75">
      <c r="B72" s="239" t="s">
        <v>795</v>
      </c>
      <c r="C72" s="352">
        <f>IF(C73*0.1&lt;C71,"Exceed 10% Rule","")</f>
      </c>
      <c r="D72" s="352">
        <f>IF(D73*0.1&lt;D71,"Exceed 10% Rule","")</f>
      </c>
      <c r="E72" s="369">
        <f>IF(E73*0.1&lt;E71,"Exceed 10% Rule","")</f>
      </c>
      <c r="G72" s="690"/>
      <c r="H72" s="688"/>
      <c r="I72" s="688"/>
      <c r="J72" s="741"/>
    </row>
    <row r="73" spans="2:10" ht="15.75">
      <c r="B73" s="232" t="s">
        <v>40</v>
      </c>
      <c r="C73" s="353">
        <f>SUM(C63:C71)</f>
        <v>0</v>
      </c>
      <c r="D73" s="353">
        <f>SUM(D63:D71)</f>
        <v>0</v>
      </c>
      <c r="E73" s="258">
        <f>SUM(E63:E71)</f>
        <v>0</v>
      </c>
      <c r="G73" s="692">
        <f>D74</f>
        <v>0</v>
      </c>
      <c r="H73" s="693" t="str">
        <f>CONCATENATE("",E1-1," Ending Cash Balance (est.)")</f>
        <v>2013 Ending Cash Balance (est.)</v>
      </c>
      <c r="I73" s="694"/>
      <c r="J73" s="741"/>
    </row>
    <row r="74" spans="2:10" ht="15.75">
      <c r="B74" s="130" t="s">
        <v>148</v>
      </c>
      <c r="C74" s="350">
        <f>C61-C73</f>
        <v>0</v>
      </c>
      <c r="D74" s="350">
        <f>D61-D73</f>
        <v>0</v>
      </c>
      <c r="E74" s="253" t="s">
        <v>13</v>
      </c>
      <c r="G74" s="692">
        <f>E60</f>
        <v>0</v>
      </c>
      <c r="H74" s="695" t="str">
        <f>CONCATENATE("",E1," Non-AV Receipts (est.)")</f>
        <v>2014 Non-AV Receipts (est.)</v>
      </c>
      <c r="I74" s="694"/>
      <c r="J74" s="741"/>
    </row>
    <row r="75" spans="2:11" ht="15.75">
      <c r="B75" s="118" t="str">
        <f>CONCATENATE("",$E$1-2,"/",$E$1-1," Budget Authority Amount:")</f>
        <v>2012/2013 Budget Authority Amount:</v>
      </c>
      <c r="C75" s="182">
        <f>inputOth!B69</f>
        <v>0</v>
      </c>
      <c r="D75" s="241">
        <f>inputPrYr!D26</f>
        <v>0</v>
      </c>
      <c r="E75" s="253" t="s">
        <v>13</v>
      </c>
      <c r="F75" s="242"/>
      <c r="G75" s="696">
        <f>IF(D79&gt;0,E78,E80)</f>
        <v>0</v>
      </c>
      <c r="H75" s="695" t="str">
        <f>CONCATENATE("",E1," Ad Valorem Tax (est.)")</f>
        <v>2014 Ad Valorem Tax (est.)</v>
      </c>
      <c r="I75" s="694"/>
      <c r="J75" s="741"/>
      <c r="K75" s="594">
        <f>IF(G75=E80,"","Note: Does not include Delinquent Taxes")</f>
      </c>
    </row>
    <row r="76" spans="2:10" ht="15.75">
      <c r="B76" s="118"/>
      <c r="C76" s="838" t="s">
        <v>630</v>
      </c>
      <c r="D76" s="839"/>
      <c r="E76" s="49"/>
      <c r="F76" s="752">
        <f>IF(E73/0.95-E73&lt;E76,"Exceeds 5%","")</f>
      </c>
      <c r="G76" s="703">
        <f>SUM(G73:G75)</f>
        <v>0</v>
      </c>
      <c r="H76" s="695" t="str">
        <f>CONCATENATE("Total ",E1," Resources Available")</f>
        <v>Total 2014 Resources Available</v>
      </c>
      <c r="I76" s="691"/>
      <c r="J76" s="741"/>
    </row>
    <row r="77" spans="2:10" ht="15.75">
      <c r="B77" s="371" t="str">
        <f>CONCATENATE(C95,"     ",D95)</f>
        <v>     </v>
      </c>
      <c r="C77" s="840" t="s">
        <v>631</v>
      </c>
      <c r="D77" s="841"/>
      <c r="E77" s="192">
        <f>E73+E76</f>
        <v>0</v>
      </c>
      <c r="G77" s="706"/>
      <c r="H77" s="704"/>
      <c r="I77" s="688"/>
      <c r="J77" s="741"/>
    </row>
    <row r="78" spans="2:10" ht="15.75">
      <c r="B78" s="371" t="str">
        <f>CONCATENATE(C96,"     ",D96)</f>
        <v>     </v>
      </c>
      <c r="C78" s="243"/>
      <c r="D78" s="146" t="s">
        <v>41</v>
      </c>
      <c r="E78" s="192">
        <f>IF(E77-E61&gt;0,E77-E61,0)</f>
        <v>0</v>
      </c>
      <c r="G78" s="705">
        <f>ROUND(C73*0.05+C73,0)</f>
        <v>0</v>
      </c>
      <c r="H78" s="704" t="str">
        <f>CONCATENATE("Less ",E1-2," Expenditures + 5%")</f>
        <v>Less 2012 Expenditures + 5%</v>
      </c>
      <c r="I78" s="691"/>
      <c r="J78" s="741"/>
    </row>
    <row r="79" spans="2:10" ht="15.75">
      <c r="B79" s="146"/>
      <c r="C79" s="357" t="s">
        <v>632</v>
      </c>
      <c r="D79" s="593">
        <f>inputOth!$E$47</f>
        <v>0</v>
      </c>
      <c r="E79" s="192">
        <f>ROUND(IF(D79&gt;0,(E78*D79),0),0)</f>
        <v>0</v>
      </c>
      <c r="G79" s="707">
        <f>G76-G78</f>
        <v>0</v>
      </c>
      <c r="H79" s="708" t="str">
        <f>CONCATENATE("Projected ",E1+1," carryover (est.)")</f>
        <v>Projected 2015 carryover (est.)</v>
      </c>
      <c r="I79" s="699"/>
      <c r="J79" s="739"/>
    </row>
    <row r="80" spans="2:9" ht="16.5" thickBot="1">
      <c r="B80" s="21"/>
      <c r="C80" s="842" t="str">
        <f>CONCATENATE("Amount of  ",$E$1-1," Ad Valorem Tax")</f>
        <v>Amount of  2013 Ad Valorem Tax</v>
      </c>
      <c r="D80" s="843"/>
      <c r="E80" s="259">
        <f>E78+E79</f>
        <v>0</v>
      </c>
      <c r="G80" s="678"/>
      <c r="H80" s="678"/>
      <c r="I80" s="678"/>
    </row>
    <row r="81" spans="2:10" ht="16.5" thickTop="1">
      <c r="B81" s="21"/>
      <c r="C81" s="850"/>
      <c r="D81" s="850"/>
      <c r="E81" s="21"/>
      <c r="G81" s="847" t="s">
        <v>872</v>
      </c>
      <c r="H81" s="848"/>
      <c r="I81" s="848"/>
      <c r="J81" s="849"/>
    </row>
    <row r="82" spans="2:10" ht="15.75">
      <c r="B82" s="21"/>
      <c r="C82" s="21"/>
      <c r="D82" s="21"/>
      <c r="E82" s="21"/>
      <c r="G82" s="734"/>
      <c r="H82" s="693"/>
      <c r="I82" s="722"/>
      <c r="J82" s="723"/>
    </row>
    <row r="83" spans="2:10" ht="15.75">
      <c r="B83" s="118" t="s">
        <v>43</v>
      </c>
      <c r="C83" s="249"/>
      <c r="D83" s="21"/>
      <c r="E83" s="21"/>
      <c r="G83" s="736" t="str">
        <f>summ!H24</f>
        <v>  </v>
      </c>
      <c r="H83" s="693" t="str">
        <f>CONCATENATE("",E1," Fund Mill Rate")</f>
        <v>2014 Fund Mill Rate</v>
      </c>
      <c r="I83" s="722"/>
      <c r="J83" s="723"/>
    </row>
    <row r="84" spans="7:10" ht="15.75">
      <c r="G84" s="735" t="str">
        <f>summ!E24</f>
        <v>  </v>
      </c>
      <c r="H84" s="693" t="str">
        <f>CONCATENATE("",E1-1," Fund Mill Rate")</f>
        <v>2013 Fund Mill Rate</v>
      </c>
      <c r="I84" s="722"/>
      <c r="J84" s="723"/>
    </row>
    <row r="85" spans="7:10" ht="15.75">
      <c r="G85" s="737">
        <f>summ!H43</f>
        <v>27.522000000000002</v>
      </c>
      <c r="H85" s="693" t="str">
        <f>CONCATENATE("Total ",E1," Mill Rate")</f>
        <v>Total 2014 Mill Rate</v>
      </c>
      <c r="I85" s="722"/>
      <c r="J85" s="723"/>
    </row>
    <row r="86" spans="7:10" ht="15.75">
      <c r="G86" s="735">
        <f>summ!E43</f>
        <v>27.522000000000002</v>
      </c>
      <c r="H86" s="718" t="str">
        <f>CONCATENATE("Total ",E1-1," Mill Rate")</f>
        <v>Total 2013 Mill Rate</v>
      </c>
      <c r="I86" s="719"/>
      <c r="J86" s="720"/>
    </row>
    <row r="88" spans="7:9" ht="15.75">
      <c r="G88" s="781" t="s">
        <v>978</v>
      </c>
      <c r="H88" s="773"/>
      <c r="I88" s="772" t="str">
        <f>cert!F49</f>
        <v>No</v>
      </c>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1">
      <selection activeCell="B40" sqref="B40"/>
    </sheetView>
  </sheetViews>
  <sheetFormatPr defaultColWidth="8.796875" defaultRowHeight="15"/>
  <cols>
    <col min="1" max="1" width="15.796875" style="22" customWidth="1"/>
    <col min="2" max="2" width="20.796875" style="22" customWidth="1"/>
    <col min="3" max="3" width="9.796875" style="22" customWidth="1"/>
    <col min="4" max="4" width="15.09765625" style="22" customWidth="1"/>
    <col min="5" max="5" width="15.796875" style="22" customWidth="1"/>
    <col min="6" max="6" width="1.8984375" style="22" customWidth="1"/>
    <col min="7" max="7" width="18.69921875" style="22" customWidth="1"/>
    <col min="8" max="16384" width="8.8984375" style="22" customWidth="1"/>
  </cols>
  <sheetData>
    <row r="1" spans="1:5" ht="15.75">
      <c r="A1" s="20" t="s">
        <v>214</v>
      </c>
      <c r="B1" s="21"/>
      <c r="C1" s="21"/>
      <c r="D1" s="21"/>
      <c r="E1" s="21"/>
    </row>
    <row r="2" spans="1:5" ht="15.75">
      <c r="A2" s="23" t="s">
        <v>251</v>
      </c>
      <c r="B2" s="21"/>
      <c r="C2" s="21"/>
      <c r="D2" s="24" t="s">
        <v>986</v>
      </c>
      <c r="E2" s="25"/>
    </row>
    <row r="3" spans="1:5" ht="15.75">
      <c r="A3" s="23" t="s">
        <v>252</v>
      </c>
      <c r="B3" s="21"/>
      <c r="C3" s="21"/>
      <c r="D3" s="26" t="s">
        <v>987</v>
      </c>
      <c r="E3" s="27"/>
    </row>
    <row r="4" spans="1:5" ht="15.75">
      <c r="A4" s="28"/>
      <c r="B4" s="21"/>
      <c r="C4" s="21"/>
      <c r="D4" s="29"/>
      <c r="E4" s="21"/>
    </row>
    <row r="5" spans="1:5" ht="15.75">
      <c r="A5" s="23" t="s">
        <v>174</v>
      </c>
      <c r="B5" s="21"/>
      <c r="C5" s="30">
        <v>2014</v>
      </c>
      <c r="D5" s="29"/>
      <c r="E5" s="21"/>
    </row>
    <row r="6" spans="1:5" ht="15.75">
      <c r="A6" s="21"/>
      <c r="B6" s="21"/>
      <c r="C6" s="21"/>
      <c r="D6" s="21"/>
      <c r="E6" s="21"/>
    </row>
    <row r="7" spans="1:5" ht="15.75">
      <c r="A7" s="31" t="s">
        <v>349</v>
      </c>
      <c r="B7" s="32"/>
      <c r="C7" s="32"/>
      <c r="D7" s="32"/>
      <c r="E7" s="32"/>
    </row>
    <row r="8" spans="1:8" ht="15.75" customHeight="1">
      <c r="A8" s="31" t="s">
        <v>348</v>
      </c>
      <c r="B8" s="32"/>
      <c r="C8" s="32"/>
      <c r="D8" s="32"/>
      <c r="E8" s="32"/>
      <c r="F8" s="552"/>
      <c r="G8" s="786" t="s">
        <v>887</v>
      </c>
      <c r="H8" s="787"/>
    </row>
    <row r="9" spans="1:8" ht="15.75">
      <c r="A9" s="33"/>
      <c r="B9" s="32"/>
      <c r="C9" s="32"/>
      <c r="D9" s="32"/>
      <c r="E9" s="32"/>
      <c r="F9" s="552"/>
      <c r="G9" s="788"/>
      <c r="H9" s="787"/>
    </row>
    <row r="10" spans="1:8" ht="15.75">
      <c r="A10" s="784" t="s">
        <v>245</v>
      </c>
      <c r="B10" s="785"/>
      <c r="C10" s="785"/>
      <c r="D10" s="785"/>
      <c r="E10" s="785"/>
      <c r="F10" s="552"/>
      <c r="G10" s="788"/>
      <c r="H10" s="787"/>
    </row>
    <row r="11" spans="1:8" ht="15.75">
      <c r="A11" s="34"/>
      <c r="B11" s="34"/>
      <c r="C11" s="34"/>
      <c r="D11" s="34"/>
      <c r="E11" s="34"/>
      <c r="F11" s="552"/>
      <c r="G11" s="788"/>
      <c r="H11" s="787"/>
    </row>
    <row r="12" spans="1:8" ht="15.75">
      <c r="A12" s="35" t="s">
        <v>246</v>
      </c>
      <c r="B12" s="36"/>
      <c r="C12" s="21"/>
      <c r="D12" s="21"/>
      <c r="E12" s="21"/>
      <c r="F12" s="552"/>
      <c r="G12" s="788"/>
      <c r="H12" s="787"/>
    </row>
    <row r="13" spans="1:8" ht="15.75">
      <c r="A13" s="37" t="str">
        <f>CONCATENATE("the ",C5-1," Budget, Certificate Page:")</f>
        <v>the 2013 Budget, Certificate Page:</v>
      </c>
      <c r="B13" s="38"/>
      <c r="C13" s="39"/>
      <c r="D13" s="21"/>
      <c r="E13" s="21"/>
      <c r="F13" s="552"/>
      <c r="G13" s="788"/>
      <c r="H13" s="787"/>
    </row>
    <row r="14" spans="1:8" ht="15.75">
      <c r="A14" s="37" t="s">
        <v>351</v>
      </c>
      <c r="B14" s="38"/>
      <c r="C14" s="39"/>
      <c r="D14" s="21"/>
      <c r="E14" s="21"/>
      <c r="F14" s="552"/>
      <c r="G14" s="552"/>
      <c r="H14" s="21"/>
    </row>
    <row r="15" spans="1:8" ht="15.75">
      <c r="A15" s="40"/>
      <c r="B15" s="21"/>
      <c r="C15" s="21"/>
      <c r="D15" s="41">
        <f>C5-1</f>
        <v>2013</v>
      </c>
      <c r="E15" s="42">
        <f>$C$5-2</f>
        <v>2012</v>
      </c>
      <c r="G15" s="565" t="s">
        <v>807</v>
      </c>
      <c r="H15" s="136" t="s">
        <v>42</v>
      </c>
    </row>
    <row r="16" spans="1:8" ht="15.75">
      <c r="A16" s="28" t="s">
        <v>333</v>
      </c>
      <c r="B16" s="21"/>
      <c r="C16" s="43" t="s">
        <v>334</v>
      </c>
      <c r="D16" s="44" t="s">
        <v>350</v>
      </c>
      <c r="E16" s="45" t="s">
        <v>330</v>
      </c>
      <c r="G16" s="566" t="str">
        <f>CONCATENATE("",E15," Ad Valorem Tax")</f>
        <v>2012 Ad Valorem Tax</v>
      </c>
      <c r="H16" s="751">
        <v>0</v>
      </c>
    </row>
    <row r="17" spans="1:7" ht="15.75">
      <c r="A17" s="21"/>
      <c r="B17" s="46" t="s">
        <v>335</v>
      </c>
      <c r="C17" s="136" t="s">
        <v>150</v>
      </c>
      <c r="D17" s="48">
        <v>17500681</v>
      </c>
      <c r="E17" s="49">
        <v>3644028</v>
      </c>
      <c r="G17" s="564">
        <f>IF(H16&gt;0,ROUND(E17-(E17*H$16),0),0)</f>
        <v>0</v>
      </c>
    </row>
    <row r="18" spans="1:7" ht="15.75">
      <c r="A18" s="21"/>
      <c r="B18" s="46" t="s">
        <v>304</v>
      </c>
      <c r="C18" s="136" t="s">
        <v>175</v>
      </c>
      <c r="D18" s="48">
        <v>3184035</v>
      </c>
      <c r="E18" s="49">
        <v>344356</v>
      </c>
      <c r="G18" s="564">
        <f>IF(H16&gt;0,ROUND(E18-(E18*H16),0),0)</f>
        <v>0</v>
      </c>
    </row>
    <row r="19" spans="1:7" ht="15.75">
      <c r="A19" s="21"/>
      <c r="B19" s="46" t="s">
        <v>806</v>
      </c>
      <c r="C19" s="136" t="s">
        <v>805</v>
      </c>
      <c r="D19" s="48"/>
      <c r="E19" s="49"/>
      <c r="G19" s="564">
        <f>IF(H$16&gt;0,ROUND(E19-(E19*H$16),0),0)</f>
        <v>0</v>
      </c>
    </row>
    <row r="20" spans="1:5" ht="15.75">
      <c r="A20" s="28" t="s">
        <v>244</v>
      </c>
      <c r="B20" s="21"/>
      <c r="C20" s="21"/>
      <c r="D20" s="50"/>
      <c r="E20" s="51"/>
    </row>
    <row r="21" spans="1:7" ht="15.75">
      <c r="A21" s="21"/>
      <c r="B21" s="679"/>
      <c r="C21" s="385"/>
      <c r="D21" s="49"/>
      <c r="E21" s="49"/>
      <c r="G21" s="564">
        <f aca="true" t="shared" si="0" ref="G21:G30">IF(H$16&gt;0,ROUND(E21-(E21*H$16),0),0)</f>
        <v>0</v>
      </c>
    </row>
    <row r="22" spans="1:7" ht="15.75">
      <c r="A22" s="21"/>
      <c r="B22" s="52"/>
      <c r="C22" s="386"/>
      <c r="D22" s="49"/>
      <c r="E22" s="49"/>
      <c r="G22" s="564">
        <f t="shared" si="0"/>
        <v>0</v>
      </c>
    </row>
    <row r="23" spans="1:7" ht="15.75">
      <c r="A23" s="21"/>
      <c r="B23" s="52"/>
      <c r="C23" s="386"/>
      <c r="D23" s="49"/>
      <c r="E23" s="49"/>
      <c r="G23" s="564">
        <f t="shared" si="0"/>
        <v>0</v>
      </c>
    </row>
    <row r="24" spans="1:7" ht="15.75">
      <c r="A24" s="21"/>
      <c r="B24" s="52"/>
      <c r="C24" s="386"/>
      <c r="D24" s="49"/>
      <c r="E24" s="49"/>
      <c r="G24" s="564">
        <f t="shared" si="0"/>
        <v>0</v>
      </c>
    </row>
    <row r="25" spans="1:7" ht="15.75">
      <c r="A25" s="21"/>
      <c r="B25" s="52"/>
      <c r="C25" s="386"/>
      <c r="D25" s="49"/>
      <c r="E25" s="49"/>
      <c r="G25" s="564">
        <f t="shared" si="0"/>
        <v>0</v>
      </c>
    </row>
    <row r="26" spans="1:7" ht="15.75">
      <c r="A26" s="21"/>
      <c r="B26" s="52"/>
      <c r="C26" s="386"/>
      <c r="D26" s="49"/>
      <c r="E26" s="49"/>
      <c r="G26" s="564">
        <f t="shared" si="0"/>
        <v>0</v>
      </c>
    </row>
    <row r="27" spans="1:7" ht="15.75">
      <c r="A27" s="21"/>
      <c r="B27" s="52"/>
      <c r="C27" s="386"/>
      <c r="D27" s="49"/>
      <c r="E27" s="49"/>
      <c r="G27" s="564">
        <f t="shared" si="0"/>
        <v>0</v>
      </c>
    </row>
    <row r="28" spans="1:7" ht="15.75">
      <c r="A28" s="21"/>
      <c r="B28" s="52"/>
      <c r="C28" s="386"/>
      <c r="D28" s="49"/>
      <c r="E28" s="49"/>
      <c r="G28" s="564">
        <f t="shared" si="0"/>
        <v>0</v>
      </c>
    </row>
    <row r="29" spans="1:7" ht="15.75">
      <c r="A29" s="21"/>
      <c r="B29" s="52"/>
      <c r="C29" s="386"/>
      <c r="D29" s="49"/>
      <c r="E29" s="49"/>
      <c r="G29" s="564">
        <f t="shared" si="0"/>
        <v>0</v>
      </c>
    </row>
    <row r="30" spans="1:7" ht="15.75">
      <c r="A30" s="21"/>
      <c r="B30" s="52"/>
      <c r="C30" s="386"/>
      <c r="D30" s="49"/>
      <c r="E30" s="49"/>
      <c r="G30" s="564">
        <f t="shared" si="0"/>
        <v>0</v>
      </c>
    </row>
    <row r="31" spans="1:5" ht="15.75">
      <c r="A31" s="53" t="str">
        <f>CONCATENATE("Total Tax Levy Funds for ",C5-1," Budgeted Year")</f>
        <v>Total Tax Levy Funds for 2013 Budgeted Year</v>
      </c>
      <c r="B31" s="54"/>
      <c r="C31" s="54"/>
      <c r="D31" s="55"/>
      <c r="E31" s="56">
        <f>SUM(E17:E30)</f>
        <v>3988384</v>
      </c>
    </row>
    <row r="32" spans="1:5" ht="15.75">
      <c r="A32" s="28"/>
      <c r="B32" s="21"/>
      <c r="C32" s="21"/>
      <c r="D32" s="57"/>
      <c r="E32" s="51"/>
    </row>
    <row r="33" spans="1:5" ht="15.75">
      <c r="A33" s="28" t="s">
        <v>176</v>
      </c>
      <c r="B33" s="21"/>
      <c r="C33" s="21"/>
      <c r="D33" s="21"/>
      <c r="E33" s="21"/>
    </row>
    <row r="34" spans="1:5" ht="15.75">
      <c r="A34" s="21"/>
      <c r="B34" s="58" t="s">
        <v>126</v>
      </c>
      <c r="C34" s="59"/>
      <c r="D34" s="48">
        <v>390878</v>
      </c>
      <c r="E34" s="59"/>
    </row>
    <row r="35" spans="1:5" ht="15.75">
      <c r="A35" s="21"/>
      <c r="B35" s="680" t="s">
        <v>988</v>
      </c>
      <c r="C35" s="59"/>
      <c r="D35" s="48">
        <v>22844</v>
      </c>
      <c r="E35" s="59"/>
    </row>
    <row r="36" spans="1:5" ht="15.75">
      <c r="A36" s="21"/>
      <c r="B36" s="680" t="s">
        <v>989</v>
      </c>
      <c r="C36" s="59"/>
      <c r="D36" s="48">
        <v>22844</v>
      </c>
      <c r="E36" s="59"/>
    </row>
    <row r="37" spans="1:5" ht="15.75">
      <c r="A37" s="21"/>
      <c r="B37" s="680" t="s">
        <v>991</v>
      </c>
      <c r="C37" s="59"/>
      <c r="D37" s="48">
        <v>826972</v>
      </c>
      <c r="E37" s="59"/>
    </row>
    <row r="38" spans="1:5" ht="15.75">
      <c r="A38" s="21"/>
      <c r="B38" s="680" t="s">
        <v>992</v>
      </c>
      <c r="C38" s="59"/>
      <c r="D38" s="48">
        <v>1406970</v>
      </c>
      <c r="E38" s="59"/>
    </row>
    <row r="39" spans="1:5" ht="15.75">
      <c r="A39" s="21"/>
      <c r="B39" s="680"/>
      <c r="C39" s="59"/>
      <c r="D39" s="48"/>
      <c r="E39" s="59"/>
    </row>
    <row r="40" spans="1:5" ht="15.75">
      <c r="A40" s="60"/>
      <c r="B40" s="679"/>
      <c r="C40" s="61"/>
      <c r="D40" s="48"/>
      <c r="E40" s="62"/>
    </row>
    <row r="41" spans="1:5" ht="15.75">
      <c r="A41" s="60"/>
      <c r="B41" s="679"/>
      <c r="C41" s="59"/>
      <c r="D41" s="48"/>
      <c r="E41" s="62"/>
    </row>
    <row r="42" spans="1:5" ht="15.75">
      <c r="A42" s="60"/>
      <c r="B42" s="62"/>
      <c r="C42" s="59"/>
      <c r="D42" s="62"/>
      <c r="E42" s="62"/>
    </row>
    <row r="43" spans="1:5" ht="15.75">
      <c r="A43" s="60" t="s">
        <v>220</v>
      </c>
      <c r="B43" s="59"/>
      <c r="C43" s="59"/>
      <c r="D43" s="59"/>
      <c r="E43" s="62"/>
    </row>
    <row r="44" spans="1:5" ht="15.75">
      <c r="A44" s="63">
        <v>1</v>
      </c>
      <c r="B44" s="679" t="s">
        <v>990</v>
      </c>
      <c r="C44" s="59"/>
      <c r="D44" s="48">
        <v>569368</v>
      </c>
      <c r="E44" s="62"/>
    </row>
    <row r="45" spans="1:5" ht="15.75">
      <c r="A45" s="63">
        <v>2</v>
      </c>
      <c r="B45" s="679" t="s">
        <v>993</v>
      </c>
      <c r="C45" s="59"/>
      <c r="D45" s="48">
        <v>16580063</v>
      </c>
      <c r="E45" s="62"/>
    </row>
    <row r="46" spans="1:5" ht="15.75">
      <c r="A46" s="63">
        <v>3</v>
      </c>
      <c r="B46" s="679"/>
      <c r="C46" s="59"/>
      <c r="D46" s="48"/>
      <c r="E46" s="62"/>
    </row>
    <row r="47" spans="1:5" ht="15.75">
      <c r="A47" s="63">
        <v>4</v>
      </c>
      <c r="B47" s="679"/>
      <c r="C47" s="59"/>
      <c r="D47" s="48"/>
      <c r="E47" s="62"/>
    </row>
    <row r="48" spans="1:5" ht="15.75">
      <c r="A48" s="53" t="str">
        <f>CONCATENATE("Total Expenditures for ",C5-1," Budgeted Year")</f>
        <v>Total Expenditures for 2013 Budgeted Year</v>
      </c>
      <c r="B48" s="54"/>
      <c r="C48" s="54"/>
      <c r="D48" s="56">
        <f>SUM(D17:D19,D21:D30,D34:D41,D44:D47)</f>
        <v>40504655</v>
      </c>
      <c r="E48" s="21"/>
    </row>
    <row r="49" spans="1:5" ht="15.75">
      <c r="A49" s="60"/>
      <c r="B49" s="59"/>
      <c r="C49" s="59"/>
      <c r="D49" s="21"/>
      <c r="E49" s="21"/>
    </row>
    <row r="50" spans="1:5" ht="15.75">
      <c r="A50" s="60" t="s">
        <v>221</v>
      </c>
      <c r="B50" s="59"/>
      <c r="C50" s="59"/>
      <c r="D50" s="59"/>
      <c r="E50" s="21"/>
    </row>
    <row r="51" spans="1:5" ht="15.75">
      <c r="A51" s="63">
        <v>1</v>
      </c>
      <c r="B51" s="679" t="s">
        <v>994</v>
      </c>
      <c r="C51" s="59"/>
      <c r="D51" s="59"/>
      <c r="E51" s="21"/>
    </row>
    <row r="52" spans="1:5" ht="15.75">
      <c r="A52" s="63">
        <v>2</v>
      </c>
      <c r="B52" s="679" t="s">
        <v>995</v>
      </c>
      <c r="C52" s="59"/>
      <c r="D52" s="59"/>
      <c r="E52" s="21"/>
    </row>
    <row r="53" spans="1:5" ht="15.75">
      <c r="A53" s="63">
        <v>3</v>
      </c>
      <c r="B53" s="679" t="s">
        <v>996</v>
      </c>
      <c r="C53" s="59"/>
      <c r="D53" s="59"/>
      <c r="E53" s="21"/>
    </row>
    <row r="54" spans="1:5" ht="15.75">
      <c r="A54" s="63">
        <v>4</v>
      </c>
      <c r="B54" s="679"/>
      <c r="C54" s="59"/>
      <c r="D54" s="59"/>
      <c r="E54" s="21"/>
    </row>
    <row r="55" spans="1:5" ht="15.75">
      <c r="A55" s="63">
        <v>5</v>
      </c>
      <c r="B55" s="679"/>
      <c r="C55" s="59"/>
      <c r="D55" s="59"/>
      <c r="E55" s="21"/>
    </row>
    <row r="56" spans="1:5" ht="15.75">
      <c r="A56" s="60" t="s">
        <v>193</v>
      </c>
      <c r="B56" s="59"/>
      <c r="C56" s="59"/>
      <c r="D56" s="59"/>
      <c r="E56" s="21"/>
    </row>
    <row r="57" spans="1:5" ht="15.75">
      <c r="A57" s="63">
        <v>1</v>
      </c>
      <c r="B57" s="679"/>
      <c r="C57" s="59"/>
      <c r="D57" s="59"/>
      <c r="E57" s="21"/>
    </row>
    <row r="58" spans="1:5" ht="15.75">
      <c r="A58" s="63">
        <v>2</v>
      </c>
      <c r="B58" s="679"/>
      <c r="C58" s="59"/>
      <c r="D58" s="59"/>
      <c r="E58" s="21"/>
    </row>
    <row r="59" spans="1:5" ht="15.75">
      <c r="A59" s="63">
        <v>3</v>
      </c>
      <c r="B59" s="679"/>
      <c r="C59" s="59"/>
      <c r="D59" s="59"/>
      <c r="E59" s="21"/>
    </row>
    <row r="60" spans="1:5" ht="15.75">
      <c r="A60" s="63">
        <v>4</v>
      </c>
      <c r="B60" s="679"/>
      <c r="C60" s="59"/>
      <c r="D60" s="59"/>
      <c r="E60" s="21"/>
    </row>
    <row r="61" spans="1:5" ht="18" customHeight="1">
      <c r="A61" s="63">
        <v>5</v>
      </c>
      <c r="B61" s="679"/>
      <c r="C61" s="21"/>
      <c r="D61" s="21"/>
      <c r="E61" s="21"/>
    </row>
    <row r="62" spans="1:5" ht="15.75">
      <c r="A62" s="21"/>
      <c r="B62" s="21"/>
      <c r="C62" s="21"/>
      <c r="D62" s="64" t="str">
        <f>CONCATENATE("",C5-3," Tax Rate")</f>
        <v>2011 Tax Rate</v>
      </c>
      <c r="E62" s="21"/>
    </row>
    <row r="63" spans="1:5" ht="15.75">
      <c r="A63" s="65" t="str">
        <f>CONCATENATE("From the ",C5-1," Budget, Budget Summary Page")</f>
        <v>From the 2013 Budget, Budget Summary Page</v>
      </c>
      <c r="B63" s="36"/>
      <c r="C63" s="21"/>
      <c r="D63" s="66" t="str">
        <f>CONCATENATE("(",C5-2," Column)")</f>
        <v>(2012 Column)</v>
      </c>
      <c r="E63" s="21"/>
    </row>
    <row r="64" spans="1:5" ht="15.75">
      <c r="A64" s="21"/>
      <c r="B64" s="67" t="str">
        <f>B17</f>
        <v>General</v>
      </c>
      <c r="C64" s="68"/>
      <c r="D64" s="69">
        <v>25.045</v>
      </c>
      <c r="E64" s="21"/>
    </row>
    <row r="65" spans="1:5" ht="15.75">
      <c r="A65" s="21"/>
      <c r="B65" s="67" t="str">
        <f>B18</f>
        <v>Debt Service</v>
      </c>
      <c r="C65" s="68"/>
      <c r="D65" s="69">
        <v>2.367</v>
      </c>
      <c r="E65" s="21"/>
    </row>
    <row r="66" spans="1:5" ht="15.75">
      <c r="A66" s="21"/>
      <c r="B66" s="67" t="str">
        <f>B19</f>
        <v>Library</v>
      </c>
      <c r="C66" s="47"/>
      <c r="D66" s="69"/>
      <c r="E66" s="21"/>
    </row>
    <row r="67" spans="1:5" ht="15.75">
      <c r="A67" s="21"/>
      <c r="B67" s="67">
        <f aca="true" t="shared" si="1" ref="B67:B76">B21</f>
        <v>0</v>
      </c>
      <c r="C67" s="47"/>
      <c r="D67" s="69"/>
      <c r="E67" s="21"/>
    </row>
    <row r="68" spans="1:5" ht="15.75">
      <c r="A68" s="21"/>
      <c r="B68" s="67">
        <f t="shared" si="1"/>
        <v>0</v>
      </c>
      <c r="C68" s="47"/>
      <c r="D68" s="69"/>
      <c r="E68" s="21"/>
    </row>
    <row r="69" spans="1:5" ht="15.75">
      <c r="A69" s="21"/>
      <c r="B69" s="67">
        <f t="shared" si="1"/>
        <v>0</v>
      </c>
      <c r="C69" s="47"/>
      <c r="D69" s="69"/>
      <c r="E69" s="21"/>
    </row>
    <row r="70" spans="1:5" ht="15.75">
      <c r="A70" s="21"/>
      <c r="B70" s="67">
        <f t="shared" si="1"/>
        <v>0</v>
      </c>
      <c r="C70" s="47"/>
      <c r="D70" s="69"/>
      <c r="E70" s="21"/>
    </row>
    <row r="71" spans="1:5" ht="15.75">
      <c r="A71" s="21"/>
      <c r="B71" s="67">
        <f t="shared" si="1"/>
        <v>0</v>
      </c>
      <c r="C71" s="47"/>
      <c r="D71" s="69"/>
      <c r="E71" s="21"/>
    </row>
    <row r="72" spans="1:5" ht="15.75">
      <c r="A72" s="21"/>
      <c r="B72" s="67">
        <f t="shared" si="1"/>
        <v>0</v>
      </c>
      <c r="C72" s="47"/>
      <c r="D72" s="69"/>
      <c r="E72" s="21"/>
    </row>
    <row r="73" spans="1:5" ht="15.75">
      <c r="A73" s="21"/>
      <c r="B73" s="67">
        <f t="shared" si="1"/>
        <v>0</v>
      </c>
      <c r="C73" s="47"/>
      <c r="D73" s="69"/>
      <c r="E73" s="21"/>
    </row>
    <row r="74" spans="1:5" ht="15.75">
      <c r="A74" s="21"/>
      <c r="B74" s="67">
        <f t="shared" si="1"/>
        <v>0</v>
      </c>
      <c r="C74" s="47"/>
      <c r="D74" s="69"/>
      <c r="E74" s="21"/>
    </row>
    <row r="75" spans="1:5" ht="15.75">
      <c r="A75" s="21"/>
      <c r="B75" s="67">
        <f t="shared" si="1"/>
        <v>0</v>
      </c>
      <c r="C75" s="47"/>
      <c r="D75" s="69"/>
      <c r="E75" s="21"/>
    </row>
    <row r="76" spans="1:5" ht="15.75">
      <c r="A76" s="21"/>
      <c r="B76" s="67">
        <f t="shared" si="1"/>
        <v>0</v>
      </c>
      <c r="C76" s="47"/>
      <c r="D76" s="69"/>
      <c r="E76" s="21"/>
    </row>
    <row r="77" spans="1:5" ht="15.75">
      <c r="A77" s="28" t="s">
        <v>336</v>
      </c>
      <c r="B77" s="21"/>
      <c r="C77" s="21"/>
      <c r="D77" s="70">
        <f>SUM(D64:D76)</f>
        <v>27.412000000000003</v>
      </c>
      <c r="E77" s="21"/>
    </row>
    <row r="78" spans="1:5" ht="15.75">
      <c r="A78" s="21"/>
      <c r="B78" s="21"/>
      <c r="C78" s="21"/>
      <c r="D78" s="21"/>
      <c r="E78" s="21"/>
    </row>
    <row r="79" spans="1:5" ht="15.75">
      <c r="A79" s="71" t="str">
        <f>CONCATENATE("Total Tax Levied (",C5-2," budget column)")</f>
        <v>Total Tax Levied (2012 budget column)</v>
      </c>
      <c r="B79" s="72"/>
      <c r="C79" s="54"/>
      <c r="D79" s="73"/>
      <c r="E79" s="49">
        <v>4012539</v>
      </c>
    </row>
    <row r="80" spans="1:5" ht="15.75">
      <c r="A80" s="71" t="str">
        <f>CONCATENATE("Assessed Valuation  (",C5-2," budget column)")</f>
        <v>Assessed Valuation  (2012 budget column)</v>
      </c>
      <c r="B80" s="74"/>
      <c r="C80" s="75"/>
      <c r="D80" s="76"/>
      <c r="E80" s="49">
        <v>146228815</v>
      </c>
    </row>
    <row r="81" spans="1:5" ht="15.75">
      <c r="A81" s="21"/>
      <c r="B81" s="21"/>
      <c r="C81" s="21"/>
      <c r="D81" s="39"/>
      <c r="E81" s="50"/>
    </row>
    <row r="82" spans="1:5" ht="15.75">
      <c r="A82" s="36" t="s">
        <v>262</v>
      </c>
      <c r="B82" s="36"/>
      <c r="C82" s="77"/>
      <c r="D82" s="78">
        <f>C5-3</f>
        <v>2011</v>
      </c>
      <c r="E82" s="79">
        <f>C5-2</f>
        <v>2012</v>
      </c>
    </row>
    <row r="83" spans="1:5" ht="15.75">
      <c r="A83" s="72" t="s">
        <v>177</v>
      </c>
      <c r="B83" s="72"/>
      <c r="C83" s="80"/>
      <c r="D83" s="48">
        <v>15830000</v>
      </c>
      <c r="E83" s="48">
        <v>13140000</v>
      </c>
    </row>
    <row r="84" spans="1:5" ht="15.75">
      <c r="A84" s="74" t="s">
        <v>178</v>
      </c>
      <c r="B84" s="74"/>
      <c r="C84" s="81"/>
      <c r="D84" s="48">
        <v>7388972</v>
      </c>
      <c r="E84" s="48">
        <v>6088972</v>
      </c>
    </row>
    <row r="85" spans="1:5" ht="15.75">
      <c r="A85" s="74" t="s">
        <v>179</v>
      </c>
      <c r="B85" s="74"/>
      <c r="C85" s="81"/>
      <c r="D85" s="48"/>
      <c r="E85" s="48"/>
    </row>
    <row r="86" spans="1:5" ht="15.75">
      <c r="A86" s="74" t="s">
        <v>180</v>
      </c>
      <c r="B86" s="74"/>
      <c r="C86" s="81"/>
      <c r="D86" s="48"/>
      <c r="E86" s="48"/>
    </row>
    <row r="93" spans="1:5" s="82" customFormat="1" ht="15.75">
      <c r="A93" s="22"/>
      <c r="B93" s="22"/>
      <c r="C93" s="22"/>
      <c r="D93" s="22"/>
      <c r="E93" s="22"/>
    </row>
  </sheetData>
  <sheetProtection sheet="1"/>
  <mergeCells count="2">
    <mergeCell ref="A10:E10"/>
    <mergeCell ref="G8:H13"/>
  </mergeCells>
  <printOptions/>
  <pageMargins left="0.5" right="0.5" top="1" bottom="0.5" header="0.5" footer="0.25"/>
  <pageSetup blackAndWhite="1" fitToHeight="2" fitToWidth="1" horizontalDpi="120" verticalDpi="120" orientation="portrait" scale="83" r:id="rId1"/>
</worksheet>
</file>

<file path=xl/worksheets/sheet20.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91" sqref="J91"/>
    </sheetView>
  </sheetViews>
  <sheetFormatPr defaultColWidth="8.796875" defaultRowHeight="15"/>
  <cols>
    <col min="1" max="1" width="2.3984375" style="22" customWidth="1"/>
    <col min="2" max="2" width="31.09765625" style="22" customWidth="1"/>
    <col min="3" max="4" width="15.796875" style="22" customWidth="1"/>
    <col min="5" max="5" width="16.5976562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92</v>
      </c>
      <c r="C3" s="168"/>
      <c r="D3" s="168"/>
      <c r="E3" s="256"/>
    </row>
    <row r="4" spans="2:5" ht="15.75">
      <c r="B4" s="28" t="s">
        <v>24</v>
      </c>
      <c r="C4" s="660" t="s">
        <v>811</v>
      </c>
      <c r="D4" s="661" t="s">
        <v>814</v>
      </c>
      <c r="E4" s="124" t="s">
        <v>815</v>
      </c>
    </row>
    <row r="5" spans="2:5" ht="15.75">
      <c r="B5" s="367">
        <f>inputPrYr!B27</f>
        <v>0</v>
      </c>
      <c r="C5" s="351" t="str">
        <f>CONCATENATE("Actual for ",E1-2,"")</f>
        <v>Actual for 2012</v>
      </c>
      <c r="D5" s="351" t="str">
        <f>CONCATENATE("Estimate for ",E1-1,"")</f>
        <v>Estimate for 2013</v>
      </c>
      <c r="E5" s="221" t="str">
        <f>CONCATENATE("Year for ",E1,"")</f>
        <v>Year for 2014</v>
      </c>
    </row>
    <row r="6" spans="2:5" ht="15.75">
      <c r="B6" s="222" t="s">
        <v>147</v>
      </c>
      <c r="C6" s="223"/>
      <c r="D6" s="350">
        <f>C34</f>
        <v>0</v>
      </c>
      <c r="E6" s="192">
        <f>D34</f>
        <v>0</v>
      </c>
    </row>
    <row r="7" spans="2:5" ht="15.75">
      <c r="B7" s="222" t="s">
        <v>149</v>
      </c>
      <c r="C7" s="138"/>
      <c r="D7" s="138"/>
      <c r="E7" s="67"/>
    </row>
    <row r="8" spans="2:5" ht="15.75">
      <c r="B8" s="130" t="s">
        <v>25</v>
      </c>
      <c r="C8" s="223"/>
      <c r="D8" s="350">
        <f>IF(inputPrYr!H16&gt;0,inputPrYr!G27,inputPrYr!E27)</f>
        <v>0</v>
      </c>
      <c r="E8" s="253" t="s">
        <v>13</v>
      </c>
    </row>
    <row r="9" spans="2:5" ht="15.75">
      <c r="B9" s="130" t="s">
        <v>26</v>
      </c>
      <c r="C9" s="223"/>
      <c r="D9" s="223"/>
      <c r="E9" s="49"/>
    </row>
    <row r="10" spans="2:5" ht="15.75">
      <c r="B10" s="130" t="s">
        <v>27</v>
      </c>
      <c r="C10" s="223"/>
      <c r="D10" s="223"/>
      <c r="E10" s="192" t="str">
        <f>mvalloc!D16</f>
        <v>  </v>
      </c>
    </row>
    <row r="11" spans="2:5" ht="15.75">
      <c r="B11" s="130" t="s">
        <v>28</v>
      </c>
      <c r="C11" s="223"/>
      <c r="D11" s="223"/>
      <c r="E11" s="192" t="str">
        <f>mvalloc!E16</f>
        <v> </v>
      </c>
    </row>
    <row r="12" spans="2:5" ht="15.75">
      <c r="B12" s="138" t="s">
        <v>124</v>
      </c>
      <c r="C12" s="223"/>
      <c r="D12" s="223"/>
      <c r="E12" s="192" t="str">
        <f>mvalloc!F16</f>
        <v> </v>
      </c>
    </row>
    <row r="13" spans="2:5" ht="15.75">
      <c r="B13" s="49"/>
      <c r="C13" s="223"/>
      <c r="D13" s="223"/>
      <c r="E13" s="49"/>
    </row>
    <row r="14" spans="2:5" ht="15.75">
      <c r="B14" s="238"/>
      <c r="C14" s="223"/>
      <c r="D14" s="223"/>
      <c r="E14" s="49"/>
    </row>
    <row r="15" spans="2:5" ht="15.75">
      <c r="B15" s="238"/>
      <c r="C15" s="223"/>
      <c r="D15" s="223"/>
      <c r="E15" s="49"/>
    </row>
    <row r="16" spans="2:5" ht="15.75">
      <c r="B16" s="238"/>
      <c r="C16" s="223"/>
      <c r="D16" s="223"/>
      <c r="E16" s="49"/>
    </row>
    <row r="17" spans="2:5" ht="15.75">
      <c r="B17" s="230" t="s">
        <v>32</v>
      </c>
      <c r="C17" s="223"/>
      <c r="D17" s="223"/>
      <c r="E17" s="49"/>
    </row>
    <row r="18" spans="2:5" ht="15.75">
      <c r="B18" s="138" t="s">
        <v>271</v>
      </c>
      <c r="C18" s="223"/>
      <c r="D18" s="223"/>
      <c r="E18" s="49"/>
    </row>
    <row r="19" spans="2:5" ht="15.75">
      <c r="B19" s="222" t="s">
        <v>794</v>
      </c>
      <c r="C19" s="352">
        <f>IF(C20*0.1&lt;C18,"Exceed 10% Rule","")</f>
      </c>
      <c r="D19" s="352">
        <f>IF(D20*0.1&lt;D18,"Exceed 10% Rule","")</f>
      </c>
      <c r="E19" s="369">
        <f>IF(E20*0.1+E40&lt;E18,"Exceed 10% Rule","")</f>
      </c>
    </row>
    <row r="20" spans="2:5" ht="15.75">
      <c r="B20" s="232" t="s">
        <v>33</v>
      </c>
      <c r="C20" s="353">
        <f>SUM(C8:C18)</f>
        <v>0</v>
      </c>
      <c r="D20" s="353">
        <f>SUM(D8:D18)</f>
        <v>0</v>
      </c>
      <c r="E20" s="258">
        <f>SUM(E8:E18)</f>
        <v>0</v>
      </c>
    </row>
    <row r="21" spans="2:5" ht="15.75">
      <c r="B21" s="232" t="s">
        <v>34</v>
      </c>
      <c r="C21" s="353">
        <f>C6+C20</f>
        <v>0</v>
      </c>
      <c r="D21" s="353">
        <f>D6+D20</f>
        <v>0</v>
      </c>
      <c r="E21" s="258">
        <f>E6+E20</f>
        <v>0</v>
      </c>
    </row>
    <row r="22" spans="2:5" ht="15.75">
      <c r="B22" s="130" t="s">
        <v>36</v>
      </c>
      <c r="C22" s="239"/>
      <c r="D22" s="239"/>
      <c r="E22" s="47"/>
    </row>
    <row r="23" spans="2:5" ht="15.75">
      <c r="B23" s="238"/>
      <c r="C23" s="223"/>
      <c r="D23" s="223"/>
      <c r="E23" s="49"/>
    </row>
    <row r="24" spans="2:10" ht="15.75">
      <c r="B24" s="238"/>
      <c r="C24" s="223"/>
      <c r="D24" s="223"/>
      <c r="E24" s="49"/>
      <c r="G24" s="856" t="str">
        <f>CONCATENATE("Desired Carryover Into ",E1+1,"")</f>
        <v>Desired Carryover Into 2015</v>
      </c>
      <c r="H24" s="845"/>
      <c r="I24" s="845"/>
      <c r="J24" s="846"/>
    </row>
    <row r="25" spans="2:10" ht="15.75">
      <c r="B25" s="238"/>
      <c r="C25" s="223"/>
      <c r="D25" s="223"/>
      <c r="E25" s="49"/>
      <c r="G25" s="701"/>
      <c r="H25" s="688"/>
      <c r="I25" s="695"/>
      <c r="J25" s="702"/>
    </row>
    <row r="26" spans="2:10" ht="15.75">
      <c r="B26" s="238"/>
      <c r="C26" s="223"/>
      <c r="D26" s="223"/>
      <c r="E26" s="49"/>
      <c r="G26" s="700" t="s">
        <v>638</v>
      </c>
      <c r="H26" s="695"/>
      <c r="I26" s="695"/>
      <c r="J26" s="689">
        <v>0</v>
      </c>
    </row>
    <row r="27" spans="2:10" ht="15.75">
      <c r="B27" s="238"/>
      <c r="C27" s="223"/>
      <c r="D27" s="223"/>
      <c r="E27" s="49"/>
      <c r="G27" s="701" t="s">
        <v>639</v>
      </c>
      <c r="H27" s="688"/>
      <c r="I27" s="688"/>
      <c r="J27" s="729">
        <f>IF(J26=0,"",ROUND((J26+E40-G39)/inputOth!E7*1000,3)-G44)</f>
      </c>
    </row>
    <row r="28" spans="2:10" ht="15.75">
      <c r="B28" s="238"/>
      <c r="C28" s="223"/>
      <c r="D28" s="223"/>
      <c r="E28" s="49"/>
      <c r="G28" s="726" t="str">
        <f>CONCATENATE("",E1," Tot Exp/Non-Appr Must Be:")</f>
        <v>2014 Tot Exp/Non-Appr Must Be:</v>
      </c>
      <c r="H28" s="724"/>
      <c r="I28" s="725"/>
      <c r="J28" s="721">
        <f>IF(J26&gt;0,IF(E37&lt;E21,IF(J26=G39,E37,((J26-G39)*(1-D39))+E21),E37+(J26-G39)),0)</f>
        <v>0</v>
      </c>
    </row>
    <row r="29" spans="2:10" ht="15.75">
      <c r="B29" s="238"/>
      <c r="C29" s="223"/>
      <c r="D29" s="223"/>
      <c r="E29" s="49"/>
      <c r="G29" s="591" t="s">
        <v>816</v>
      </c>
      <c r="H29" s="732"/>
      <c r="I29" s="732"/>
      <c r="J29" s="727">
        <f>IF(J26&gt;0,J28-E37,0)</f>
        <v>0</v>
      </c>
    </row>
    <row r="30" spans="2:10" ht="15.75">
      <c r="B30" s="239" t="s">
        <v>272</v>
      </c>
      <c r="C30" s="223"/>
      <c r="D30" s="223"/>
      <c r="E30" s="56">
        <f>nhood!E15</f>
      </c>
      <c r="J30" s="678"/>
    </row>
    <row r="31" spans="2:10" ht="15.75">
      <c r="B31" s="239" t="s">
        <v>271</v>
      </c>
      <c r="C31" s="223"/>
      <c r="D31" s="223"/>
      <c r="E31" s="49"/>
      <c r="G31" s="856" t="str">
        <f>CONCATENATE("Projected Carryover Into ",E1+1,"")</f>
        <v>Projected Carryover Into 2015</v>
      </c>
      <c r="H31" s="853"/>
      <c r="I31" s="853"/>
      <c r="J31" s="859"/>
    </row>
    <row r="32" spans="2:10" ht="15.75">
      <c r="B32" s="239" t="s">
        <v>795</v>
      </c>
      <c r="C32" s="352">
        <f>IF(C33*0.1&lt;C31,"Exceed 10% Rule","")</f>
      </c>
      <c r="D32" s="352">
        <f>IF(D33*0.1&lt;D31,"Exceed 10% Rule","")</f>
      </c>
      <c r="E32" s="369">
        <f>IF(E33*0.1&lt;E31,"Exceed 10% Rule","")</f>
      </c>
      <c r="G32" s="701"/>
      <c r="H32" s="695"/>
      <c r="I32" s="695"/>
      <c r="J32" s="741"/>
    </row>
    <row r="33" spans="2:10" ht="15.75">
      <c r="B33" s="232" t="s">
        <v>40</v>
      </c>
      <c r="C33" s="353">
        <f>SUM(C23:C31)</f>
        <v>0</v>
      </c>
      <c r="D33" s="353">
        <f>SUM(D23:D31)</f>
        <v>0</v>
      </c>
      <c r="E33" s="258">
        <f>SUM(E23:E31)</f>
        <v>0</v>
      </c>
      <c r="G33" s="692">
        <f>D34</f>
        <v>0</v>
      </c>
      <c r="H33" s="693" t="str">
        <f>CONCATENATE("",E1-1," Ending Cash Balance (est.)")</f>
        <v>2013 Ending Cash Balance (est.)</v>
      </c>
      <c r="I33" s="694"/>
      <c r="J33" s="741"/>
    </row>
    <row r="34" spans="2:10" ht="15.75">
      <c r="B34" s="130" t="s">
        <v>148</v>
      </c>
      <c r="C34" s="350">
        <f>C21-C33</f>
        <v>0</v>
      </c>
      <c r="D34" s="350">
        <f>D21-D33</f>
        <v>0</v>
      </c>
      <c r="E34" s="253" t="s">
        <v>13</v>
      </c>
      <c r="G34" s="692">
        <f>E20</f>
        <v>0</v>
      </c>
      <c r="H34" s="695" t="str">
        <f>CONCATENATE("",E1," Non-AV Receipts (est.)")</f>
        <v>2014 Non-AV Receipts (est.)</v>
      </c>
      <c r="I34" s="694"/>
      <c r="J34" s="741"/>
    </row>
    <row r="35" spans="2:11" ht="15.75">
      <c r="B35" s="118" t="str">
        <f>CONCATENATE("",$E$1-2,"/",$E$1-1," Budget Authority Amount:")</f>
        <v>2012/2013 Budget Authority Amount:</v>
      </c>
      <c r="C35" s="182">
        <f>inputOth!B70</f>
        <v>0</v>
      </c>
      <c r="D35" s="241">
        <f>inputPrYr!D27</f>
        <v>0</v>
      </c>
      <c r="E35" s="253" t="s">
        <v>13</v>
      </c>
      <c r="F35" s="242"/>
      <c r="G35" s="696">
        <f>IF(D39&gt;0,E38,E40)</f>
        <v>0</v>
      </c>
      <c r="H35" s="695" t="str">
        <f>CONCATENATE("",E1," Ad Valorem Tax (est.)")</f>
        <v>2014 Ad Valorem Tax (est.)</v>
      </c>
      <c r="I35" s="694"/>
      <c r="J35" s="741"/>
      <c r="K35" s="594">
        <f>IF(G35=E40,"","Note: Does not include Delinquent Taxes")</f>
      </c>
    </row>
    <row r="36" spans="2:10" ht="15.75">
      <c r="B36" s="118"/>
      <c r="C36" s="838" t="s">
        <v>630</v>
      </c>
      <c r="D36" s="839"/>
      <c r="E36" s="49"/>
      <c r="F36" s="752">
        <f>IF(E33/0.95-E33&lt;E36,"Exceeds 5%","")</f>
      </c>
      <c r="G36" s="692">
        <f>SUM(G33:G35)</f>
        <v>0</v>
      </c>
      <c r="H36" s="695" t="str">
        <f>CONCATENATE("Total ",E1," Resources Available")</f>
        <v>Total 2014 Resources Available</v>
      </c>
      <c r="I36" s="694"/>
      <c r="J36" s="741"/>
    </row>
    <row r="37" spans="2:10" ht="15.75">
      <c r="B37" s="371" t="str">
        <f>CONCATENATE(C93,"     ",D93)</f>
        <v>     </v>
      </c>
      <c r="C37" s="840" t="s">
        <v>631</v>
      </c>
      <c r="D37" s="841"/>
      <c r="E37" s="192">
        <f>E33+E36</f>
        <v>0</v>
      </c>
      <c r="G37" s="697"/>
      <c r="H37" s="695"/>
      <c r="I37" s="695"/>
      <c r="J37" s="741"/>
    </row>
    <row r="38" spans="2:10" ht="15.75">
      <c r="B38" s="371" t="str">
        <f>CONCATENATE(C94,"     ",D94)</f>
        <v>     </v>
      </c>
      <c r="C38" s="243"/>
      <c r="D38" s="146" t="s">
        <v>41</v>
      </c>
      <c r="E38" s="192">
        <f>IF(E37-E21&gt;0,E37-E21,0)</f>
        <v>0</v>
      </c>
      <c r="G38" s="696">
        <f>ROUND(C33*0.05+C33,0)</f>
        <v>0</v>
      </c>
      <c r="H38" s="695" t="str">
        <f>CONCATENATE("Less ",E1-2," Expenditures + 5%")</f>
        <v>Less 2012 Expenditures + 5%</v>
      </c>
      <c r="I38" s="694"/>
      <c r="J38" s="741"/>
    </row>
    <row r="39" spans="2:10" ht="15.75">
      <c r="B39" s="146"/>
      <c r="C39" s="357" t="s">
        <v>632</v>
      </c>
      <c r="D39" s="593">
        <f>inputOth!$E$47</f>
        <v>0</v>
      </c>
      <c r="E39" s="192">
        <f>ROUND(IF(D39&gt;0,(E38*D39),0),0)</f>
        <v>0</v>
      </c>
      <c r="G39" s="730">
        <f>G36-G38</f>
        <v>0</v>
      </c>
      <c r="H39" s="731" t="str">
        <f>CONCATENATE("Projected ",E1+1," carryover (est.)")</f>
        <v>Projected 2015 carryover (est.)</v>
      </c>
      <c r="I39" s="698"/>
      <c r="J39" s="739"/>
    </row>
    <row r="40" spans="2:10" ht="16.5" thickBot="1">
      <c r="B40" s="21"/>
      <c r="C40" s="842" t="str">
        <f>CONCATENATE("Amount of  ",$E$1-1," Ad Valorem Tax")</f>
        <v>Amount of  2013 Ad Valorem Tax</v>
      </c>
      <c r="D40" s="843"/>
      <c r="E40" s="259">
        <f>E38+E39</f>
        <v>0</v>
      </c>
      <c r="G40" s="678"/>
      <c r="H40" s="678"/>
      <c r="I40" s="678"/>
      <c r="J40" s="678"/>
    </row>
    <row r="41" spans="2:10" ht="16.5" thickTop="1">
      <c r="B41" s="21"/>
      <c r="C41" s="850"/>
      <c r="D41" s="850"/>
      <c r="E41" s="21"/>
      <c r="G41" s="847" t="s">
        <v>872</v>
      </c>
      <c r="H41" s="848"/>
      <c r="I41" s="848"/>
      <c r="J41" s="849"/>
    </row>
    <row r="42" spans="2:10" ht="15.75">
      <c r="B42" s="21"/>
      <c r="C42" s="21"/>
      <c r="D42" s="21"/>
      <c r="E42" s="21"/>
      <c r="G42" s="734"/>
      <c r="H42" s="693"/>
      <c r="I42" s="722"/>
      <c r="J42" s="723"/>
    </row>
    <row r="43" spans="2:10" ht="15.75">
      <c r="B43" s="28"/>
      <c r="C43" s="122"/>
      <c r="D43" s="122"/>
      <c r="E43" s="122"/>
      <c r="G43" s="736" t="str">
        <f>summ!H25</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summ!E25</f>
        <v>  </v>
      </c>
      <c r="H44" s="693" t="str">
        <f>CONCATENATE("",E1-1," Fund Mill Rate")</f>
        <v>2013 Fund Mill Rate</v>
      </c>
      <c r="I44" s="722"/>
      <c r="J44" s="723"/>
    </row>
    <row r="45" spans="2:10" ht="15.75">
      <c r="B45" s="368">
        <f>inputPrYr!B28</f>
        <v>0</v>
      </c>
      <c r="C45" s="351" t="str">
        <f t="shared" si="0"/>
        <v>Actual for 2012</v>
      </c>
      <c r="D45" s="351" t="str">
        <f t="shared" si="0"/>
        <v>Estimate for 2013</v>
      </c>
      <c r="E45" s="177" t="str">
        <f t="shared" si="0"/>
        <v>Year for 2014</v>
      </c>
      <c r="G45" s="737">
        <f>summ!H43</f>
        <v>27.522000000000002</v>
      </c>
      <c r="H45" s="693" t="str">
        <f>CONCATENATE("Total ",E1," Mill Rate")</f>
        <v>Total 2014 Mill Rate</v>
      </c>
      <c r="I45" s="722"/>
      <c r="J45" s="723"/>
    </row>
    <row r="46" spans="2:10" ht="15.75">
      <c r="B46" s="222" t="s">
        <v>147</v>
      </c>
      <c r="C46" s="223"/>
      <c r="D46" s="350">
        <f>C74</f>
        <v>0</v>
      </c>
      <c r="E46" s="192">
        <f>D74</f>
        <v>0</v>
      </c>
      <c r="G46" s="735">
        <f>summ!E43</f>
        <v>27.522000000000002</v>
      </c>
      <c r="H46" s="718" t="str">
        <f>CONCATENATE("Total ",E1-1," Mill Rate")</f>
        <v>Total 2013 Mill Rate</v>
      </c>
      <c r="I46" s="719"/>
      <c r="J46" s="720"/>
    </row>
    <row r="47" spans="2:5" ht="15.75">
      <c r="B47" s="225" t="s">
        <v>149</v>
      </c>
      <c r="C47" s="138"/>
      <c r="D47" s="138"/>
      <c r="E47" s="67"/>
    </row>
    <row r="48" spans="2:9" ht="15.75">
      <c r="B48" s="130" t="s">
        <v>25</v>
      </c>
      <c r="C48" s="223"/>
      <c r="D48" s="350">
        <f>IF(inputPrYr!H16&gt;0,inputPrYr!G28,inputPrYr!E28)</f>
        <v>0</v>
      </c>
      <c r="E48" s="253" t="s">
        <v>13</v>
      </c>
      <c r="G48" s="781" t="s">
        <v>978</v>
      </c>
      <c r="H48" s="775"/>
      <c r="I48" s="774" t="str">
        <f>cert!F49</f>
        <v>No</v>
      </c>
    </row>
    <row r="49" spans="2:5" ht="15.75">
      <c r="B49" s="130" t="s">
        <v>26</v>
      </c>
      <c r="C49" s="223"/>
      <c r="D49" s="223"/>
      <c r="E49" s="49"/>
    </row>
    <row r="50" spans="2:5" ht="15.75">
      <c r="B50" s="130" t="s">
        <v>27</v>
      </c>
      <c r="C50" s="223"/>
      <c r="D50" s="223"/>
      <c r="E50" s="192" t="str">
        <f>mvalloc!D17</f>
        <v>  </v>
      </c>
    </row>
    <row r="51" spans="2:5" ht="15.75">
      <c r="B51" s="130" t="s">
        <v>28</v>
      </c>
      <c r="C51" s="223"/>
      <c r="D51" s="223"/>
      <c r="E51" s="192" t="str">
        <f>mvalloc!E17</f>
        <v> </v>
      </c>
    </row>
    <row r="52" spans="2:5" ht="15.75">
      <c r="B52" s="138" t="s">
        <v>124</v>
      </c>
      <c r="C52" s="223"/>
      <c r="D52" s="223"/>
      <c r="E52" s="192" t="str">
        <f>mvalloc!F17</f>
        <v> </v>
      </c>
    </row>
    <row r="53" spans="2:5" ht="15.75">
      <c r="B53" s="49"/>
      <c r="C53" s="223"/>
      <c r="D53" s="223"/>
      <c r="E53" s="49"/>
    </row>
    <row r="54" spans="2:5" ht="15.75">
      <c r="B54" s="238"/>
      <c r="C54" s="223"/>
      <c r="D54" s="223"/>
      <c r="E54" s="49"/>
    </row>
    <row r="55" spans="2:5" ht="15.75">
      <c r="B55" s="262"/>
      <c r="C55" s="223"/>
      <c r="D55" s="223"/>
      <c r="E55" s="49"/>
    </row>
    <row r="56" spans="2:5" ht="15.75">
      <c r="B56" s="262"/>
      <c r="C56" s="223"/>
      <c r="D56" s="223"/>
      <c r="E56" s="49"/>
    </row>
    <row r="57" spans="2:5" ht="15.75">
      <c r="B57" s="230" t="s">
        <v>32</v>
      </c>
      <c r="C57" s="223"/>
      <c r="D57" s="223"/>
      <c r="E57" s="49"/>
    </row>
    <row r="58" spans="2:5" ht="15.75">
      <c r="B58" s="138" t="s">
        <v>271</v>
      </c>
      <c r="C58" s="223"/>
      <c r="D58" s="223"/>
      <c r="E58" s="49"/>
    </row>
    <row r="59" spans="2:5" ht="15.75">
      <c r="B59" s="222" t="s">
        <v>794</v>
      </c>
      <c r="C59" s="352">
        <f>IF(C60*0.1&lt;C58,"Exceed 10% Rule","")</f>
      </c>
      <c r="D59" s="352">
        <f>IF(D60*0.1&lt;D58,"Exceed 10% Rule","")</f>
      </c>
      <c r="E59" s="369">
        <f>IF(E60*0.1+E80&lt;E58,"Exceed 10% Rule","")</f>
      </c>
    </row>
    <row r="60" spans="2:5" ht="15.75">
      <c r="B60" s="232" t="s">
        <v>33</v>
      </c>
      <c r="C60" s="353">
        <f>SUM(C48:C58)</f>
        <v>0</v>
      </c>
      <c r="D60" s="353">
        <f>SUM(D48:D58)</f>
        <v>0</v>
      </c>
      <c r="E60" s="258">
        <f>SUM(E48:E58)</f>
        <v>0</v>
      </c>
    </row>
    <row r="61" spans="2:5" ht="15.75">
      <c r="B61" s="232" t="s">
        <v>34</v>
      </c>
      <c r="C61" s="353">
        <f>C46+C60</f>
        <v>0</v>
      </c>
      <c r="D61" s="353">
        <f>D46+D60</f>
        <v>0</v>
      </c>
      <c r="E61" s="258">
        <f>E46+E60</f>
        <v>0</v>
      </c>
    </row>
    <row r="62" spans="2:5" ht="15.75">
      <c r="B62" s="130" t="s">
        <v>36</v>
      </c>
      <c r="C62" s="239"/>
      <c r="D62" s="239"/>
      <c r="E62" s="47"/>
    </row>
    <row r="63" spans="2:5" ht="15.75">
      <c r="B63" s="238"/>
      <c r="C63" s="223"/>
      <c r="D63" s="223"/>
      <c r="E63" s="49"/>
    </row>
    <row r="64" spans="2:10" ht="15.75">
      <c r="B64" s="238"/>
      <c r="C64" s="223"/>
      <c r="D64" s="223"/>
      <c r="E64" s="49"/>
      <c r="G64" s="856" t="str">
        <f>CONCATENATE("Desired Carryover Into ",E1+1,"")</f>
        <v>Desired Carryover Into 2015</v>
      </c>
      <c r="H64" s="845"/>
      <c r="I64" s="845"/>
      <c r="J64" s="846"/>
    </row>
    <row r="65" spans="2:10" ht="15.75">
      <c r="B65" s="238"/>
      <c r="C65" s="223"/>
      <c r="D65" s="223"/>
      <c r="E65" s="49"/>
      <c r="G65" s="701"/>
      <c r="H65" s="688"/>
      <c r="I65" s="695"/>
      <c r="J65" s="702"/>
    </row>
    <row r="66" spans="2:10" ht="15.75">
      <c r="B66" s="238"/>
      <c r="C66" s="223"/>
      <c r="D66" s="223"/>
      <c r="E66" s="49"/>
      <c r="G66" s="700" t="s">
        <v>638</v>
      </c>
      <c r="H66" s="695"/>
      <c r="I66" s="695"/>
      <c r="J66" s="689">
        <v>0</v>
      </c>
    </row>
    <row r="67" spans="2:10" ht="15.75">
      <c r="B67" s="238"/>
      <c r="C67" s="223"/>
      <c r="D67" s="223"/>
      <c r="E67" s="49"/>
      <c r="G67" s="701" t="s">
        <v>639</v>
      </c>
      <c r="H67" s="688"/>
      <c r="I67" s="688"/>
      <c r="J67" s="729">
        <f>IF(J66=0,"",ROUND((J66+E80-G79)/inputOth!E7*1000,3)-G84)</f>
      </c>
    </row>
    <row r="68" spans="2:10" ht="15.75">
      <c r="B68" s="238"/>
      <c r="C68" s="223"/>
      <c r="D68" s="223"/>
      <c r="E68" s="49"/>
      <c r="G68" s="726" t="str">
        <f>CONCATENATE("",E1," Tot Exp/Non-Appr Must Be:")</f>
        <v>2014 Tot Exp/Non-Appr Must Be:</v>
      </c>
      <c r="H68" s="724"/>
      <c r="I68" s="725"/>
      <c r="J68" s="721">
        <f>IF(J66&gt;0,IF(E77&lt;E61,IF(J66=G79,E77,((J66-G79)*(1-D79))+E61),E77+(J66-G79)),0)</f>
        <v>0</v>
      </c>
    </row>
    <row r="69" spans="2:10" ht="15.75">
      <c r="B69" s="238"/>
      <c r="C69" s="223"/>
      <c r="D69" s="223"/>
      <c r="E69" s="49"/>
      <c r="G69" s="591" t="s">
        <v>816</v>
      </c>
      <c r="H69" s="732"/>
      <c r="I69" s="732"/>
      <c r="J69" s="727">
        <f>IF(J66&gt;0,J68-E77,0)</f>
        <v>0</v>
      </c>
    </row>
    <row r="70" spans="2:10" ht="15.75">
      <c r="B70" s="239" t="s">
        <v>272</v>
      </c>
      <c r="C70" s="223"/>
      <c r="D70" s="223"/>
      <c r="E70" s="56">
        <f>nhood!E16</f>
      </c>
      <c r="J70" s="678"/>
    </row>
    <row r="71" spans="2:10" ht="15.75">
      <c r="B71" s="239" t="s">
        <v>271</v>
      </c>
      <c r="C71" s="223"/>
      <c r="D71" s="223"/>
      <c r="E71" s="49"/>
      <c r="G71" s="856" t="str">
        <f>CONCATENATE("Projected Carryover Into ",E1+1,"")</f>
        <v>Projected Carryover Into 2015</v>
      </c>
      <c r="H71" s="860"/>
      <c r="I71" s="860"/>
      <c r="J71" s="859"/>
    </row>
    <row r="72" spans="2:10" ht="15.75">
      <c r="B72" s="239" t="s">
        <v>795</v>
      </c>
      <c r="C72" s="352">
        <f>IF(C73*0.1&lt;C71,"Exceed 10% Rule","")</f>
      </c>
      <c r="D72" s="352">
        <f>IF(D73*0.1&lt;D71,"Exceed 10% Rule","")</f>
      </c>
      <c r="E72" s="369">
        <f>IF(E73*0.1&lt;E71,"Exceed 10% Rule","")</f>
      </c>
      <c r="G72" s="690"/>
      <c r="H72" s="688"/>
      <c r="I72" s="688"/>
      <c r="J72" s="741"/>
    </row>
    <row r="73" spans="2:10" ht="15.75">
      <c r="B73" s="232" t="s">
        <v>40</v>
      </c>
      <c r="C73" s="353">
        <f>SUM(C63:C71)</f>
        <v>0</v>
      </c>
      <c r="D73" s="353">
        <f>SUM(D63:D71)</f>
        <v>0</v>
      </c>
      <c r="E73" s="258">
        <f>SUM(E63:E71)</f>
        <v>0</v>
      </c>
      <c r="G73" s="692">
        <f>D74</f>
        <v>0</v>
      </c>
      <c r="H73" s="693" t="str">
        <f>CONCATENATE("",E1-1," Ending Cash Balance (est.)")</f>
        <v>2013 Ending Cash Balance (est.)</v>
      </c>
      <c r="I73" s="694"/>
      <c r="J73" s="741"/>
    </row>
    <row r="74" spans="2:10" ht="15.75">
      <c r="B74" s="130" t="s">
        <v>148</v>
      </c>
      <c r="C74" s="350">
        <f>C61-C73</f>
        <v>0</v>
      </c>
      <c r="D74" s="350">
        <f>D61-D73</f>
        <v>0</v>
      </c>
      <c r="E74" s="253" t="s">
        <v>13</v>
      </c>
      <c r="G74" s="692">
        <f>E60</f>
        <v>0</v>
      </c>
      <c r="H74" s="695" t="str">
        <f>CONCATENATE("",E1," Non-AV Receipts (est.)")</f>
        <v>2014 Non-AV Receipts (est.)</v>
      </c>
      <c r="I74" s="694"/>
      <c r="J74" s="741"/>
    </row>
    <row r="75" spans="2:11" ht="15.75">
      <c r="B75" s="118" t="str">
        <f>CONCATENATE("",$E$1-2,"/",$E$1-1," Budget Authority Amount:")</f>
        <v>2012/2013 Budget Authority Amount:</v>
      </c>
      <c r="C75" s="182">
        <f>inputOth!B71</f>
        <v>0</v>
      </c>
      <c r="D75" s="241">
        <f>inputPrYr!D28</f>
        <v>0</v>
      </c>
      <c r="E75" s="253" t="s">
        <v>13</v>
      </c>
      <c r="F75" s="242"/>
      <c r="G75" s="696">
        <f>IF(D79&gt;0,E78,E80)</f>
        <v>0</v>
      </c>
      <c r="H75" s="695" t="str">
        <f>CONCATENATE("",E1," Ad Valorem Tax (est.)")</f>
        <v>2014 Ad Valorem Tax (est.)</v>
      </c>
      <c r="I75" s="694"/>
      <c r="J75" s="741"/>
      <c r="K75" s="594">
        <f>IF(G75=E80,"","Note: Does not include Delinquent Taxes")</f>
      </c>
    </row>
    <row r="76" spans="2:10" ht="15.75">
      <c r="B76" s="118"/>
      <c r="C76" s="838" t="s">
        <v>630</v>
      </c>
      <c r="D76" s="839"/>
      <c r="E76" s="48"/>
      <c r="F76" s="752">
        <f>IF(E73/0.95-E73&lt;E76,"Exceeds 5%","")</f>
      </c>
      <c r="G76" s="703">
        <f>SUM(G73:G75)</f>
        <v>0</v>
      </c>
      <c r="H76" s="695" t="str">
        <f>CONCATENATE("Total ",E1," Resources Available")</f>
        <v>Total 2014 Resources Available</v>
      </c>
      <c r="I76" s="691"/>
      <c r="J76" s="741"/>
    </row>
    <row r="77" spans="2:10" ht="15.75">
      <c r="B77" s="371" t="str">
        <f>CONCATENATE(C95,"     ",D95)</f>
        <v>     </v>
      </c>
      <c r="C77" s="840" t="s">
        <v>631</v>
      </c>
      <c r="D77" s="841"/>
      <c r="E77" s="192">
        <f>E73+E76</f>
        <v>0</v>
      </c>
      <c r="G77" s="706"/>
      <c r="H77" s="704"/>
      <c r="I77" s="688"/>
      <c r="J77" s="741"/>
    </row>
    <row r="78" spans="2:10" ht="15.75">
      <c r="B78" s="371" t="str">
        <f>CONCATENATE(C96,"     ",D96)</f>
        <v>     </v>
      </c>
      <c r="C78" s="243"/>
      <c r="D78" s="146" t="s">
        <v>41</v>
      </c>
      <c r="E78" s="192">
        <f>IF(E77-E61&gt;0,E77-E61,0)</f>
        <v>0</v>
      </c>
      <c r="G78" s="705">
        <f>ROUND(C73*0.05+C73,0)</f>
        <v>0</v>
      </c>
      <c r="H78" s="704" t="str">
        <f>CONCATENATE("Less ",E1-2," Expenditures + 5%")</f>
        <v>Less 2012 Expenditures + 5%</v>
      </c>
      <c r="I78" s="691"/>
      <c r="J78" s="741"/>
    </row>
    <row r="79" spans="2:10" ht="15.75">
      <c r="B79" s="146"/>
      <c r="C79" s="357" t="s">
        <v>632</v>
      </c>
      <c r="D79" s="593">
        <f>inputOth!$E$47</f>
        <v>0</v>
      </c>
      <c r="E79" s="192">
        <f>ROUND(IF(D79&gt;0,(E78*D79),0),0)</f>
        <v>0</v>
      </c>
      <c r="G79" s="707">
        <f>G76-G78</f>
        <v>0</v>
      </c>
      <c r="H79" s="708" t="str">
        <f>CONCATENATE("Projected ",E1+1," carryover (est.)")</f>
        <v>Projected 2015 carryover (est.)</v>
      </c>
      <c r="I79" s="699"/>
      <c r="J79" s="739"/>
    </row>
    <row r="80" spans="2:9" ht="16.5" thickBot="1">
      <c r="B80" s="21"/>
      <c r="C80" s="842" t="str">
        <f>CONCATENATE("Amount of  ",$E$1-1," Ad Valorem Tax")</f>
        <v>Amount of  2013 Ad Valorem Tax</v>
      </c>
      <c r="D80" s="843"/>
      <c r="E80" s="259">
        <f>E78+E79</f>
        <v>0</v>
      </c>
      <c r="G80" s="678"/>
      <c r="H80" s="678"/>
      <c r="I80" s="678"/>
    </row>
    <row r="81" spans="2:10" ht="16.5" thickTop="1">
      <c r="B81" s="21"/>
      <c r="C81" s="850"/>
      <c r="D81" s="850"/>
      <c r="E81" s="21"/>
      <c r="G81" s="847" t="s">
        <v>872</v>
      </c>
      <c r="H81" s="848"/>
      <c r="I81" s="848"/>
      <c r="J81" s="849"/>
    </row>
    <row r="82" spans="2:10" ht="15.75">
      <c r="B82" s="21"/>
      <c r="C82" s="21"/>
      <c r="D82" s="21"/>
      <c r="E82" s="21"/>
      <c r="G82" s="734"/>
      <c r="H82" s="693"/>
      <c r="I82" s="722"/>
      <c r="J82" s="723"/>
    </row>
    <row r="83" spans="2:10" ht="15.75">
      <c r="B83" s="118" t="s">
        <v>43</v>
      </c>
      <c r="C83" s="249"/>
      <c r="D83" s="21"/>
      <c r="E83" s="21"/>
      <c r="G83" s="736" t="str">
        <f>summ!H26</f>
        <v>  </v>
      </c>
      <c r="H83" s="693" t="str">
        <f>CONCATENATE("",E1," Fund Mill Rate")</f>
        <v>2014 Fund Mill Rate</v>
      </c>
      <c r="I83" s="722"/>
      <c r="J83" s="723"/>
    </row>
    <row r="84" spans="7:10" ht="15.75">
      <c r="G84" s="735" t="str">
        <f>summ!E26</f>
        <v>  </v>
      </c>
      <c r="H84" s="693" t="str">
        <f>CONCATENATE("",E1-1," Fund Mill Rate")</f>
        <v>2013 Fund Mill Rate</v>
      </c>
      <c r="I84" s="722"/>
      <c r="J84" s="723"/>
    </row>
    <row r="85" spans="7:10" ht="15.75">
      <c r="G85" s="737">
        <f>summ!H43</f>
        <v>27.522000000000002</v>
      </c>
      <c r="H85" s="693" t="str">
        <f>CONCATENATE("Total ",E1," Mill Rate")</f>
        <v>Total 2014 Mill Rate</v>
      </c>
      <c r="I85" s="722"/>
      <c r="J85" s="723"/>
    </row>
    <row r="86" spans="7:10" ht="15.75">
      <c r="G86" s="735">
        <f>summ!E43</f>
        <v>27.522000000000002</v>
      </c>
      <c r="H86" s="718" t="str">
        <f>CONCATENATE("Total ",E1-1," Mill Rate")</f>
        <v>Total 2013 Mill Rate</v>
      </c>
      <c r="I86" s="719"/>
      <c r="J86" s="720"/>
    </row>
    <row r="88" spans="7:9" ht="15.75">
      <c r="G88" s="781" t="s">
        <v>978</v>
      </c>
      <c r="H88" s="777"/>
      <c r="I88" s="776" t="str">
        <f>cert!F49</f>
        <v>No</v>
      </c>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5" dxfId="248" operator="greaterThan" stopIfTrue="1">
      <formula>$E$33*0.1</formula>
    </cfRule>
  </conditionalFormatting>
  <conditionalFormatting sqref="E36">
    <cfRule type="cellIs" priority="6" dxfId="248" operator="greaterThan" stopIfTrue="1">
      <formula>$E$33/0.95-$E$33</formula>
    </cfRule>
  </conditionalFormatting>
  <conditionalFormatting sqref="E71">
    <cfRule type="cellIs" priority="7" dxfId="248" operator="greaterThan" stopIfTrue="1">
      <formula>$E$73*0.1</formula>
    </cfRule>
  </conditionalFormatting>
  <conditionalFormatting sqref="E76">
    <cfRule type="cellIs" priority="8" dxfId="248" operator="greaterThan" stopIfTrue="1">
      <formula>$E$73/0.95-$E$73</formula>
    </cfRule>
  </conditionalFormatting>
  <conditionalFormatting sqref="D33">
    <cfRule type="cellIs" priority="9" dxfId="1" operator="greaterThan" stopIfTrue="1">
      <formula>$D$35</formula>
    </cfRule>
  </conditionalFormatting>
  <conditionalFormatting sqref="C33">
    <cfRule type="cellIs" priority="10" dxfId="1" operator="greaterThan" stopIfTrue="1">
      <formula>$C$35</formula>
    </cfRule>
  </conditionalFormatting>
  <conditionalFormatting sqref="C34 C74">
    <cfRule type="cellIs" priority="11" dxfId="1" operator="lessThan" stopIfTrue="1">
      <formula>0</formula>
    </cfRule>
  </conditionalFormatting>
  <conditionalFormatting sqref="D73">
    <cfRule type="cellIs" priority="12" dxfId="1" operator="greaterThan" stopIfTrue="1">
      <formula>$D$75</formula>
    </cfRule>
  </conditionalFormatting>
  <conditionalFormatting sqref="C73">
    <cfRule type="cellIs" priority="13" dxfId="1" operator="greaterThan" stopIfTrue="1">
      <formula>$C$75</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C31">
    <cfRule type="cellIs" priority="16" dxfId="1" operator="greaterThan" stopIfTrue="1">
      <formula>$C$33*0.1</formula>
    </cfRule>
  </conditionalFormatting>
  <conditionalFormatting sqref="D31">
    <cfRule type="cellIs" priority="17" dxfId="1" operator="greaterThan" stopIfTrue="1">
      <formula>$D$33*0.1</formula>
    </cfRule>
  </conditionalFormatting>
  <conditionalFormatting sqref="D58">
    <cfRule type="cellIs" priority="18" dxfId="1" operator="greaterThan" stopIfTrue="1">
      <formula>$D$60*0.1</formula>
    </cfRule>
  </conditionalFormatting>
  <conditionalFormatting sqref="C58">
    <cfRule type="cellIs" priority="19" dxfId="1" operator="greaterThan" stopIfTrue="1">
      <formula>$C$60*0.1</formula>
    </cfRule>
  </conditionalFormatting>
  <conditionalFormatting sqref="D18">
    <cfRule type="cellIs" priority="20" dxfId="1" operator="greaterThan" stopIfTrue="1">
      <formula>$D$20*0.1</formula>
    </cfRule>
  </conditionalFormatting>
  <conditionalFormatting sqref="C18">
    <cfRule type="cellIs" priority="21" dxfId="1" operator="greaterThan" stopIfTrue="1">
      <formula>$C$20*0.1</formula>
    </cfRule>
  </conditionalFormatting>
  <conditionalFormatting sqref="E58">
    <cfRule type="cellIs" priority="22" dxfId="248" operator="greaterThan" stopIfTrue="1">
      <formula>$E$60*0.1+E80</formula>
    </cfRule>
  </conditionalFormatting>
  <conditionalFormatting sqref="E18">
    <cfRule type="cellIs" priority="23" dxfId="248" operator="greaterThan" stopIfTrue="1">
      <formula>$E$20*0.1+E40</formula>
    </cfRule>
  </conditionalFormatting>
  <conditionalFormatting sqref="D74 D34">
    <cfRule type="cellIs" priority="2" dxfId="0" operator="lessThan" stopIfTrue="1">
      <formula>0</formula>
    </cfRule>
    <cfRule type="cellIs" priority="4"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L96"/>
  <sheetViews>
    <sheetView zoomScalePageLayoutView="0" workbookViewId="0" topLeftCell="A1">
      <selection activeCell="I7" sqref="I7"/>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92</v>
      </c>
      <c r="C3" s="168"/>
      <c r="D3" s="168"/>
      <c r="E3" s="256"/>
    </row>
    <row r="4" spans="2:5" ht="15.75">
      <c r="B4" s="28" t="s">
        <v>24</v>
      </c>
      <c r="C4" s="660" t="s">
        <v>811</v>
      </c>
      <c r="D4" s="661" t="s">
        <v>812</v>
      </c>
      <c r="E4" s="124" t="s">
        <v>813</v>
      </c>
    </row>
    <row r="5" spans="2:5" ht="15.75">
      <c r="B5" s="368">
        <f>inputPrYr!B29</f>
        <v>0</v>
      </c>
      <c r="C5" s="351" t="str">
        <f>CONCATENATE("Actual for ",E1-2,"")</f>
        <v>Actual for 2012</v>
      </c>
      <c r="D5" s="351" t="str">
        <f>CONCATENATE("Estimate for ",E1-1,"")</f>
        <v>Estimate for 2013</v>
      </c>
      <c r="E5" s="221" t="str">
        <f>CONCATENATE("Year for ",E1,"")</f>
        <v>Year for 2014</v>
      </c>
    </row>
    <row r="6" spans="2:5" ht="15.75">
      <c r="B6" s="222" t="s">
        <v>147</v>
      </c>
      <c r="C6" s="223"/>
      <c r="D6" s="350">
        <f>C34</f>
        <v>0</v>
      </c>
      <c r="E6" s="192">
        <f>D34</f>
        <v>0</v>
      </c>
    </row>
    <row r="7" spans="2:5" ht="15.75">
      <c r="B7" s="225" t="s">
        <v>149</v>
      </c>
      <c r="C7" s="138"/>
      <c r="D7" s="138"/>
      <c r="E7" s="67"/>
    </row>
    <row r="8" spans="2:5" ht="15.75">
      <c r="B8" s="130" t="s">
        <v>25</v>
      </c>
      <c r="C8" s="223"/>
      <c r="D8" s="350">
        <f>IF(inputPrYr!H16&gt;0,inputPrYr!G29,inputPrYr!E29)</f>
        <v>0</v>
      </c>
      <c r="E8" s="253" t="s">
        <v>13</v>
      </c>
    </row>
    <row r="9" spans="2:5" ht="15.75">
      <c r="B9" s="130" t="s">
        <v>26</v>
      </c>
      <c r="C9" s="223"/>
      <c r="D9" s="223"/>
      <c r="E9" s="49"/>
    </row>
    <row r="10" spans="2:5" ht="15.75">
      <c r="B10" s="130" t="s">
        <v>27</v>
      </c>
      <c r="C10" s="223"/>
      <c r="D10" s="223"/>
      <c r="E10" s="192" t="str">
        <f>mvalloc!D18</f>
        <v>  </v>
      </c>
    </row>
    <row r="11" spans="2:5" ht="15.75">
      <c r="B11" s="130" t="s">
        <v>28</v>
      </c>
      <c r="C11" s="223"/>
      <c r="D11" s="223"/>
      <c r="E11" s="192" t="str">
        <f>mvalloc!E18</f>
        <v> </v>
      </c>
    </row>
    <row r="12" spans="2:5" ht="15.75">
      <c r="B12" s="138" t="s">
        <v>124</v>
      </c>
      <c r="C12" s="223"/>
      <c r="D12" s="223"/>
      <c r="E12" s="192" t="str">
        <f>mvalloc!F18</f>
        <v> </v>
      </c>
    </row>
    <row r="13" spans="2:5" ht="15.75">
      <c r="B13" s="49"/>
      <c r="C13" s="223"/>
      <c r="D13" s="223"/>
      <c r="E13" s="49"/>
    </row>
    <row r="14" spans="2:5" ht="15.75">
      <c r="B14" s="238"/>
      <c r="C14" s="223"/>
      <c r="D14" s="223"/>
      <c r="E14" s="49"/>
    </row>
    <row r="15" spans="2:5" ht="15.75">
      <c r="B15" s="238"/>
      <c r="C15" s="223"/>
      <c r="D15" s="223"/>
      <c r="E15" s="49"/>
    </row>
    <row r="16" spans="2:5" ht="15.75">
      <c r="B16" s="238"/>
      <c r="C16" s="223"/>
      <c r="D16" s="223"/>
      <c r="E16" s="49"/>
    </row>
    <row r="17" spans="2:5" ht="15.75">
      <c r="B17" s="230" t="s">
        <v>32</v>
      </c>
      <c r="C17" s="223"/>
      <c r="D17" s="223"/>
      <c r="E17" s="49"/>
    </row>
    <row r="18" spans="2:5" ht="15.75">
      <c r="B18" s="138" t="s">
        <v>271</v>
      </c>
      <c r="C18" s="223"/>
      <c r="D18" s="223"/>
      <c r="E18" s="49"/>
    </row>
    <row r="19" spans="2:5" ht="15.75">
      <c r="B19" s="222" t="s">
        <v>794</v>
      </c>
      <c r="C19" s="352">
        <f>IF(C20*0.1&lt;C18,"Exceed 10% Rule","")</f>
      </c>
      <c r="D19" s="352">
        <f>IF(D20*0.1&lt;D18,"Exceed 10% Rule","")</f>
      </c>
      <c r="E19" s="369">
        <f>IF(E20*0.1+E40&lt;E18,"Exceed 10% Rule","")</f>
      </c>
    </row>
    <row r="20" spans="2:5" ht="15.75">
      <c r="B20" s="232" t="s">
        <v>33</v>
      </c>
      <c r="C20" s="353">
        <f>SUM(C8:C18)</f>
        <v>0</v>
      </c>
      <c r="D20" s="353">
        <f>SUM(D8:D18)</f>
        <v>0</v>
      </c>
      <c r="E20" s="258">
        <f>SUM(E8:E18)</f>
        <v>0</v>
      </c>
    </row>
    <row r="21" spans="2:5" ht="15.75">
      <c r="B21" s="232" t="s">
        <v>34</v>
      </c>
      <c r="C21" s="353">
        <f>C6+C20</f>
        <v>0</v>
      </c>
      <c r="D21" s="353">
        <f>D6+D20</f>
        <v>0</v>
      </c>
      <c r="E21" s="258">
        <f>E6+E20</f>
        <v>0</v>
      </c>
    </row>
    <row r="22" spans="2:5" ht="15.75">
      <c r="B22" s="130" t="s">
        <v>36</v>
      </c>
      <c r="C22" s="239"/>
      <c r="D22" s="239"/>
      <c r="E22" s="47"/>
    </row>
    <row r="23" spans="2:5" ht="15.75">
      <c r="B23" s="238"/>
      <c r="C23" s="223"/>
      <c r="D23" s="223"/>
      <c r="E23" s="49"/>
    </row>
    <row r="24" spans="2:10" ht="15.75">
      <c r="B24" s="238"/>
      <c r="C24" s="223"/>
      <c r="D24" s="223"/>
      <c r="E24" s="49"/>
      <c r="G24" s="856" t="str">
        <f>CONCATENATE("Desired Carryover Into ",E1+1,"")</f>
        <v>Desired Carryover Into 2015</v>
      </c>
      <c r="H24" s="845"/>
      <c r="I24" s="845"/>
      <c r="J24" s="846"/>
    </row>
    <row r="25" spans="2:10" ht="15.75">
      <c r="B25" s="238"/>
      <c r="C25" s="223"/>
      <c r="D25" s="223"/>
      <c r="E25" s="49"/>
      <c r="G25" s="701"/>
      <c r="H25" s="688"/>
      <c r="I25" s="695"/>
      <c r="J25" s="702"/>
    </row>
    <row r="26" spans="2:10" ht="15.75">
      <c r="B26" s="238"/>
      <c r="C26" s="223"/>
      <c r="D26" s="223"/>
      <c r="E26" s="49"/>
      <c r="G26" s="700" t="s">
        <v>638</v>
      </c>
      <c r="H26" s="695"/>
      <c r="I26" s="695"/>
      <c r="J26" s="689">
        <v>0</v>
      </c>
    </row>
    <row r="27" spans="2:10" ht="15.75">
      <c r="B27" s="238"/>
      <c r="C27" s="223"/>
      <c r="D27" s="223"/>
      <c r="E27" s="49"/>
      <c r="G27" s="701" t="s">
        <v>639</v>
      </c>
      <c r="H27" s="688"/>
      <c r="I27" s="688"/>
      <c r="J27" s="729">
        <f>IF(J26=0,"",ROUND((J26+E40-G39)/inputOth!E7*1000,3)-G44)</f>
      </c>
    </row>
    <row r="28" spans="2:10" ht="15.75">
      <c r="B28" s="238"/>
      <c r="C28" s="223"/>
      <c r="D28" s="223"/>
      <c r="E28" s="49"/>
      <c r="G28" s="726" t="str">
        <f>CONCATENATE("",E1," Tot Exp/Non-Appr Must Be:")</f>
        <v>2014 Tot Exp/Non-Appr Must Be:</v>
      </c>
      <c r="H28" s="724"/>
      <c r="I28" s="725"/>
      <c r="J28" s="721">
        <f>IF(J26&gt;0,IF(E37&lt;E21,IF(J26=G39,E38,((J26-G39)*(1-D39))+E21),E38+(J26-G39)),0)</f>
        <v>0</v>
      </c>
    </row>
    <row r="29" spans="2:10" ht="15.75">
      <c r="B29" s="238"/>
      <c r="C29" s="223"/>
      <c r="D29" s="223"/>
      <c r="E29" s="49"/>
      <c r="G29" s="591" t="s">
        <v>816</v>
      </c>
      <c r="H29" s="732"/>
      <c r="I29" s="732"/>
      <c r="J29" s="727">
        <f>IF(J26&gt;0,J28-E38,0)</f>
        <v>0</v>
      </c>
    </row>
    <row r="30" spans="2:10" ht="15.75">
      <c r="B30" s="239" t="s">
        <v>272</v>
      </c>
      <c r="C30" s="223"/>
      <c r="D30" s="223"/>
      <c r="E30" s="56">
        <f>nhood!E17</f>
      </c>
      <c r="J30" s="678"/>
    </row>
    <row r="31" spans="2:10" ht="15.75">
      <c r="B31" s="239" t="s">
        <v>271</v>
      </c>
      <c r="C31" s="223"/>
      <c r="D31" s="223"/>
      <c r="E31" s="49"/>
      <c r="G31" s="856" t="str">
        <f>CONCATENATE("Projected Carryover Into ",E1+1,"")</f>
        <v>Projected Carryover Into 2015</v>
      </c>
      <c r="H31" s="853"/>
      <c r="I31" s="853"/>
      <c r="J31" s="859"/>
    </row>
    <row r="32" spans="2:10" ht="15.75">
      <c r="B32" s="239" t="s">
        <v>795</v>
      </c>
      <c r="C32" s="352">
        <f>IF(C33*0.1&lt;C31,"Exceed 10% Rule","")</f>
      </c>
      <c r="D32" s="352">
        <f>IF(D33*0.1&lt;D31,"Exceed 10% Rule","")</f>
      </c>
      <c r="E32" s="369">
        <f>IF(E33*0.1&lt;E31,"Exceed 10% Rule","")</f>
      </c>
      <c r="G32" s="701"/>
      <c r="H32" s="695"/>
      <c r="I32" s="695"/>
      <c r="J32" s="741"/>
    </row>
    <row r="33" spans="2:10" ht="15.75">
      <c r="B33" s="232" t="s">
        <v>40</v>
      </c>
      <c r="C33" s="353">
        <f>SUM(C23:C31)</f>
        <v>0</v>
      </c>
      <c r="D33" s="353">
        <f>SUM(D23:D31)</f>
        <v>0</v>
      </c>
      <c r="E33" s="258">
        <f>SUM(E23:E31)</f>
        <v>0</v>
      </c>
      <c r="G33" s="692">
        <f>D34</f>
        <v>0</v>
      </c>
      <c r="H33" s="693" t="str">
        <f>CONCATENATE("",E1-1," Ending Cash Balance (est.)")</f>
        <v>2013 Ending Cash Balance (est.)</v>
      </c>
      <c r="I33" s="694"/>
      <c r="J33" s="741"/>
    </row>
    <row r="34" spans="2:10" ht="15.75">
      <c r="B34" s="130" t="s">
        <v>148</v>
      </c>
      <c r="C34" s="350">
        <f>C21-C33</f>
        <v>0</v>
      </c>
      <c r="D34" s="350">
        <f>D21-D33</f>
        <v>0</v>
      </c>
      <c r="E34" s="253" t="s">
        <v>13</v>
      </c>
      <c r="G34" s="692">
        <f>E20</f>
        <v>0</v>
      </c>
      <c r="H34" s="695" t="str">
        <f>CONCATENATE("",E1," Non-AV Receipts (est.)")</f>
        <v>2014 Non-AV Receipts (est.)</v>
      </c>
      <c r="I34" s="694"/>
      <c r="J34" s="741"/>
    </row>
    <row r="35" spans="2:12" ht="15.75">
      <c r="B35" s="118" t="str">
        <f>CONCATENATE("",$E$1-2,"/",$E$1-1," Budget Authority Amount:")</f>
        <v>2012/2013 Budget Authority Amount:</v>
      </c>
      <c r="C35" s="182">
        <f>inputOth!B72</f>
        <v>0</v>
      </c>
      <c r="D35" s="551">
        <f>inputPrYr!D29</f>
        <v>0</v>
      </c>
      <c r="E35" s="253" t="s">
        <v>13</v>
      </c>
      <c r="F35" s="242"/>
      <c r="G35" s="696">
        <f>IF(D39&gt;0,E38,E40)</f>
        <v>0</v>
      </c>
      <c r="H35" s="695" t="str">
        <f>CONCATENATE("",E1," Ad Valorem Tax (est.)")</f>
        <v>2014 Ad Valorem Tax (est.)</v>
      </c>
      <c r="I35" s="694"/>
      <c r="J35" s="741"/>
      <c r="K35" s="594">
        <f>IF(G35=E40,"","Note: Does not include Delinquent Taxes")</f>
      </c>
      <c r="L35" s="594"/>
    </row>
    <row r="36" spans="2:10" ht="15.75">
      <c r="B36" s="118"/>
      <c r="C36" s="838" t="s">
        <v>630</v>
      </c>
      <c r="D36" s="839"/>
      <c r="E36" s="49"/>
      <c r="F36" s="242">
        <f>IF(E33/0.95-E33&lt;E36,"Exceeds 5%","")</f>
      </c>
      <c r="G36" s="692">
        <f>SUM(G33:G35)</f>
        <v>0</v>
      </c>
      <c r="H36" s="695" t="str">
        <f>CONCATENATE("Total ",E1," Resources Available")</f>
        <v>Total 2014 Resources Available</v>
      </c>
      <c r="I36" s="694"/>
      <c r="J36" s="741"/>
    </row>
    <row r="37" spans="2:10" ht="15.75">
      <c r="B37" s="371" t="str">
        <f>CONCATENATE(C93,"     ",D93)</f>
        <v>     </v>
      </c>
      <c r="C37" s="840" t="s">
        <v>631</v>
      </c>
      <c r="D37" s="841"/>
      <c r="E37" s="192">
        <f>E33+E36</f>
        <v>0</v>
      </c>
      <c r="G37" s="697"/>
      <c r="H37" s="695"/>
      <c r="I37" s="695"/>
      <c r="J37" s="741"/>
    </row>
    <row r="38" spans="2:10" ht="15.75">
      <c r="B38" s="371" t="str">
        <f>CONCATENATE(C94,"     ",D94)</f>
        <v>     </v>
      </c>
      <c r="C38" s="243"/>
      <c r="D38" s="146" t="s">
        <v>41</v>
      </c>
      <c r="E38" s="192">
        <f>IF(E37-E21&gt;0,E37-E21,0)</f>
        <v>0</v>
      </c>
      <c r="G38" s="696">
        <f>ROUND(C33*0.05+C33,0)</f>
        <v>0</v>
      </c>
      <c r="H38" s="695" t="str">
        <f>CONCATENATE("Less ",E1-2," Expenditures + 5%")</f>
        <v>Less 2012 Expenditures + 5%</v>
      </c>
      <c r="I38" s="694"/>
      <c r="J38" s="741"/>
    </row>
    <row r="39" spans="2:10" ht="15.75">
      <c r="B39" s="146"/>
      <c r="C39" s="357" t="s">
        <v>632</v>
      </c>
      <c r="D39" s="593">
        <f>inputOth!$E$47</f>
        <v>0</v>
      </c>
      <c r="E39" s="192">
        <f>ROUND(IF($D$39&gt;0,($E$38*$D$39),0),0)</f>
        <v>0</v>
      </c>
      <c r="G39" s="730">
        <f>G36-G38</f>
        <v>0</v>
      </c>
      <c r="H39" s="731" t="str">
        <f>CONCATENATE("Projected ",E1+1," carryover (est.)")</f>
        <v>Projected 2015 carryover (est.)</v>
      </c>
      <c r="I39" s="698"/>
      <c r="J39" s="739"/>
    </row>
    <row r="40" spans="2:10" ht="16.5" thickBot="1">
      <c r="B40" s="21"/>
      <c r="C40" s="842" t="str">
        <f>CONCATENATE("Amount of  ",$E$1-1," Ad Valorem Tax")</f>
        <v>Amount of  2013 Ad Valorem Tax</v>
      </c>
      <c r="D40" s="843"/>
      <c r="E40" s="259">
        <f>E38+E39</f>
        <v>0</v>
      </c>
      <c r="G40" s="678"/>
      <c r="H40" s="678"/>
      <c r="I40" s="678"/>
      <c r="J40" s="678"/>
    </row>
    <row r="41" spans="2:10" ht="16.5" thickTop="1">
      <c r="B41" s="21"/>
      <c r="C41" s="850"/>
      <c r="D41" s="850"/>
      <c r="E41" s="21"/>
      <c r="G41" s="847" t="s">
        <v>872</v>
      </c>
      <c r="H41" s="848"/>
      <c r="I41" s="848"/>
      <c r="J41" s="849"/>
    </row>
    <row r="42" spans="2:10" ht="15.75">
      <c r="B42" s="21"/>
      <c r="C42" s="21"/>
      <c r="D42" s="21"/>
      <c r="E42" s="21"/>
      <c r="G42" s="734"/>
      <c r="H42" s="693"/>
      <c r="I42" s="722"/>
      <c r="J42" s="723"/>
    </row>
    <row r="43" spans="2:10" ht="15.75">
      <c r="B43" s="28"/>
      <c r="C43" s="122"/>
      <c r="D43" s="122"/>
      <c r="E43" s="122"/>
      <c r="G43" s="736" t="str">
        <f>summ!H27</f>
        <v>  </v>
      </c>
      <c r="H43" s="693" t="str">
        <f>CONCATENATE("",E1," Fund Mill Rate")</f>
        <v>2014 Fund Mill Rate</v>
      </c>
      <c r="I43" s="722"/>
      <c r="J43" s="723"/>
    </row>
    <row r="44" spans="2:10" ht="15.75">
      <c r="B44" s="28" t="s">
        <v>24</v>
      </c>
      <c r="C44" s="660" t="str">
        <f aca="true" t="shared" si="0" ref="C44:E45">C4</f>
        <v>Prior Year </v>
      </c>
      <c r="D44" s="661" t="str">
        <f t="shared" si="0"/>
        <v>Current Year</v>
      </c>
      <c r="E44" s="124" t="str">
        <f t="shared" si="0"/>
        <v>Proposed Budget</v>
      </c>
      <c r="G44" s="735" t="str">
        <f>summ!E27</f>
        <v>  </v>
      </c>
      <c r="H44" s="693" t="str">
        <f>CONCATENATE("",E1-1," Fund Mill Rate")</f>
        <v>2013 Fund Mill Rate</v>
      </c>
      <c r="I44" s="722"/>
      <c r="J44" s="723"/>
    </row>
    <row r="45" spans="2:10" ht="15.75">
      <c r="B45" s="367">
        <f>inputPrYr!B30</f>
        <v>0</v>
      </c>
      <c r="C45" s="351" t="str">
        <f t="shared" si="0"/>
        <v>Actual for 2012</v>
      </c>
      <c r="D45" s="351" t="str">
        <f t="shared" si="0"/>
        <v>Estimate for 2013</v>
      </c>
      <c r="E45" s="177" t="str">
        <f t="shared" si="0"/>
        <v>Year for 2014</v>
      </c>
      <c r="G45" s="737">
        <f>summ!H43</f>
        <v>27.522000000000002</v>
      </c>
      <c r="H45" s="693" t="str">
        <f>CONCATENATE("Total ",E1," Mill Rate")</f>
        <v>Total 2014 Mill Rate</v>
      </c>
      <c r="I45" s="722"/>
      <c r="J45" s="723"/>
    </row>
    <row r="46" spans="2:10" ht="15.75">
      <c r="B46" s="222" t="s">
        <v>147</v>
      </c>
      <c r="C46" s="223"/>
      <c r="D46" s="350">
        <f>C74</f>
        <v>0</v>
      </c>
      <c r="E46" s="192">
        <f>D74</f>
        <v>0</v>
      </c>
      <c r="G46" s="735">
        <f>summ!E43</f>
        <v>27.522000000000002</v>
      </c>
      <c r="H46" s="718" t="str">
        <f>CONCATENATE("Total ",E1-1," Mill Rate")</f>
        <v>Total 2013 Mill Rate</v>
      </c>
      <c r="I46" s="719"/>
      <c r="J46" s="720"/>
    </row>
    <row r="47" spans="2:5" ht="15.75">
      <c r="B47" s="222" t="s">
        <v>149</v>
      </c>
      <c r="C47" s="138"/>
      <c r="D47" s="138"/>
      <c r="E47" s="67"/>
    </row>
    <row r="48" spans="2:9" ht="15.75">
      <c r="B48" s="130" t="s">
        <v>25</v>
      </c>
      <c r="C48" s="223"/>
      <c r="D48" s="350">
        <f>IF(inputPrYr!H16&gt;0,inputPrYr!G30,inputPrYr!E30)</f>
        <v>0</v>
      </c>
      <c r="E48" s="253" t="s">
        <v>13</v>
      </c>
      <c r="G48" s="781" t="s">
        <v>978</v>
      </c>
      <c r="H48" s="779"/>
      <c r="I48" s="778" t="str">
        <f>cert!F49</f>
        <v>No</v>
      </c>
    </row>
    <row r="49" spans="2:5" ht="15.75">
      <c r="B49" s="130" t="s">
        <v>26</v>
      </c>
      <c r="C49" s="223"/>
      <c r="D49" s="223"/>
      <c r="E49" s="49"/>
    </row>
    <row r="50" spans="2:5" ht="15.75">
      <c r="B50" s="130" t="s">
        <v>27</v>
      </c>
      <c r="C50" s="223"/>
      <c r="D50" s="223"/>
      <c r="E50" s="192" t="str">
        <f>mvalloc!D19</f>
        <v>  </v>
      </c>
    </row>
    <row r="51" spans="2:5" ht="15.75">
      <c r="B51" s="130" t="s">
        <v>28</v>
      </c>
      <c r="C51" s="223"/>
      <c r="D51" s="223"/>
      <c r="E51" s="192" t="str">
        <f>mvalloc!E19</f>
        <v> </v>
      </c>
    </row>
    <row r="52" spans="2:5" ht="15.75">
      <c r="B52" s="138" t="s">
        <v>124</v>
      </c>
      <c r="C52" s="223"/>
      <c r="D52" s="223"/>
      <c r="E52" s="192" t="str">
        <f>mvalloc!F19</f>
        <v> </v>
      </c>
    </row>
    <row r="53" spans="2:5" ht="15.75">
      <c r="B53" s="49"/>
      <c r="C53" s="223"/>
      <c r="D53" s="223"/>
      <c r="E53" s="49"/>
    </row>
    <row r="54" spans="2:5" ht="15.75">
      <c r="B54" s="238"/>
      <c r="C54" s="223"/>
      <c r="D54" s="223"/>
      <c r="E54" s="49"/>
    </row>
    <row r="55" spans="2:5" ht="15.75">
      <c r="B55" s="238"/>
      <c r="C55" s="223"/>
      <c r="D55" s="223"/>
      <c r="E55" s="49"/>
    </row>
    <row r="56" spans="2:5" ht="15.75">
      <c r="B56" s="238"/>
      <c r="C56" s="223"/>
      <c r="D56" s="223"/>
      <c r="E56" s="49"/>
    </row>
    <row r="57" spans="2:5" ht="15.75">
      <c r="B57" s="230" t="s">
        <v>32</v>
      </c>
      <c r="C57" s="223"/>
      <c r="D57" s="223"/>
      <c r="E57" s="49"/>
    </row>
    <row r="58" spans="2:5" ht="15.75">
      <c r="B58" s="138" t="s">
        <v>271</v>
      </c>
      <c r="C58" s="223"/>
      <c r="D58" s="223"/>
      <c r="E58" s="49"/>
    </row>
    <row r="59" spans="2:5" ht="15.75">
      <c r="B59" s="222" t="s">
        <v>794</v>
      </c>
      <c r="C59" s="352">
        <f>IF(C60*0.1&lt;C58,"Exceed 10% Rule","")</f>
      </c>
      <c r="D59" s="352">
        <f>IF(D60*0.1&lt;D58,"Exceed 10% Rule","")</f>
      </c>
      <c r="E59" s="369">
        <f>IF(E60*0.1+E80&lt;E58,"Exceed 10% Rule","")</f>
      </c>
    </row>
    <row r="60" spans="2:5" ht="15.75">
      <c r="B60" s="232" t="s">
        <v>33</v>
      </c>
      <c r="C60" s="353">
        <f>SUM(C48:C58)</f>
        <v>0</v>
      </c>
      <c r="D60" s="353">
        <f>SUM(D48:D58)</f>
        <v>0</v>
      </c>
      <c r="E60" s="258">
        <f>SUM(E48:E58)</f>
        <v>0</v>
      </c>
    </row>
    <row r="61" spans="2:5" ht="15.75">
      <c r="B61" s="232" t="s">
        <v>34</v>
      </c>
      <c r="C61" s="353">
        <f>C46+C60</f>
        <v>0</v>
      </c>
      <c r="D61" s="353">
        <f>D46+D60</f>
        <v>0</v>
      </c>
      <c r="E61" s="258">
        <f>E46+E60</f>
        <v>0</v>
      </c>
    </row>
    <row r="62" spans="2:5" ht="15.75">
      <c r="B62" s="130" t="s">
        <v>36</v>
      </c>
      <c r="C62" s="239"/>
      <c r="D62" s="239"/>
      <c r="E62" s="47"/>
    </row>
    <row r="63" spans="2:5" ht="15.75">
      <c r="B63" s="238"/>
      <c r="C63" s="223"/>
      <c r="D63" s="223"/>
      <c r="E63" s="49"/>
    </row>
    <row r="64" spans="2:10" ht="15.75">
      <c r="B64" s="238"/>
      <c r="C64" s="223"/>
      <c r="D64" s="223"/>
      <c r="E64" s="49"/>
      <c r="G64" s="856" t="str">
        <f>CONCATENATE("Desired Carryover Into ",E1+1,"")</f>
        <v>Desired Carryover Into 2015</v>
      </c>
      <c r="H64" s="845"/>
      <c r="I64" s="845"/>
      <c r="J64" s="846"/>
    </row>
    <row r="65" spans="2:10" ht="15.75">
      <c r="B65" s="238"/>
      <c r="C65" s="223"/>
      <c r="D65" s="223"/>
      <c r="E65" s="49"/>
      <c r="G65" s="701"/>
      <c r="H65" s="688"/>
      <c r="I65" s="695"/>
      <c r="J65" s="702"/>
    </row>
    <row r="66" spans="2:10" ht="15.75">
      <c r="B66" s="238"/>
      <c r="C66" s="223"/>
      <c r="D66" s="223"/>
      <c r="E66" s="49"/>
      <c r="G66" s="700" t="s">
        <v>638</v>
      </c>
      <c r="H66" s="695"/>
      <c r="I66" s="695"/>
      <c r="J66" s="689">
        <v>0</v>
      </c>
    </row>
    <row r="67" spans="2:10" ht="15.75">
      <c r="B67" s="238"/>
      <c r="C67" s="223"/>
      <c r="D67" s="223"/>
      <c r="E67" s="49"/>
      <c r="G67" s="701" t="s">
        <v>639</v>
      </c>
      <c r="H67" s="688"/>
      <c r="I67" s="688"/>
      <c r="J67" s="729">
        <f>IF(J66=0,"",ROUND((J66+E80-G79)/inputOth!E7*1000,3)-G84)</f>
      </c>
    </row>
    <row r="68" spans="2:10" ht="15.75">
      <c r="B68" s="238"/>
      <c r="C68" s="223"/>
      <c r="D68" s="223"/>
      <c r="E68" s="49"/>
      <c r="G68" s="726" t="str">
        <f>CONCATENATE("",E1," Tot Exp/Non-Appr Must Be:")</f>
        <v>2014 Tot Exp/Non-Appr Must Be:</v>
      </c>
      <c r="H68" s="724"/>
      <c r="I68" s="725"/>
      <c r="J68" s="721">
        <f>IF(J66&gt;0,IF(E77&lt;E61,IF(J66=G79,E77,((J66-G79)*(1-D79))+E61),E77+(J66-G79)),0)</f>
        <v>0</v>
      </c>
    </row>
    <row r="69" spans="2:10" ht="15.75">
      <c r="B69" s="238"/>
      <c r="C69" s="223"/>
      <c r="D69" s="223"/>
      <c r="E69" s="49"/>
      <c r="G69" s="591" t="s">
        <v>816</v>
      </c>
      <c r="H69" s="732"/>
      <c r="I69" s="732"/>
      <c r="J69" s="727">
        <f>IF(J66&gt;0,J68-E77,0)</f>
        <v>0</v>
      </c>
    </row>
    <row r="70" spans="2:10" ht="15.75">
      <c r="B70" s="239" t="s">
        <v>272</v>
      </c>
      <c r="C70" s="223"/>
      <c r="D70" s="223"/>
      <c r="E70" s="56">
        <f>nhood!E18</f>
      </c>
      <c r="J70" s="678"/>
    </row>
    <row r="71" spans="2:10" ht="15.75">
      <c r="B71" s="239" t="s">
        <v>271</v>
      </c>
      <c r="C71" s="223"/>
      <c r="D71" s="223"/>
      <c r="E71" s="49"/>
      <c r="G71" s="856" t="str">
        <f>CONCATENATE("Projected Carryover Into ",E1+1,"")</f>
        <v>Projected Carryover Into 2015</v>
      </c>
      <c r="H71" s="860"/>
      <c r="I71" s="860"/>
      <c r="J71" s="859"/>
    </row>
    <row r="72" spans="2:10" ht="15.75">
      <c r="B72" s="239" t="s">
        <v>795</v>
      </c>
      <c r="C72" s="352">
        <f>IF(C73*0.1&lt;C71,"Exceed 10% Rule","")</f>
      </c>
      <c r="D72" s="352">
        <f>IF(D73*0.1&lt;D71,"Exceed 10% Rule","")</f>
      </c>
      <c r="E72" s="369">
        <f>IF(E73*0.1&lt;E71,"Exceed 10% Rule","")</f>
      </c>
      <c r="G72" s="690"/>
      <c r="H72" s="688"/>
      <c r="I72" s="688"/>
      <c r="J72" s="741"/>
    </row>
    <row r="73" spans="2:10" ht="15.75">
      <c r="B73" s="232" t="s">
        <v>40</v>
      </c>
      <c r="C73" s="353">
        <f>SUM(C63:C71)</f>
        <v>0</v>
      </c>
      <c r="D73" s="353">
        <f>SUM(D63:D71)</f>
        <v>0</v>
      </c>
      <c r="E73" s="258">
        <f>SUM(E63:E71)</f>
        <v>0</v>
      </c>
      <c r="G73" s="692">
        <f>D74</f>
        <v>0</v>
      </c>
      <c r="H73" s="693" t="str">
        <f>CONCATENATE("",E1-1," Ending Cash Balance (est.)")</f>
        <v>2013 Ending Cash Balance (est.)</v>
      </c>
      <c r="I73" s="694"/>
      <c r="J73" s="741"/>
    </row>
    <row r="74" spans="2:10" ht="15.75">
      <c r="B74" s="130" t="s">
        <v>148</v>
      </c>
      <c r="C74" s="350">
        <f>C61-C73</f>
        <v>0</v>
      </c>
      <c r="D74" s="350">
        <f>D61-D73</f>
        <v>0</v>
      </c>
      <c r="E74" s="253" t="s">
        <v>13</v>
      </c>
      <c r="G74" s="692">
        <f>E60</f>
        <v>0</v>
      </c>
      <c r="H74" s="695" t="str">
        <f>CONCATENATE("",E1," Non-AV Receipts (est.)")</f>
        <v>2014 Non-AV Receipts (est.)</v>
      </c>
      <c r="I74" s="694"/>
      <c r="J74" s="741"/>
    </row>
    <row r="75" spans="2:11" ht="15.75">
      <c r="B75" s="118" t="str">
        <f>CONCATENATE("",$E$1-2,"/",$E$1-1," Budget Authority Amount:")</f>
        <v>2012/2013 Budget Authority Amount:</v>
      </c>
      <c r="C75" s="182">
        <f>inputOth!B73</f>
        <v>0</v>
      </c>
      <c r="D75" s="241">
        <f>inputPrYr!D30</f>
        <v>0</v>
      </c>
      <c r="E75" s="253" t="s">
        <v>13</v>
      </c>
      <c r="F75" s="242"/>
      <c r="G75" s="696">
        <f>IF(D79&gt;0,E78,E80)</f>
        <v>0</v>
      </c>
      <c r="H75" s="695" t="str">
        <f>CONCATENATE("",E1," Ad Valorem Tax (est.)")</f>
        <v>2014 Ad Valorem Tax (est.)</v>
      </c>
      <c r="I75" s="694"/>
      <c r="J75" s="741"/>
      <c r="K75" s="594">
        <f>IF(G75=E80,"","Note: Does not include Delinquent Taxes")</f>
      </c>
    </row>
    <row r="76" spans="2:10" ht="15.75">
      <c r="B76" s="118"/>
      <c r="C76" s="838" t="s">
        <v>630</v>
      </c>
      <c r="D76" s="839"/>
      <c r="E76" s="49"/>
      <c r="F76" s="242">
        <f>IF(E73/0.95-E73&lt;E76,"Exceeds 5%","")</f>
      </c>
      <c r="G76" s="703">
        <f>SUM(G73:G75)</f>
        <v>0</v>
      </c>
      <c r="H76" s="695" t="str">
        <f>CONCATENATE("Total ",E1," Resources Available")</f>
        <v>Total 2014 Resources Available</v>
      </c>
      <c r="I76" s="691"/>
      <c r="J76" s="741"/>
    </row>
    <row r="77" spans="2:10" ht="15.75">
      <c r="B77" s="371" t="str">
        <f>CONCATENATE(C95,"     ",D95)</f>
        <v>     </v>
      </c>
      <c r="C77" s="840" t="s">
        <v>631</v>
      </c>
      <c r="D77" s="841"/>
      <c r="E77" s="192">
        <f>E73+E76</f>
        <v>0</v>
      </c>
      <c r="G77" s="706"/>
      <c r="H77" s="704"/>
      <c r="I77" s="688"/>
      <c r="J77" s="741"/>
    </row>
    <row r="78" spans="2:10" ht="15.75">
      <c r="B78" s="371" t="str">
        <f>CONCATENATE(C96,"     ",D96)</f>
        <v>     </v>
      </c>
      <c r="C78" s="243"/>
      <c r="D78" s="146" t="s">
        <v>41</v>
      </c>
      <c r="E78" s="192">
        <f>IF(E77-E61&gt;0,E77-E61,0)</f>
        <v>0</v>
      </c>
      <c r="G78" s="705">
        <f>ROUND(C73*0.05+C73,0)</f>
        <v>0</v>
      </c>
      <c r="H78" s="704" t="str">
        <f>CONCATENATE("Less ",E1-2," Expenditures + 5%")</f>
        <v>Less 2012 Expenditures + 5%</v>
      </c>
      <c r="I78" s="691"/>
      <c r="J78" s="741"/>
    </row>
    <row r="79" spans="2:10" ht="15.75">
      <c r="B79" s="146"/>
      <c r="C79" s="357" t="s">
        <v>632</v>
      </c>
      <c r="D79" s="593">
        <f>inputOth!$E$47</f>
        <v>0</v>
      </c>
      <c r="E79" s="192">
        <f>ROUND(IF(D79&gt;0,(E78*D79),0),0)</f>
        <v>0</v>
      </c>
      <c r="G79" s="707">
        <f>G76-G78</f>
        <v>0</v>
      </c>
      <c r="H79" s="708" t="str">
        <f>CONCATENATE("Projected ",E1+1," carryover (est.)")</f>
        <v>Projected 2015 carryover (est.)</v>
      </c>
      <c r="I79" s="699"/>
      <c r="J79" s="739"/>
    </row>
    <row r="80" spans="2:9" ht="16.5" thickBot="1">
      <c r="B80" s="21"/>
      <c r="C80" s="842" t="str">
        <f>CONCATENATE("Amount of  ",$E$1-1," Ad Valorem Tax")</f>
        <v>Amount of  2013 Ad Valorem Tax</v>
      </c>
      <c r="D80" s="843"/>
      <c r="E80" s="259">
        <f>E78+E79</f>
        <v>0</v>
      </c>
      <c r="G80" s="678"/>
      <c r="H80" s="678"/>
      <c r="I80" s="678"/>
    </row>
    <row r="81" spans="2:10" ht="16.5" thickTop="1">
      <c r="B81" s="21"/>
      <c r="C81" s="850"/>
      <c r="D81" s="850"/>
      <c r="E81" s="21"/>
      <c r="G81" s="847" t="s">
        <v>872</v>
      </c>
      <c r="H81" s="848"/>
      <c r="I81" s="848"/>
      <c r="J81" s="849"/>
    </row>
    <row r="82" spans="2:10" ht="15.75">
      <c r="B82" s="21"/>
      <c r="C82" s="21"/>
      <c r="D82" s="21"/>
      <c r="E82" s="21"/>
      <c r="G82" s="734"/>
      <c r="H82" s="693"/>
      <c r="I82" s="722"/>
      <c r="J82" s="723"/>
    </row>
    <row r="83" spans="2:10" ht="15.75">
      <c r="B83" s="118" t="s">
        <v>43</v>
      </c>
      <c r="C83" s="249"/>
      <c r="D83" s="21"/>
      <c r="E83" s="21"/>
      <c r="G83" s="736" t="str">
        <f>summ!H28</f>
        <v>  </v>
      </c>
      <c r="H83" s="693" t="str">
        <f>CONCATENATE("",E1," Fund Mill Rate")</f>
        <v>2014 Fund Mill Rate</v>
      </c>
      <c r="I83" s="722"/>
      <c r="J83" s="723"/>
    </row>
    <row r="84" spans="7:10" ht="15.75">
      <c r="G84" s="735" t="str">
        <f>summ!E28</f>
        <v>  </v>
      </c>
      <c r="H84" s="693" t="str">
        <f>CONCATENATE("",E1-1," Fund Mill Rate")</f>
        <v>2013 Fund Mill Rate</v>
      </c>
      <c r="I84" s="722"/>
      <c r="J84" s="723"/>
    </row>
    <row r="85" spans="7:10" ht="15.75">
      <c r="G85" s="737">
        <f>summ!H43</f>
        <v>27.522000000000002</v>
      </c>
      <c r="H85" s="693" t="str">
        <f>CONCATENATE("Total ",E1," Mill Rate")</f>
        <v>Total 2014 Mill Rate</v>
      </c>
      <c r="I85" s="722"/>
      <c r="J85" s="723"/>
    </row>
    <row r="86" spans="7:10" ht="15.75">
      <c r="G86" s="735">
        <f>summ!E43</f>
        <v>27.522000000000002</v>
      </c>
      <c r="H86" s="718" t="str">
        <f>CONCATENATE("Total ",E1-1," Mill Rate")</f>
        <v>Total 2013 Mill Rate</v>
      </c>
      <c r="I86" s="719"/>
      <c r="J86" s="720"/>
    </row>
    <row r="88" spans="7:9" ht="15.75">
      <c r="G88" s="781" t="s">
        <v>978</v>
      </c>
      <c r="H88" s="782"/>
      <c r="I88" s="780" t="str">
        <f>cert!F49</f>
        <v>No</v>
      </c>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71">
    <cfRule type="cellIs" priority="12" dxfId="1" operator="greaterThan" stopIfTrue="1">
      <formula>$C$73*0.1</formula>
    </cfRule>
  </conditionalFormatting>
  <conditionalFormatting sqref="D71">
    <cfRule type="cellIs" priority="13" dxfId="1" operator="greaterThan" stopIfTrue="1">
      <formula>$D$73*0.1</formula>
    </cfRule>
  </conditionalFormatting>
  <conditionalFormatting sqref="C31">
    <cfRule type="cellIs" priority="14" dxfId="1" operator="greaterThan" stopIfTrue="1">
      <formula>$C$33*0.1</formula>
    </cfRule>
  </conditionalFormatting>
  <conditionalFormatting sqref="D31">
    <cfRule type="cellIs" priority="15" dxfId="1" operator="greaterThan" stopIfTrue="1">
      <formula>$D$33*0.1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8">
      <selection activeCell="C66" sqref="C66"/>
    </sheetView>
  </sheetViews>
  <sheetFormatPr defaultColWidth="8.796875" defaultRowHeight="15"/>
  <cols>
    <col min="1" max="1" width="2.3984375" style="22" customWidth="1"/>
    <col min="2" max="2" width="31.09765625" style="22" customWidth="1"/>
    <col min="3" max="4" width="15.796875" style="22" customWidth="1"/>
    <col min="5" max="5" width="16.19921875" style="22" customWidth="1"/>
    <col min="6"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93</v>
      </c>
      <c r="C3" s="257"/>
      <c r="D3" s="257"/>
      <c r="E3" s="257"/>
    </row>
    <row r="4" spans="2:5" ht="15.75">
      <c r="B4" s="28" t="s">
        <v>24</v>
      </c>
      <c r="C4" s="660" t="s">
        <v>811</v>
      </c>
      <c r="D4" s="661" t="s">
        <v>812</v>
      </c>
      <c r="E4" s="124" t="s">
        <v>813</v>
      </c>
    </row>
    <row r="5" spans="2:5" ht="15.75">
      <c r="B5" s="368" t="str">
        <f>(inputPrYr!B34)</f>
        <v>Special Highway</v>
      </c>
      <c r="C5" s="351" t="str">
        <f>CONCATENATE("Actual for ",E1-2,"")</f>
        <v>Actual for 2012</v>
      </c>
      <c r="D5" s="351" t="str">
        <f>CONCATENATE("Estimate for ",E1-1,"")</f>
        <v>Estimate for 2013</v>
      </c>
      <c r="E5" s="221" t="str">
        <f>CONCATENATE("Year for ",E1,"")</f>
        <v>Year for 2014</v>
      </c>
    </row>
    <row r="6" spans="2:5" ht="15.75">
      <c r="B6" s="222" t="s">
        <v>147</v>
      </c>
      <c r="C6" s="49">
        <v>252626</v>
      </c>
      <c r="D6" s="192">
        <f>C29</f>
        <v>162144</v>
      </c>
      <c r="E6" s="192">
        <f>D29</f>
        <v>57636</v>
      </c>
    </row>
    <row r="7" spans="2:5" ht="15.75">
      <c r="B7" s="225" t="s">
        <v>149</v>
      </c>
      <c r="C7" s="67"/>
      <c r="D7" s="67"/>
      <c r="E7" s="67"/>
    </row>
    <row r="8" spans="2:5" ht="15.75">
      <c r="B8" s="239" t="s">
        <v>127</v>
      </c>
      <c r="C8" s="49">
        <v>285026</v>
      </c>
      <c r="D8" s="192">
        <f>inputOth!E53</f>
        <v>286370</v>
      </c>
      <c r="E8" s="192">
        <f>inputOth!E51</f>
        <v>291250</v>
      </c>
    </row>
    <row r="9" spans="2:5" ht="15.75">
      <c r="B9" s="239" t="s">
        <v>266</v>
      </c>
      <c r="C9" s="49"/>
      <c r="D9" s="192">
        <f>inputOth!E54</f>
        <v>0</v>
      </c>
      <c r="E9" s="192">
        <f>inputOth!E52</f>
        <v>0</v>
      </c>
    </row>
    <row r="10" spans="2:5" ht="15.75">
      <c r="B10" s="238"/>
      <c r="C10" s="49"/>
      <c r="D10" s="49"/>
      <c r="E10" s="49"/>
    </row>
    <row r="11" spans="2:5" ht="15.75">
      <c r="B11" s="238"/>
      <c r="C11" s="49"/>
      <c r="D11" s="49"/>
      <c r="E11" s="49"/>
    </row>
    <row r="12" spans="2:5" ht="15.75">
      <c r="B12" s="230" t="s">
        <v>32</v>
      </c>
      <c r="C12" s="49"/>
      <c r="D12" s="49"/>
      <c r="E12" s="49"/>
    </row>
    <row r="13" spans="2:5" ht="15.75">
      <c r="B13" s="138" t="s">
        <v>271</v>
      </c>
      <c r="C13" s="49"/>
      <c r="D13" s="49"/>
      <c r="E13" s="49"/>
    </row>
    <row r="14" spans="2:5" ht="15.75">
      <c r="B14" s="222" t="s">
        <v>794</v>
      </c>
      <c r="C14" s="369">
        <f>IF(C15*0.1&lt;C13,"Exceed 10% Rule","")</f>
      </c>
      <c r="D14" s="254">
        <f>IF(D15*0.1&lt;D13,"Exceed 10% Rule","")</f>
      </c>
      <c r="E14" s="254">
        <f>IF(E15*0.1&lt;E13,"Exceed 10% Rule","")</f>
      </c>
    </row>
    <row r="15" spans="2:5" ht="15.75">
      <c r="B15" s="232" t="s">
        <v>33</v>
      </c>
      <c r="C15" s="258">
        <f>SUM(C8:C13)</f>
        <v>285026</v>
      </c>
      <c r="D15" s="258">
        <f>SUM(D8:D13)</f>
        <v>286370</v>
      </c>
      <c r="E15" s="258">
        <f>SUM(E8:E13)</f>
        <v>291250</v>
      </c>
    </row>
    <row r="16" spans="2:5" ht="15.75">
      <c r="B16" s="232" t="s">
        <v>34</v>
      </c>
      <c r="C16" s="258">
        <f>C6+C15</f>
        <v>537652</v>
      </c>
      <c r="D16" s="258">
        <f>D6+D15</f>
        <v>448514</v>
      </c>
      <c r="E16" s="258">
        <f>E6+E15</f>
        <v>348886</v>
      </c>
    </row>
    <row r="17" spans="2:5" ht="15.75">
      <c r="B17" s="130" t="s">
        <v>36</v>
      </c>
      <c r="C17" s="192"/>
      <c r="D17" s="192"/>
      <c r="E17" s="192"/>
    </row>
    <row r="18" spans="2:5" ht="15.75">
      <c r="B18" s="238" t="s">
        <v>1034</v>
      </c>
      <c r="C18" s="49">
        <v>342062</v>
      </c>
      <c r="D18" s="49">
        <v>325878</v>
      </c>
      <c r="E18" s="49">
        <v>283886</v>
      </c>
    </row>
    <row r="19" spans="2:5" ht="15.75">
      <c r="B19" s="238" t="s">
        <v>1024</v>
      </c>
      <c r="C19" s="49">
        <v>33446</v>
      </c>
      <c r="D19" s="49">
        <v>40000</v>
      </c>
      <c r="E19" s="49">
        <v>40000</v>
      </c>
    </row>
    <row r="20" spans="2:5" ht="15.75">
      <c r="B20" s="238"/>
      <c r="C20" s="49"/>
      <c r="D20" s="49"/>
      <c r="E20" s="49"/>
    </row>
    <row r="21" spans="2:5" ht="15.75">
      <c r="B21" s="238"/>
      <c r="C21" s="49"/>
      <c r="D21" s="49"/>
      <c r="E21" s="49"/>
    </row>
    <row r="22" spans="2:5" ht="15.75">
      <c r="B22" s="238"/>
      <c r="C22" s="49"/>
      <c r="D22" s="49"/>
      <c r="E22" s="49"/>
    </row>
    <row r="23" spans="2:5" ht="15.75">
      <c r="B23" s="238"/>
      <c r="C23" s="49"/>
      <c r="D23" s="49"/>
      <c r="E23" s="49"/>
    </row>
    <row r="24" spans="2:5" ht="15.75">
      <c r="B24" s="238"/>
      <c r="C24" s="49"/>
      <c r="D24" s="49"/>
      <c r="E24" s="49"/>
    </row>
    <row r="25" spans="2:5" ht="15.75">
      <c r="B25" s="238"/>
      <c r="C25" s="49"/>
      <c r="D25" s="49"/>
      <c r="E25" s="49"/>
    </row>
    <row r="26" spans="2:5" ht="15.75">
      <c r="B26" s="239" t="s">
        <v>271</v>
      </c>
      <c r="C26" s="49"/>
      <c r="D26" s="49">
        <v>25000</v>
      </c>
      <c r="E26" s="49">
        <v>25000</v>
      </c>
    </row>
    <row r="27" spans="2:5" ht="15.75">
      <c r="B27" s="239" t="s">
        <v>795</v>
      </c>
      <c r="C27" s="369">
        <f>IF(C28*0.1&lt;C26,"Exceed 10% Rule","")</f>
      </c>
      <c r="D27" s="254">
        <f>IF(D28*0.1&lt;D26,"Exceed 10% Rule","")</f>
      </c>
      <c r="E27" s="254">
        <f>IF(E28*0.1&lt;E26,"Exceed 10% Rule","")</f>
      </c>
    </row>
    <row r="28" spans="2:5" ht="15.75">
      <c r="B28" s="232" t="s">
        <v>40</v>
      </c>
      <c r="C28" s="258">
        <f>SUM(C18:C26)</f>
        <v>375508</v>
      </c>
      <c r="D28" s="258">
        <f>SUM(D18:D26)</f>
        <v>390878</v>
      </c>
      <c r="E28" s="258">
        <f>SUM(E18:E26)</f>
        <v>348886</v>
      </c>
    </row>
    <row r="29" spans="2:5" ht="15.75">
      <c r="B29" s="130" t="s">
        <v>148</v>
      </c>
      <c r="C29" s="192">
        <f>C16-C28</f>
        <v>162144</v>
      </c>
      <c r="D29" s="192">
        <f>D16-D28</f>
        <v>57636</v>
      </c>
      <c r="E29" s="192">
        <f>E16-E28</f>
        <v>0</v>
      </c>
    </row>
    <row r="30" spans="2:5" ht="15.75">
      <c r="B30" s="118" t="str">
        <f>CONCATENATE("",$E$1-2,"/",$E$1-1," Budget Authority Amount:")</f>
        <v>2012/2013 Budget Authority Amount:</v>
      </c>
      <c r="C30" s="182">
        <f>inputOth!B74</f>
        <v>453401</v>
      </c>
      <c r="D30" s="182">
        <f>inputPrYr!D34</f>
        <v>390878</v>
      </c>
      <c r="E30" s="411">
        <f>IF(E29&lt;0,"See Tab E","")</f>
      </c>
    </row>
    <row r="31" spans="2:5" ht="15.75">
      <c r="B31" s="118"/>
      <c r="C31" s="243">
        <f>IF(C28&gt;C30,"See Tab A","")</f>
      </c>
      <c r="D31" s="243">
        <f>IF(D28&gt;D30,"See Tab C","")</f>
      </c>
      <c r="E31" s="50"/>
    </row>
    <row r="32" spans="2:5" ht="15.75">
      <c r="B32" s="118"/>
      <c r="C32" s="243">
        <f>IF(C29&lt;0,"See Tab B","")</f>
      </c>
      <c r="D32" s="243">
        <f>IF(D29&lt;0,"See Tab D","")</f>
      </c>
      <c r="E32" s="50"/>
    </row>
    <row r="33" spans="2:5" ht="15.75">
      <c r="B33" s="21"/>
      <c r="C33" s="50"/>
      <c r="D33" s="50"/>
      <c r="E33" s="50"/>
    </row>
    <row r="34" spans="2:5" ht="15.75">
      <c r="B34" s="28" t="s">
        <v>24</v>
      </c>
      <c r="C34" s="263"/>
      <c r="D34" s="263"/>
      <c r="E34" s="263"/>
    </row>
    <row r="35" spans="2:5" ht="15.75">
      <c r="B35" s="21"/>
      <c r="C35" s="246" t="str">
        <f aca="true" t="shared" si="0" ref="C35:E36">C4</f>
        <v>Prior Year </v>
      </c>
      <c r="D35" s="124" t="str">
        <f t="shared" si="0"/>
        <v>Current Year</v>
      </c>
      <c r="E35" s="124" t="str">
        <f t="shared" si="0"/>
        <v>Proposed Budget</v>
      </c>
    </row>
    <row r="36" spans="2:5" ht="15.75">
      <c r="B36" s="367" t="str">
        <f>(inputPrYr!B35)</f>
        <v>Special Alcohol</v>
      </c>
      <c r="C36" s="221" t="str">
        <f t="shared" si="0"/>
        <v>Actual for 2012</v>
      </c>
      <c r="D36" s="221" t="str">
        <f t="shared" si="0"/>
        <v>Estimate for 2013</v>
      </c>
      <c r="E36" s="221" t="str">
        <f t="shared" si="0"/>
        <v>Year for 2014</v>
      </c>
    </row>
    <row r="37" spans="2:5" ht="15.75">
      <c r="B37" s="222" t="s">
        <v>147</v>
      </c>
      <c r="C37" s="49">
        <v>4983</v>
      </c>
      <c r="D37" s="192">
        <f>C60</f>
        <v>8786</v>
      </c>
      <c r="E37" s="192">
        <f>D60</f>
        <v>7275</v>
      </c>
    </row>
    <row r="38" spans="2:5" ht="15.75">
      <c r="B38" s="222" t="s">
        <v>149</v>
      </c>
      <c r="C38" s="67"/>
      <c r="D38" s="67"/>
      <c r="E38" s="67"/>
    </row>
    <row r="39" spans="2:5" ht="15.75">
      <c r="B39" s="238" t="s">
        <v>1035</v>
      </c>
      <c r="C39" s="49">
        <v>24775</v>
      </c>
      <c r="D39" s="49">
        <v>21333</v>
      </c>
      <c r="E39" s="49">
        <v>23000</v>
      </c>
    </row>
    <row r="40" spans="2:5" ht="15.75">
      <c r="B40" s="238"/>
      <c r="C40" s="49"/>
      <c r="D40" s="49"/>
      <c r="E40" s="49"/>
    </row>
    <row r="41" spans="2:5" ht="15.75">
      <c r="B41" s="238"/>
      <c r="C41" s="49"/>
      <c r="D41" s="49"/>
      <c r="E41" s="49"/>
    </row>
    <row r="42" spans="2:5" ht="15.75">
      <c r="B42" s="238"/>
      <c r="C42" s="49"/>
      <c r="D42" s="49"/>
      <c r="E42" s="49"/>
    </row>
    <row r="43" spans="2:5" ht="15.75">
      <c r="B43" s="230" t="s">
        <v>32</v>
      </c>
      <c r="C43" s="49"/>
      <c r="D43" s="49"/>
      <c r="E43" s="49"/>
    </row>
    <row r="44" spans="2:5" ht="15.75">
      <c r="B44" s="138" t="s">
        <v>271</v>
      </c>
      <c r="C44" s="49"/>
      <c r="D44" s="49"/>
      <c r="E44" s="49"/>
    </row>
    <row r="45" spans="2:5" ht="15.75">
      <c r="B45" s="222" t="s">
        <v>794</v>
      </c>
      <c r="C45" s="369">
        <f>IF(C46*0.1&lt;C44,"Exceed 10% Rule","")</f>
      </c>
      <c r="D45" s="254">
        <f>IF(D46*0.1&lt;D44,"Exceed 10% Rule","")</f>
      </c>
      <c r="E45" s="254">
        <f>IF(E46*0.1&lt;E44,"Exceed 10% Rule","")</f>
      </c>
    </row>
    <row r="46" spans="2:5" ht="15.75">
      <c r="B46" s="232" t="s">
        <v>33</v>
      </c>
      <c r="C46" s="258">
        <f>SUM(C39:C44)</f>
        <v>24775</v>
      </c>
      <c r="D46" s="258">
        <f>SUM(D39:D44)</f>
        <v>21333</v>
      </c>
      <c r="E46" s="258">
        <f>SUM(E39:E44)</f>
        <v>23000</v>
      </c>
    </row>
    <row r="47" spans="2:5" ht="15.75">
      <c r="B47" s="232" t="s">
        <v>34</v>
      </c>
      <c r="C47" s="258">
        <f>C37+C46</f>
        <v>29758</v>
      </c>
      <c r="D47" s="258">
        <f>D37+D46</f>
        <v>30119</v>
      </c>
      <c r="E47" s="258">
        <f>E37+E46</f>
        <v>30275</v>
      </c>
    </row>
    <row r="48" spans="2:5" ht="15.75">
      <c r="B48" s="130" t="s">
        <v>36</v>
      </c>
      <c r="C48" s="192"/>
      <c r="D48" s="192"/>
      <c r="E48" s="192"/>
    </row>
    <row r="49" spans="2:5" ht="15.75">
      <c r="B49" s="238" t="s">
        <v>1036</v>
      </c>
      <c r="C49" s="49">
        <v>20972</v>
      </c>
      <c r="D49" s="49">
        <v>22844</v>
      </c>
      <c r="E49" s="49">
        <v>30275</v>
      </c>
    </row>
    <row r="50" spans="2:5" ht="15.75">
      <c r="B50" s="238"/>
      <c r="C50" s="49"/>
      <c r="D50" s="49"/>
      <c r="E50" s="49"/>
    </row>
    <row r="51" spans="2:5" ht="15.75">
      <c r="B51" s="238"/>
      <c r="C51" s="49"/>
      <c r="D51" s="49"/>
      <c r="E51" s="49"/>
    </row>
    <row r="52" spans="2:5" ht="15.75">
      <c r="B52" s="238"/>
      <c r="C52" s="49"/>
      <c r="D52" s="49"/>
      <c r="E52" s="49"/>
    </row>
    <row r="53" spans="2:5" ht="15.75">
      <c r="B53" s="238"/>
      <c r="C53" s="49"/>
      <c r="D53" s="49"/>
      <c r="E53" s="49"/>
    </row>
    <row r="54" spans="2:5" ht="15.75">
      <c r="B54" s="238"/>
      <c r="C54" s="49"/>
      <c r="D54" s="49"/>
      <c r="E54" s="49"/>
    </row>
    <row r="55" spans="2:5" ht="15.75">
      <c r="B55" s="238"/>
      <c r="C55" s="49"/>
      <c r="D55" s="49"/>
      <c r="E55" s="49"/>
    </row>
    <row r="56" spans="2:5" ht="15.75">
      <c r="B56" s="238"/>
      <c r="C56" s="49"/>
      <c r="D56" s="49"/>
      <c r="E56" s="49"/>
    </row>
    <row r="57" spans="2:5" ht="15.75">
      <c r="B57" s="239" t="s">
        <v>271</v>
      </c>
      <c r="C57" s="49"/>
      <c r="D57" s="49"/>
      <c r="E57" s="49"/>
    </row>
    <row r="58" spans="2:5" ht="15.75">
      <c r="B58" s="239" t="s">
        <v>795</v>
      </c>
      <c r="C58" s="369">
        <f>IF(C59*0.1&lt;C57,"Exceed 10% Rule","")</f>
      </c>
      <c r="D58" s="254">
        <f>IF(D59*0.1&lt;D57,"Exceed 10% Rule","")</f>
      </c>
      <c r="E58" s="254">
        <f>IF(E59*0.1&lt;E57,"Exceed 10% Rule","")</f>
      </c>
    </row>
    <row r="59" spans="2:5" ht="15.75">
      <c r="B59" s="232" t="s">
        <v>40</v>
      </c>
      <c r="C59" s="258">
        <f>SUM(C49:C57)</f>
        <v>20972</v>
      </c>
      <c r="D59" s="258">
        <f>SUM(D49:D57)</f>
        <v>22844</v>
      </c>
      <c r="E59" s="258">
        <f>SUM(E49:E57)</f>
        <v>30275</v>
      </c>
    </row>
    <row r="60" spans="2:5" ht="15.75">
      <c r="B60" s="130" t="s">
        <v>148</v>
      </c>
      <c r="C60" s="192">
        <f>C47-C59</f>
        <v>8786</v>
      </c>
      <c r="D60" s="192">
        <f>D47-D59</f>
        <v>7275</v>
      </c>
      <c r="E60" s="192">
        <f>E47-E59</f>
        <v>0</v>
      </c>
    </row>
    <row r="61" spans="2:5" ht="15.75">
      <c r="B61" s="118" t="str">
        <f>CONCATENATE("",$E$1-2,"/",$E$1-1," Budget Authority Amount:")</f>
        <v>2012/2013 Budget Authority Amount:</v>
      </c>
      <c r="C61" s="182">
        <f>inputOth!B75</f>
        <v>20972</v>
      </c>
      <c r="D61" s="182">
        <f>inputPrYr!D35</f>
        <v>22844</v>
      </c>
      <c r="E61" s="411">
        <f>IF(E60&lt;0,"See Tab E","")</f>
      </c>
    </row>
    <row r="62" spans="2:5" ht="15.75">
      <c r="B62" s="118"/>
      <c r="C62" s="243">
        <f>IF(C59&gt;C61,"See Tab A","")</f>
      </c>
      <c r="D62" s="243">
        <f>IF(D59&gt;D61,"See Tab C","")</f>
      </c>
      <c r="E62" s="21"/>
    </row>
    <row r="63" spans="2:5" ht="15.75">
      <c r="B63" s="118"/>
      <c r="C63" s="243">
        <f>IF(C60&lt;0,"See Tab B","")</f>
      </c>
      <c r="D63" s="243">
        <f>IF(D60&lt;0,"See Tab D","")</f>
      </c>
      <c r="E63" s="21"/>
    </row>
    <row r="64" spans="2:5" ht="15.75">
      <c r="B64" s="21"/>
      <c r="C64" s="21"/>
      <c r="D64" s="21"/>
      <c r="E64" s="21"/>
    </row>
    <row r="65" spans="2:5" ht="15.75">
      <c r="B65" s="118" t="s">
        <v>43</v>
      </c>
      <c r="C65" s="249">
        <v>9</v>
      </c>
      <c r="D65" s="21"/>
      <c r="E65" s="21"/>
    </row>
  </sheetData>
  <sheetProtection sheet="1"/>
  <conditionalFormatting sqref="C44">
    <cfRule type="cellIs" priority="3" dxfId="248" operator="greaterThan" stopIfTrue="1">
      <formula>$C$46*0.1</formula>
    </cfRule>
  </conditionalFormatting>
  <conditionalFormatting sqref="D44">
    <cfRule type="cellIs" priority="4" dxfId="248" operator="greaterThan" stopIfTrue="1">
      <formula>$D$46*0.1</formula>
    </cfRule>
  </conditionalFormatting>
  <conditionalFormatting sqref="E44">
    <cfRule type="cellIs" priority="5" dxfId="248" operator="greaterThan" stopIfTrue="1">
      <formula>$E$46*0.1</formula>
    </cfRule>
  </conditionalFormatting>
  <conditionalFormatting sqref="C57">
    <cfRule type="cellIs" priority="6" dxfId="248" operator="greaterThan" stopIfTrue="1">
      <formula>$C$59*0.1</formula>
    </cfRule>
  </conditionalFormatting>
  <conditionalFormatting sqref="D57">
    <cfRule type="cellIs" priority="7" dxfId="248" operator="greaterThan" stopIfTrue="1">
      <formula>$D$59*0.1</formula>
    </cfRule>
  </conditionalFormatting>
  <conditionalFormatting sqref="E57">
    <cfRule type="cellIs" priority="8" dxfId="248" operator="greaterThan" stopIfTrue="1">
      <formula>$E$59*0.1</formula>
    </cfRule>
  </conditionalFormatting>
  <conditionalFormatting sqref="C13">
    <cfRule type="cellIs" priority="9" dxfId="248" operator="greaterThan" stopIfTrue="1">
      <formula>$C$15*0.1</formula>
    </cfRule>
  </conditionalFormatting>
  <conditionalFormatting sqref="D13">
    <cfRule type="cellIs" priority="10" dxfId="248" operator="greaterThan" stopIfTrue="1">
      <formula>$D$15*0.1</formula>
    </cfRule>
  </conditionalFormatting>
  <conditionalFormatting sqref="E13">
    <cfRule type="cellIs" priority="11" dxfId="248" operator="greaterThan" stopIfTrue="1">
      <formula>$E$15*0.1</formula>
    </cfRule>
  </conditionalFormatting>
  <conditionalFormatting sqref="C26">
    <cfRule type="cellIs" priority="12" dxfId="248" operator="greaterThan" stopIfTrue="1">
      <formula>$C$28*0.1</formula>
    </cfRule>
  </conditionalFormatting>
  <conditionalFormatting sqref="D26">
    <cfRule type="cellIs" priority="13" dxfId="248" operator="greaterThan" stopIfTrue="1">
      <formula>$D$28*0.1</formula>
    </cfRule>
  </conditionalFormatting>
  <conditionalFormatting sqref="E26">
    <cfRule type="cellIs" priority="14" dxfId="248"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9">
      <selection activeCell="C66" sqref="C66"/>
    </sheetView>
  </sheetViews>
  <sheetFormatPr defaultColWidth="8.796875" defaultRowHeight="15"/>
  <cols>
    <col min="1" max="1" width="2.3984375" style="22" customWidth="1"/>
    <col min="2" max="2" width="31.09765625" style="22" customWidth="1"/>
    <col min="3" max="4" width="15.796875" style="22" customWidth="1"/>
    <col min="5" max="5" width="16.19921875" style="22" customWidth="1"/>
    <col min="6"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93</v>
      </c>
      <c r="C3" s="257"/>
      <c r="D3" s="257"/>
      <c r="E3" s="257"/>
    </row>
    <row r="4" spans="2:5" ht="15.75">
      <c r="B4" s="28" t="s">
        <v>24</v>
      </c>
      <c r="C4" s="660" t="s">
        <v>811</v>
      </c>
      <c r="D4" s="661" t="s">
        <v>812</v>
      </c>
      <c r="E4" s="124" t="s">
        <v>813</v>
      </c>
    </row>
    <row r="5" spans="2:5" ht="15.75">
      <c r="B5" s="368" t="str">
        <f>(inputPrYr!B36)</f>
        <v>Special Parks &amp; Recreation</v>
      </c>
      <c r="C5" s="351" t="str">
        <f>CONCATENATE("Actual for ",E1-2,"")</f>
        <v>Actual for 2012</v>
      </c>
      <c r="D5" s="351" t="str">
        <f>CONCATENATE("Estimate for ",E1-1,"")</f>
        <v>Estimate for 2013</v>
      </c>
      <c r="E5" s="221" t="str">
        <f>CONCATENATE("Year for ",E1,"")</f>
        <v>Year for 2014</v>
      </c>
    </row>
    <row r="6" spans="2:5" ht="15.75">
      <c r="B6" s="222" t="s">
        <v>147</v>
      </c>
      <c r="C6" s="49">
        <v>8744</v>
      </c>
      <c r="D6" s="192">
        <f>C29</f>
        <v>9064</v>
      </c>
      <c r="E6" s="192">
        <f>D29</f>
        <v>7553</v>
      </c>
    </row>
    <row r="7" spans="2:5" ht="15.75">
      <c r="B7" s="225" t="s">
        <v>149</v>
      </c>
      <c r="C7" s="67"/>
      <c r="D7" s="67"/>
      <c r="E7" s="67"/>
    </row>
    <row r="8" spans="2:5" ht="15.75">
      <c r="B8" s="238" t="s">
        <v>1035</v>
      </c>
      <c r="C8" s="49">
        <v>24775</v>
      </c>
      <c r="D8" s="49">
        <v>21333</v>
      </c>
      <c r="E8" s="49">
        <v>23000</v>
      </c>
    </row>
    <row r="9" spans="2:5" ht="15.75">
      <c r="B9" s="238"/>
      <c r="C9" s="49"/>
      <c r="D9" s="49"/>
      <c r="E9" s="49"/>
    </row>
    <row r="10" spans="2:5" ht="15.75">
      <c r="B10" s="238"/>
      <c r="C10" s="49"/>
      <c r="D10" s="49"/>
      <c r="E10" s="49"/>
    </row>
    <row r="11" spans="2:5" ht="15.75">
      <c r="B11" s="238"/>
      <c r="C11" s="49"/>
      <c r="D11" s="49"/>
      <c r="E11" s="49"/>
    </row>
    <row r="12" spans="2:5" ht="15.75">
      <c r="B12" s="230" t="s">
        <v>32</v>
      </c>
      <c r="C12" s="49"/>
      <c r="D12" s="49"/>
      <c r="E12" s="49"/>
    </row>
    <row r="13" spans="2:5" ht="15.75">
      <c r="B13" s="138" t="s">
        <v>271</v>
      </c>
      <c r="C13" s="49"/>
      <c r="D13" s="224"/>
      <c r="E13" s="224"/>
    </row>
    <row r="14" spans="2:5" ht="15.75">
      <c r="B14" s="222" t="s">
        <v>794</v>
      </c>
      <c r="C14" s="369">
        <f>IF(C15*0.1&lt;C13,"Exceed 10% Rule","")</f>
      </c>
      <c r="D14" s="254">
        <f>IF(D15*0.1&lt;D13,"Exceed 10% Rule","")</f>
      </c>
      <c r="E14" s="254">
        <f>IF(E15*0.1&lt;E13,"Exceed 10% Rule","")</f>
      </c>
    </row>
    <row r="15" spans="2:5" ht="15.75">
      <c r="B15" s="232" t="s">
        <v>33</v>
      </c>
      <c r="C15" s="258">
        <f>SUM(C8:C13)</f>
        <v>24775</v>
      </c>
      <c r="D15" s="258">
        <f>SUM(D8:D13)</f>
        <v>21333</v>
      </c>
      <c r="E15" s="258">
        <f>SUM(E8:E13)</f>
        <v>23000</v>
      </c>
    </row>
    <row r="16" spans="2:5" ht="15.75">
      <c r="B16" s="232" t="s">
        <v>34</v>
      </c>
      <c r="C16" s="258">
        <f>C6+C15</f>
        <v>33519</v>
      </c>
      <c r="D16" s="258">
        <f>D6+D15</f>
        <v>30397</v>
      </c>
      <c r="E16" s="258">
        <f>E6+E15</f>
        <v>30553</v>
      </c>
    </row>
    <row r="17" spans="2:5" ht="15.75">
      <c r="B17" s="130" t="s">
        <v>36</v>
      </c>
      <c r="C17" s="192"/>
      <c r="D17" s="192"/>
      <c r="E17" s="192"/>
    </row>
    <row r="18" spans="2:5" ht="15.75">
      <c r="B18" s="238" t="s">
        <v>1026</v>
      </c>
      <c r="C18" s="49">
        <v>24455</v>
      </c>
      <c r="D18" s="49">
        <v>22844</v>
      </c>
      <c r="E18" s="49">
        <v>30553</v>
      </c>
    </row>
    <row r="19" spans="2:5" ht="15.75">
      <c r="B19" s="238"/>
      <c r="C19" s="49"/>
      <c r="D19" s="49"/>
      <c r="E19" s="49"/>
    </row>
    <row r="20" spans="2:5" ht="15.75">
      <c r="B20" s="238"/>
      <c r="C20" s="49"/>
      <c r="D20" s="49"/>
      <c r="E20" s="49"/>
    </row>
    <row r="21" spans="2:5" ht="15.75">
      <c r="B21" s="238"/>
      <c r="C21" s="49"/>
      <c r="D21" s="49"/>
      <c r="E21" s="49"/>
    </row>
    <row r="22" spans="2:5" ht="15.75">
      <c r="B22" s="238"/>
      <c r="C22" s="49"/>
      <c r="D22" s="49"/>
      <c r="E22" s="49"/>
    </row>
    <row r="23" spans="2:5" ht="15.75">
      <c r="B23" s="238"/>
      <c r="C23" s="49"/>
      <c r="D23" s="49"/>
      <c r="E23" s="49"/>
    </row>
    <row r="24" spans="2:5" ht="15.75">
      <c r="B24" s="238"/>
      <c r="C24" s="49"/>
      <c r="D24" s="49"/>
      <c r="E24" s="49"/>
    </row>
    <row r="25" spans="2:5" ht="15.75">
      <c r="B25" s="238"/>
      <c r="C25" s="49"/>
      <c r="D25" s="49"/>
      <c r="E25" s="49"/>
    </row>
    <row r="26" spans="2:5" ht="15.75">
      <c r="B26" s="239" t="s">
        <v>271</v>
      </c>
      <c r="C26" s="49"/>
      <c r="D26" s="224"/>
      <c r="E26" s="224"/>
    </row>
    <row r="27" spans="2:5" ht="15.75">
      <c r="B27" s="239" t="s">
        <v>795</v>
      </c>
      <c r="C27" s="369">
        <f>IF(C28*0.1&lt;C26,"Exceed 10% Rule","")</f>
      </c>
      <c r="D27" s="254">
        <f>IF(D28*0.1&lt;D26,"Exceed 10% Rule","")</f>
      </c>
      <c r="E27" s="254">
        <f>IF(E28*0.1&lt;E26,"Exceed 10% Rule","")</f>
      </c>
    </row>
    <row r="28" spans="2:5" ht="15.75">
      <c r="B28" s="232" t="s">
        <v>40</v>
      </c>
      <c r="C28" s="258">
        <f>SUM(C18:C26)</f>
        <v>24455</v>
      </c>
      <c r="D28" s="258">
        <f>SUM(D18:D26)</f>
        <v>22844</v>
      </c>
      <c r="E28" s="258">
        <f>SUM(E18:E26)</f>
        <v>30553</v>
      </c>
    </row>
    <row r="29" spans="2:5" ht="15.75">
      <c r="B29" s="130" t="s">
        <v>148</v>
      </c>
      <c r="C29" s="192">
        <f>C16-C28</f>
        <v>9064</v>
      </c>
      <c r="D29" s="192">
        <f>D16-D28</f>
        <v>7553</v>
      </c>
      <c r="E29" s="192">
        <f>E16-E28</f>
        <v>0</v>
      </c>
    </row>
    <row r="30" spans="2:5" ht="15.75">
      <c r="B30" s="118" t="str">
        <f>CONCATENATE("",$E$1-2,"/",$E$1-1," Budget Authority Amount:")</f>
        <v>2012/2013 Budget Authority Amount:</v>
      </c>
      <c r="C30" s="182">
        <f>inputOth!B76</f>
        <v>24733</v>
      </c>
      <c r="D30" s="182">
        <f>inputPrYr!D36</f>
        <v>22844</v>
      </c>
      <c r="E30" s="411">
        <f>IF(E29&lt;0,"See Tab E","")</f>
      </c>
    </row>
    <row r="31" spans="2:5" ht="15.75">
      <c r="B31" s="118"/>
      <c r="C31" s="243">
        <f>IF(C28&gt;C30,"See Tab A","")</f>
      </c>
      <c r="D31" s="243">
        <f>IF(D28&gt;D30,"See Tab C","")</f>
      </c>
      <c r="E31" s="50"/>
    </row>
    <row r="32" spans="2:5" ht="15.75">
      <c r="B32" s="118"/>
      <c r="C32" s="243">
        <f>IF(C29&lt;0,"See Tab B","")</f>
      </c>
      <c r="D32" s="243">
        <f>IF(D29&lt;0,"See Tab D","")</f>
      </c>
      <c r="E32" s="50"/>
    </row>
    <row r="33" spans="2:5" ht="15.75">
      <c r="B33" s="21"/>
      <c r="C33" s="50"/>
      <c r="D33" s="50"/>
      <c r="E33" s="50"/>
    </row>
    <row r="34" spans="2:5" ht="15.75">
      <c r="B34" s="28" t="s">
        <v>24</v>
      </c>
      <c r="C34" s="263"/>
      <c r="D34" s="263"/>
      <c r="E34" s="263"/>
    </row>
    <row r="35" spans="2:5" ht="15.75">
      <c r="B35" s="21"/>
      <c r="C35" s="246" t="str">
        <f aca="true" t="shared" si="0" ref="C35:E36">C4</f>
        <v>Prior Year </v>
      </c>
      <c r="D35" s="124" t="str">
        <f t="shared" si="0"/>
        <v>Current Year</v>
      </c>
      <c r="E35" s="124" t="str">
        <f t="shared" si="0"/>
        <v>Proposed Budget</v>
      </c>
    </row>
    <row r="36" spans="2:5" ht="15.75">
      <c r="B36" s="367" t="str">
        <f>(inputPrYr!B37)</f>
        <v>Risk Management Reserve</v>
      </c>
      <c r="C36" s="221" t="str">
        <f t="shared" si="0"/>
        <v>Actual for 2012</v>
      </c>
      <c r="D36" s="221" t="str">
        <f t="shared" si="0"/>
        <v>Estimate for 2013</v>
      </c>
      <c r="E36" s="221" t="str">
        <f t="shared" si="0"/>
        <v>Year for 2014</v>
      </c>
    </row>
    <row r="37" spans="2:5" ht="15.75">
      <c r="B37" s="222" t="s">
        <v>147</v>
      </c>
      <c r="C37" s="49">
        <v>838172</v>
      </c>
      <c r="D37" s="192">
        <f>C60</f>
        <v>971061</v>
      </c>
      <c r="E37" s="192">
        <f>D60</f>
        <v>957861</v>
      </c>
    </row>
    <row r="38" spans="2:5" ht="15.75">
      <c r="B38" s="222" t="s">
        <v>149</v>
      </c>
      <c r="C38" s="67"/>
      <c r="D38" s="67"/>
      <c r="E38" s="67"/>
    </row>
    <row r="39" spans="2:5" ht="15.75">
      <c r="B39" s="238" t="s">
        <v>1044</v>
      </c>
      <c r="C39" s="49">
        <v>150000</v>
      </c>
      <c r="D39" s="49"/>
      <c r="E39" s="49"/>
    </row>
    <row r="40" spans="2:5" ht="15.75">
      <c r="B40" s="238"/>
      <c r="C40" s="49"/>
      <c r="D40" s="49"/>
      <c r="E40" s="49"/>
    </row>
    <row r="41" spans="2:5" ht="15.75">
      <c r="B41" s="238"/>
      <c r="C41" s="49"/>
      <c r="D41" s="49"/>
      <c r="E41" s="49"/>
    </row>
    <row r="42" spans="2:5" ht="15.75">
      <c r="B42" s="238"/>
      <c r="C42" s="49"/>
      <c r="D42" s="49"/>
      <c r="E42" s="49"/>
    </row>
    <row r="43" spans="2:5" ht="15.75">
      <c r="B43" s="230" t="s">
        <v>32</v>
      </c>
      <c r="C43" s="49">
        <v>1257</v>
      </c>
      <c r="D43" s="49">
        <v>1800</v>
      </c>
      <c r="E43" s="49">
        <v>1800</v>
      </c>
    </row>
    <row r="44" spans="2:5" ht="15.75">
      <c r="B44" s="138" t="s">
        <v>271</v>
      </c>
      <c r="C44" s="49"/>
      <c r="D44" s="49"/>
      <c r="E44" s="49"/>
    </row>
    <row r="45" spans="2:5" ht="15.75">
      <c r="B45" s="222" t="s">
        <v>794</v>
      </c>
      <c r="C45" s="369">
        <f>IF(C46*0.1&lt;C44,"Exceed 10% Rule","")</f>
      </c>
      <c r="D45" s="254">
        <f>IF(D46*0.1&lt;D44,"Exceed 10% Rule","")</f>
      </c>
      <c r="E45" s="254">
        <f>IF(E46*0.1&lt;E44,"Exceed 10% Rule","")</f>
      </c>
    </row>
    <row r="46" spans="2:5" ht="15.75">
      <c r="B46" s="232" t="s">
        <v>33</v>
      </c>
      <c r="C46" s="258">
        <f>SUM(C39:C44)</f>
        <v>151257</v>
      </c>
      <c r="D46" s="258">
        <f>SUM(D39:D44)</f>
        <v>1800</v>
      </c>
      <c r="E46" s="258">
        <f>SUM(E39:E44)</f>
        <v>1800</v>
      </c>
    </row>
    <row r="47" spans="2:5" ht="15.75">
      <c r="B47" s="232" t="s">
        <v>34</v>
      </c>
      <c r="C47" s="258">
        <f>C37+C46</f>
        <v>989429</v>
      </c>
      <c r="D47" s="258">
        <f>D37+D46</f>
        <v>972861</v>
      </c>
      <c r="E47" s="258">
        <f>E37+E46</f>
        <v>959661</v>
      </c>
    </row>
    <row r="48" spans="2:5" ht="15.75">
      <c r="B48" s="130" t="s">
        <v>36</v>
      </c>
      <c r="C48" s="192"/>
      <c r="D48" s="192"/>
      <c r="E48" s="192"/>
    </row>
    <row r="49" spans="2:5" ht="15.75">
      <c r="B49" s="238" t="s">
        <v>1042</v>
      </c>
      <c r="C49" s="49">
        <v>2400</v>
      </c>
      <c r="D49" s="49">
        <v>15000</v>
      </c>
      <c r="E49" s="49">
        <v>15000</v>
      </c>
    </row>
    <row r="50" spans="2:5" ht="15.75">
      <c r="B50" s="238" t="s">
        <v>1043</v>
      </c>
      <c r="C50" s="49">
        <v>15968</v>
      </c>
      <c r="D50" s="49"/>
      <c r="E50" s="49">
        <v>914661</v>
      </c>
    </row>
    <row r="51" spans="2:5" ht="15.75">
      <c r="B51" s="238" t="s">
        <v>1045</v>
      </c>
      <c r="C51" s="49"/>
      <c r="D51" s="49"/>
      <c r="E51" s="49">
        <v>30000</v>
      </c>
    </row>
    <row r="52" spans="2:5" ht="15.75">
      <c r="B52" s="238"/>
      <c r="C52" s="49"/>
      <c r="D52" s="49"/>
      <c r="E52" s="49"/>
    </row>
    <row r="53" spans="2:5" ht="15.75">
      <c r="B53" s="238"/>
      <c r="C53" s="49"/>
      <c r="D53" s="49"/>
      <c r="E53" s="49"/>
    </row>
    <row r="54" spans="2:5" ht="15.75">
      <c r="B54" s="238"/>
      <c r="C54" s="49"/>
      <c r="D54" s="49"/>
      <c r="E54" s="49"/>
    </row>
    <row r="55" spans="2:5" ht="15.75">
      <c r="B55" s="238"/>
      <c r="C55" s="49"/>
      <c r="D55" s="49"/>
      <c r="E55" s="49"/>
    </row>
    <row r="56" spans="2:5" ht="15.75">
      <c r="B56" s="238"/>
      <c r="C56" s="49"/>
      <c r="D56" s="49"/>
      <c r="E56" s="49"/>
    </row>
    <row r="57" spans="2:5" ht="15.75">
      <c r="B57" s="239" t="s">
        <v>271</v>
      </c>
      <c r="C57" s="49"/>
      <c r="D57" s="224"/>
      <c r="E57" s="224"/>
    </row>
    <row r="58" spans="2:5" ht="15.75">
      <c r="B58" s="239" t="s">
        <v>795</v>
      </c>
      <c r="C58" s="369">
        <f>IF(C59*0.1&lt;C57,"Exceed 10% Rule","")</f>
      </c>
      <c r="D58" s="254">
        <f>IF(D59*0.1&lt;D57,"Exceed 10% Rule","")</f>
      </c>
      <c r="E58" s="254">
        <f>IF(E59*0.1&lt;E57,"Exceed 10% Rule","")</f>
      </c>
    </row>
    <row r="59" spans="2:5" ht="15.75">
      <c r="B59" s="232" t="s">
        <v>40</v>
      </c>
      <c r="C59" s="258">
        <f>SUM(C49:C57)</f>
        <v>18368</v>
      </c>
      <c r="D59" s="258">
        <f>SUM(D49:D57)</f>
        <v>15000</v>
      </c>
      <c r="E59" s="258">
        <f>SUM(E49:E57)</f>
        <v>959661</v>
      </c>
    </row>
    <row r="60" spans="2:5" ht="15.75">
      <c r="B60" s="130" t="s">
        <v>148</v>
      </c>
      <c r="C60" s="192">
        <f>C47-C59</f>
        <v>971061</v>
      </c>
      <c r="D60" s="192">
        <f>D47-D59</f>
        <v>957861</v>
      </c>
      <c r="E60" s="192">
        <f>E47-E59</f>
        <v>0</v>
      </c>
    </row>
    <row r="61" spans="2:5" ht="15.75">
      <c r="B61" s="118" t="str">
        <f>CONCATENATE("",$E$1-2,"/",$E$1-1," Budget Authority Amount:")</f>
        <v>2012/2013 Budget Authority Amount:</v>
      </c>
      <c r="C61" s="182">
        <f>inputOth!B77</f>
        <v>838388</v>
      </c>
      <c r="D61" s="182">
        <f>inputPrYr!D37</f>
        <v>826972</v>
      </c>
      <c r="E61" s="411">
        <f>IF(E60&lt;0,"See Tab E","")</f>
      </c>
    </row>
    <row r="62" spans="2:5" ht="15.75">
      <c r="B62" s="118"/>
      <c r="C62" s="243">
        <f>IF(C59&gt;C61,"See Tab A","")</f>
      </c>
      <c r="D62" s="243">
        <f>IF(D59&gt;D61,"See Tab C","")</f>
      </c>
      <c r="E62" s="21"/>
    </row>
    <row r="63" spans="2:5" ht="15.75">
      <c r="B63" s="118"/>
      <c r="C63" s="243">
        <f>IF(C60&lt;0,"See Tab B","")</f>
      </c>
      <c r="D63" s="243">
        <f>IF(D60&lt;0,"See Tab D","")</f>
      </c>
      <c r="E63" s="21"/>
    </row>
    <row r="64" spans="2:5" ht="15.75">
      <c r="B64" s="21"/>
      <c r="C64" s="21"/>
      <c r="D64" s="21"/>
      <c r="E64" s="21"/>
    </row>
    <row r="65" spans="2:5" ht="15.75">
      <c r="B65" s="118" t="s">
        <v>43</v>
      </c>
      <c r="C65" s="249">
        <v>10</v>
      </c>
      <c r="D65" s="21"/>
      <c r="E65" s="21"/>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2">
      <selection activeCell="C66" sqref="C66"/>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93</v>
      </c>
      <c r="C3" s="257"/>
      <c r="D3" s="257"/>
      <c r="E3" s="257"/>
    </row>
    <row r="4" spans="2:5" ht="15.75">
      <c r="B4" s="28" t="s">
        <v>24</v>
      </c>
      <c r="C4" s="660" t="s">
        <v>811</v>
      </c>
      <c r="D4" s="661" t="s">
        <v>812</v>
      </c>
      <c r="E4" s="124" t="s">
        <v>813</v>
      </c>
    </row>
    <row r="5" spans="2:5" ht="15.75">
      <c r="B5" s="368" t="str">
        <f>(inputPrYr!B38)</f>
        <v>Equipment Reserve</v>
      </c>
      <c r="C5" s="351" t="str">
        <f>CONCATENATE("Actual for ",E1-2,"")</f>
        <v>Actual for 2012</v>
      </c>
      <c r="D5" s="351" t="str">
        <f>CONCATENATE("Estimate for ",E1-1,"")</f>
        <v>Estimate for 2013</v>
      </c>
      <c r="E5" s="221" t="str">
        <f>CONCATENATE("Year for ",E1,"")</f>
        <v>Year for 2014</v>
      </c>
    </row>
    <row r="6" spans="2:5" ht="15.75">
      <c r="B6" s="222" t="s">
        <v>147</v>
      </c>
      <c r="C6" s="49">
        <v>907039</v>
      </c>
      <c r="D6" s="192">
        <f>C29</f>
        <v>981483</v>
      </c>
      <c r="E6" s="192">
        <f>D29</f>
        <v>968938</v>
      </c>
    </row>
    <row r="7" spans="2:5" ht="15.75">
      <c r="B7" s="225" t="s">
        <v>149</v>
      </c>
      <c r="C7" s="67"/>
      <c r="D7" s="67"/>
      <c r="E7" s="67"/>
    </row>
    <row r="8" spans="2:5" ht="15.75">
      <c r="B8" s="238" t="s">
        <v>1046</v>
      </c>
      <c r="C8" s="49">
        <v>450000</v>
      </c>
      <c r="D8" s="49">
        <v>550000</v>
      </c>
      <c r="E8" s="49">
        <v>550000</v>
      </c>
    </row>
    <row r="9" spans="2:5" ht="15.75">
      <c r="B9" s="238" t="s">
        <v>1047</v>
      </c>
      <c r="C9" s="49">
        <v>45280</v>
      </c>
      <c r="D9" s="49">
        <v>20000</v>
      </c>
      <c r="E9" s="49">
        <v>20000</v>
      </c>
    </row>
    <row r="10" spans="2:5" ht="15.75">
      <c r="B10" s="238" t="s">
        <v>1044</v>
      </c>
      <c r="C10" s="49">
        <v>112414</v>
      </c>
      <c r="D10" s="49"/>
      <c r="E10" s="49"/>
    </row>
    <row r="11" spans="2:5" ht="15.75">
      <c r="B11" s="238"/>
      <c r="C11" s="49"/>
      <c r="D11" s="49"/>
      <c r="E11" s="49"/>
    </row>
    <row r="12" spans="2:5" ht="15.75">
      <c r="B12" s="230" t="s">
        <v>32</v>
      </c>
      <c r="C12" s="49">
        <v>4292</v>
      </c>
      <c r="D12" s="49">
        <v>5000</v>
      </c>
      <c r="E12" s="49">
        <v>5000</v>
      </c>
    </row>
    <row r="13" spans="2:5" ht="15.75">
      <c r="B13" s="138" t="s">
        <v>271</v>
      </c>
      <c r="C13" s="49"/>
      <c r="D13" s="224"/>
      <c r="E13" s="224"/>
    </row>
    <row r="14" spans="2:5" ht="15.75">
      <c r="B14" s="222" t="s">
        <v>794</v>
      </c>
      <c r="C14" s="369">
        <f>IF(C15*0.1&lt;C13,"Exceed 10% Rule","")</f>
      </c>
      <c r="D14" s="254">
        <f>IF(D15*0.1&lt;D13,"Exceed 10% Rule","")</f>
      </c>
      <c r="E14" s="254">
        <f>IF(E15*0.1&lt;E13,"Exceed 10% Rule","")</f>
      </c>
    </row>
    <row r="15" spans="2:5" ht="15.75">
      <c r="B15" s="232" t="s">
        <v>33</v>
      </c>
      <c r="C15" s="258">
        <f>SUM(C8:C13)</f>
        <v>611986</v>
      </c>
      <c r="D15" s="258">
        <f>SUM(D8:D13)</f>
        <v>575000</v>
      </c>
      <c r="E15" s="258">
        <f>SUM(E8:E13)</f>
        <v>575000</v>
      </c>
    </row>
    <row r="16" spans="2:5" ht="15.75">
      <c r="B16" s="232" t="s">
        <v>34</v>
      </c>
      <c r="C16" s="258">
        <f>C6+C15</f>
        <v>1519025</v>
      </c>
      <c r="D16" s="258">
        <f>D6+D15</f>
        <v>1556483</v>
      </c>
      <c r="E16" s="258">
        <f>E6+E15</f>
        <v>1543938</v>
      </c>
    </row>
    <row r="17" spans="2:5" ht="15.75">
      <c r="B17" s="130" t="s">
        <v>36</v>
      </c>
      <c r="C17" s="192"/>
      <c r="D17" s="192"/>
      <c r="E17" s="192"/>
    </row>
    <row r="18" spans="2:5" ht="15.75">
      <c r="B18" s="238" t="s">
        <v>1026</v>
      </c>
      <c r="C18" s="49">
        <v>537542</v>
      </c>
      <c r="D18" s="49">
        <v>551745</v>
      </c>
      <c r="E18" s="49">
        <v>500300</v>
      </c>
    </row>
    <row r="19" spans="2:5" ht="15.75">
      <c r="B19" s="238" t="s">
        <v>1049</v>
      </c>
      <c r="C19" s="49"/>
      <c r="D19" s="49"/>
      <c r="E19" s="49">
        <v>45000</v>
      </c>
    </row>
    <row r="20" spans="2:5" ht="15.75">
      <c r="B20" s="238" t="s">
        <v>1050</v>
      </c>
      <c r="C20" s="49"/>
      <c r="D20" s="49"/>
      <c r="E20" s="49">
        <v>15000</v>
      </c>
    </row>
    <row r="21" spans="2:5" ht="15.75">
      <c r="B21" s="238" t="s">
        <v>1051</v>
      </c>
      <c r="C21" s="49"/>
      <c r="D21" s="49">
        <v>35800</v>
      </c>
      <c r="E21" s="49">
        <v>983638</v>
      </c>
    </row>
    <row r="22" spans="2:5" ht="15.75">
      <c r="B22" s="238"/>
      <c r="C22" s="49"/>
      <c r="D22" s="49"/>
      <c r="E22" s="49"/>
    </row>
    <row r="23" spans="2:5" ht="15.75">
      <c r="B23" s="238"/>
      <c r="C23" s="49"/>
      <c r="D23" s="49"/>
      <c r="E23" s="49"/>
    </row>
    <row r="24" spans="2:5" ht="15.75">
      <c r="B24" s="238"/>
      <c r="C24" s="49"/>
      <c r="D24" s="49"/>
      <c r="E24" s="49"/>
    </row>
    <row r="25" spans="2:5" ht="15.75">
      <c r="B25" s="238"/>
      <c r="C25" s="49"/>
      <c r="D25" s="49"/>
      <c r="E25" s="49"/>
    </row>
    <row r="26" spans="2:5" ht="15.75">
      <c r="B26" s="239" t="s">
        <v>271</v>
      </c>
      <c r="C26" s="49"/>
      <c r="D26" s="224"/>
      <c r="E26" s="224"/>
    </row>
    <row r="27" spans="2:5" ht="15.75">
      <c r="B27" s="239" t="s">
        <v>795</v>
      </c>
      <c r="C27" s="369">
        <f>IF(C28*0.1&lt;C26,"Exceed 10% Rule","")</f>
      </c>
      <c r="D27" s="254">
        <f>IF(D28*0.1&lt;D26,"Exceed 10% Rule","")</f>
      </c>
      <c r="E27" s="254">
        <f>IF(E28*0.1&lt;E26,"Exceed 10% Rule","")</f>
      </c>
    </row>
    <row r="28" spans="2:5" ht="15.75">
      <c r="B28" s="232" t="s">
        <v>40</v>
      </c>
      <c r="C28" s="258">
        <f>SUM(C18:C26)</f>
        <v>537542</v>
      </c>
      <c r="D28" s="258">
        <f>SUM(D18:D26)</f>
        <v>587545</v>
      </c>
      <c r="E28" s="258">
        <f>SUM(E18:E26)</f>
        <v>1543938</v>
      </c>
    </row>
    <row r="29" spans="2:5" ht="15.75">
      <c r="B29" s="130" t="s">
        <v>148</v>
      </c>
      <c r="C29" s="192">
        <f>C16-C28</f>
        <v>981483</v>
      </c>
      <c r="D29" s="192">
        <f>D16-D28</f>
        <v>968938</v>
      </c>
      <c r="E29" s="192">
        <f>E16-E28</f>
        <v>0</v>
      </c>
    </row>
    <row r="30" spans="2:5" ht="15.75">
      <c r="B30" s="118" t="str">
        <f>CONCATENATE("",E1-2,"/",E1-1," Budget Authority Amount:")</f>
        <v>2012/2013 Budget Authority Amount:</v>
      </c>
      <c r="C30" s="182">
        <f>inputOth!B78</f>
        <v>1359384</v>
      </c>
      <c r="D30" s="182">
        <f>inputPrYr!D38</f>
        <v>1406970</v>
      </c>
      <c r="E30" s="411">
        <f>IF(E29&lt;0,"See Tab E","")</f>
      </c>
    </row>
    <row r="31" spans="2:5" ht="15.75">
      <c r="B31" s="118"/>
      <c r="C31" s="243">
        <f>IF(C28&gt;C30,"See Tab A","")</f>
      </c>
      <c r="D31" s="243">
        <f>IF(D28&gt;D30,"See Tab C","")</f>
      </c>
      <c r="E31" s="50"/>
    </row>
    <row r="32" spans="2:5" ht="15.75">
      <c r="B32" s="118"/>
      <c r="C32" s="243">
        <f>IF(C29&lt;0,"See Tab B","")</f>
      </c>
      <c r="D32" s="243">
        <f>IF(D29&lt;0,"See Tab D","")</f>
      </c>
      <c r="E32" s="50"/>
    </row>
    <row r="33" spans="2:5" ht="15.75">
      <c r="B33" s="21"/>
      <c r="C33" s="50"/>
      <c r="D33" s="50"/>
      <c r="E33" s="50"/>
    </row>
    <row r="34" spans="2:5" ht="15.75">
      <c r="B34" s="28" t="s">
        <v>24</v>
      </c>
      <c r="C34" s="263"/>
      <c r="D34" s="263"/>
      <c r="E34" s="263"/>
    </row>
    <row r="35" spans="2:5" ht="15.75">
      <c r="B35" s="21"/>
      <c r="C35" s="246" t="str">
        <f aca="true" t="shared" si="0" ref="C35:E36">C4</f>
        <v>Prior Year </v>
      </c>
      <c r="D35" s="124" t="str">
        <f t="shared" si="0"/>
        <v>Current Year</v>
      </c>
      <c r="E35" s="124" t="str">
        <f t="shared" si="0"/>
        <v>Proposed Budget</v>
      </c>
    </row>
    <row r="36" spans="2:5" ht="15.75">
      <c r="B36" s="367">
        <f>(inputPrYr!B39)</f>
        <v>0</v>
      </c>
      <c r="C36" s="221" t="str">
        <f t="shared" si="0"/>
        <v>Actual for 2012</v>
      </c>
      <c r="D36" s="221" t="str">
        <f t="shared" si="0"/>
        <v>Estimate for 2013</v>
      </c>
      <c r="E36" s="221" t="str">
        <f t="shared" si="0"/>
        <v>Year for 2014</v>
      </c>
    </row>
    <row r="37" spans="2:5" ht="15.75">
      <c r="B37" s="222" t="s">
        <v>147</v>
      </c>
      <c r="C37" s="49"/>
      <c r="D37" s="192">
        <f>C60</f>
        <v>0</v>
      </c>
      <c r="E37" s="192">
        <f>D60</f>
        <v>0</v>
      </c>
    </row>
    <row r="38" spans="2:5" ht="15.75">
      <c r="B38" s="222" t="s">
        <v>149</v>
      </c>
      <c r="C38" s="67"/>
      <c r="D38" s="67"/>
      <c r="E38" s="67"/>
    </row>
    <row r="39" spans="2:5" ht="15.75">
      <c r="B39" s="238"/>
      <c r="C39" s="49"/>
      <c r="D39" s="49"/>
      <c r="E39" s="49"/>
    </row>
    <row r="40" spans="2:5" ht="15.75">
      <c r="B40" s="238"/>
      <c r="C40" s="49"/>
      <c r="D40" s="49"/>
      <c r="E40" s="49"/>
    </row>
    <row r="41" spans="2:5" ht="15.75">
      <c r="B41" s="238"/>
      <c r="C41" s="49"/>
      <c r="D41" s="49"/>
      <c r="E41" s="49"/>
    </row>
    <row r="42" spans="2:5" ht="15.75">
      <c r="B42" s="238"/>
      <c r="C42" s="49"/>
      <c r="D42" s="49"/>
      <c r="E42" s="49"/>
    </row>
    <row r="43" spans="2:5" ht="15.75">
      <c r="B43" s="230"/>
      <c r="C43" s="49"/>
      <c r="D43" s="49"/>
      <c r="E43" s="49"/>
    </row>
    <row r="44" spans="2:5" ht="15.75">
      <c r="B44" s="138" t="s">
        <v>271</v>
      </c>
      <c r="C44" s="49"/>
      <c r="D44" s="224"/>
      <c r="E44" s="224"/>
    </row>
    <row r="45" spans="2:5" ht="15.75">
      <c r="B45" s="222" t="s">
        <v>794</v>
      </c>
      <c r="C45" s="369">
        <f>IF(C46*0.1&lt;C44,"Exceed 10% Rule","")</f>
      </c>
      <c r="D45" s="254">
        <f>IF(D46*0.1&lt;D44,"Exceed 10% Rule","")</f>
      </c>
      <c r="E45" s="254">
        <f>IF(E46*0.1&lt;E44,"Exceed 10% Rule","")</f>
      </c>
    </row>
    <row r="46" spans="2:5" ht="15.75">
      <c r="B46" s="232" t="s">
        <v>33</v>
      </c>
      <c r="C46" s="258">
        <f>SUM(C39:C44)</f>
        <v>0</v>
      </c>
      <c r="D46" s="258">
        <f>SUM(D39:D44)</f>
        <v>0</v>
      </c>
      <c r="E46" s="258">
        <f>SUM(E39:E44)</f>
        <v>0</v>
      </c>
    </row>
    <row r="47" spans="2:5" ht="15.75">
      <c r="B47" s="232" t="s">
        <v>34</v>
      </c>
      <c r="C47" s="258">
        <f>C37+C46</f>
        <v>0</v>
      </c>
      <c r="D47" s="258">
        <f>D37+D46</f>
        <v>0</v>
      </c>
      <c r="E47" s="258">
        <f>E37+E46</f>
        <v>0</v>
      </c>
    </row>
    <row r="48" spans="2:5" ht="15.75">
      <c r="B48" s="130" t="s">
        <v>36</v>
      </c>
      <c r="C48" s="192"/>
      <c r="D48" s="192"/>
      <c r="E48" s="192"/>
    </row>
    <row r="49" spans="2:5" ht="15.75">
      <c r="B49" s="238"/>
      <c r="C49" s="49"/>
      <c r="D49" s="49"/>
      <c r="E49" s="49"/>
    </row>
    <row r="50" spans="2:5" ht="15.75">
      <c r="B50" s="238"/>
      <c r="C50" s="49"/>
      <c r="D50" s="49"/>
      <c r="E50" s="49"/>
    </row>
    <row r="51" spans="2:5" ht="15.75">
      <c r="B51" s="238"/>
      <c r="C51" s="49"/>
      <c r="D51" s="49"/>
      <c r="E51" s="49"/>
    </row>
    <row r="52" spans="2:5" ht="15.75">
      <c r="B52" s="238"/>
      <c r="C52" s="49"/>
      <c r="D52" s="49"/>
      <c r="E52" s="49"/>
    </row>
    <row r="53" spans="2:5" ht="15.75">
      <c r="B53" s="238"/>
      <c r="C53" s="49"/>
      <c r="D53" s="49"/>
      <c r="E53" s="49"/>
    </row>
    <row r="54" spans="2:5" ht="15.75">
      <c r="B54" s="238"/>
      <c r="C54" s="49"/>
      <c r="D54" s="49"/>
      <c r="E54" s="49"/>
    </row>
    <row r="55" spans="2:5" ht="15.75">
      <c r="B55" s="238"/>
      <c r="C55" s="49"/>
      <c r="D55" s="49"/>
      <c r="E55" s="49"/>
    </row>
    <row r="56" spans="2:5" ht="15.75">
      <c r="B56" s="238"/>
      <c r="C56" s="49"/>
      <c r="D56" s="49"/>
      <c r="E56" s="49"/>
    </row>
    <row r="57" spans="2:5" ht="15.75">
      <c r="B57" s="239" t="s">
        <v>271</v>
      </c>
      <c r="C57" s="49"/>
      <c r="D57" s="224"/>
      <c r="E57" s="224"/>
    </row>
    <row r="58" spans="2:5" ht="15.75">
      <c r="B58" s="239" t="s">
        <v>795</v>
      </c>
      <c r="C58" s="369">
        <f>IF(C59*0.1&lt;C57,"Exceed 10% Rule","")</f>
      </c>
      <c r="D58" s="254">
        <f>IF(D59*0.1&lt;D57,"Exceed 10% Rule","")</f>
      </c>
      <c r="E58" s="254">
        <f>IF(E59*0.1&lt;E57,"Exceed 10% Rule","")</f>
      </c>
    </row>
    <row r="59" spans="2:5" ht="15.75">
      <c r="B59" s="232" t="s">
        <v>40</v>
      </c>
      <c r="C59" s="258">
        <f>SUM(C49:C57)</f>
        <v>0</v>
      </c>
      <c r="D59" s="258">
        <f>SUM(D49:D57)</f>
        <v>0</v>
      </c>
      <c r="E59" s="258">
        <f>SUM(E49:E57)</f>
        <v>0</v>
      </c>
    </row>
    <row r="60" spans="2:5" ht="15.75">
      <c r="B60" s="130" t="s">
        <v>148</v>
      </c>
      <c r="C60" s="192">
        <f>C47-C59</f>
        <v>0</v>
      </c>
      <c r="D60" s="192">
        <f>D47-D59</f>
        <v>0</v>
      </c>
      <c r="E60" s="192">
        <f>E47-E59</f>
        <v>0</v>
      </c>
    </row>
    <row r="61" spans="2:5" ht="15.75">
      <c r="B61" s="118" t="str">
        <f>CONCATENATE("",E1-2,"/",E1-1," Budget Authority Amount:")</f>
        <v>2012/2013 Budget Authority Amount:</v>
      </c>
      <c r="C61" s="182">
        <f>inputOth!B79</f>
        <v>0</v>
      </c>
      <c r="D61" s="182">
        <f>inputPrYr!D39</f>
        <v>0</v>
      </c>
      <c r="E61" s="411">
        <f>IF(E60&lt;0,"See Tab E","")</f>
      </c>
    </row>
    <row r="62" spans="2:5" ht="15.75">
      <c r="B62" s="118"/>
      <c r="C62" s="243">
        <f>IF(C59&gt;C61,"See Tab A","")</f>
      </c>
      <c r="D62" s="243">
        <f>IF(D59&gt;D61,"See Tab C","")</f>
      </c>
      <c r="E62" s="57"/>
    </row>
    <row r="63" spans="2:5" ht="15.75">
      <c r="B63" s="118"/>
      <c r="C63" s="243">
        <f>IF(C60&lt;0,"See Tab B","")</f>
      </c>
      <c r="D63" s="243">
        <f>IF(D60&lt;0,"See Tab D","")</f>
      </c>
      <c r="E63" s="57"/>
    </row>
    <row r="64" spans="2:5" ht="15.75">
      <c r="B64" s="21"/>
      <c r="C64" s="21"/>
      <c r="D64" s="21"/>
      <c r="E64" s="21"/>
    </row>
    <row r="65" spans="2:5" ht="15.75">
      <c r="B65" s="118" t="s">
        <v>43</v>
      </c>
      <c r="C65" s="249">
        <v>11</v>
      </c>
      <c r="D65" s="21"/>
      <c r="E65" s="21"/>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23" sqref="C23:E24"/>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16384" width="8.8984375" style="22" customWidth="1"/>
  </cols>
  <sheetData>
    <row r="1" spans="2:5" ht="15.75">
      <c r="B1" s="150" t="str">
        <f>(inputPrYr!D2)</f>
        <v>City of Merriam</v>
      </c>
      <c r="C1" s="21"/>
      <c r="D1" s="21"/>
      <c r="E1" s="211">
        <f>inputPrYr!C5</f>
        <v>2014</v>
      </c>
    </row>
    <row r="2" spans="2:5" ht="15.75">
      <c r="B2" s="21"/>
      <c r="C2" s="21"/>
      <c r="D2" s="21"/>
      <c r="E2" s="146"/>
    </row>
    <row r="3" spans="2:5" ht="15.75">
      <c r="B3" s="40" t="s">
        <v>93</v>
      </c>
      <c r="C3" s="257"/>
      <c r="D3" s="257"/>
      <c r="E3" s="257"/>
    </row>
    <row r="4" spans="2:5" ht="15.75">
      <c r="B4" s="28" t="s">
        <v>24</v>
      </c>
      <c r="C4" s="660" t="s">
        <v>811</v>
      </c>
      <c r="D4" s="661" t="s">
        <v>812</v>
      </c>
      <c r="E4" s="124" t="s">
        <v>813</v>
      </c>
    </row>
    <row r="5" spans="2:5" ht="15.75">
      <c r="B5" s="368">
        <f>inputPrYr!B40</f>
        <v>0</v>
      </c>
      <c r="C5" s="351" t="str">
        <f>CONCATENATE("Actual for ",E1-2,"")</f>
        <v>Actual for 2012</v>
      </c>
      <c r="D5" s="351" t="str">
        <f>CONCATENATE("Estimate for ",E1-1,"")</f>
        <v>Estimate for 2013</v>
      </c>
      <c r="E5" s="221" t="str">
        <f>CONCATENATE("Year for ",E1,"")</f>
        <v>Year for 2014</v>
      </c>
    </row>
    <row r="6" spans="2:5" ht="15.75">
      <c r="B6" s="222" t="s">
        <v>147</v>
      </c>
      <c r="C6" s="49"/>
      <c r="D6" s="192">
        <f>C29</f>
        <v>0</v>
      </c>
      <c r="E6" s="192">
        <f>D29</f>
        <v>0</v>
      </c>
    </row>
    <row r="7" spans="2:5" ht="15.75">
      <c r="B7" s="225" t="s">
        <v>149</v>
      </c>
      <c r="C7" s="67"/>
      <c r="D7" s="67"/>
      <c r="E7" s="67"/>
    </row>
    <row r="8" spans="2:5" ht="15.75">
      <c r="B8" s="238"/>
      <c r="C8" s="49"/>
      <c r="D8" s="49"/>
      <c r="E8" s="49"/>
    </row>
    <row r="9" spans="2:5" ht="15.75">
      <c r="B9" s="238"/>
      <c r="C9" s="49"/>
      <c r="D9" s="49"/>
      <c r="E9" s="49"/>
    </row>
    <row r="10" spans="2:5" ht="15.75">
      <c r="B10" s="238"/>
      <c r="C10" s="49"/>
      <c r="D10" s="49"/>
      <c r="E10" s="49"/>
    </row>
    <row r="11" spans="2:5" ht="15.75">
      <c r="B11" s="238"/>
      <c r="C11" s="49"/>
      <c r="D11" s="49"/>
      <c r="E11" s="49"/>
    </row>
    <row r="12" spans="2:5" ht="15.75">
      <c r="B12" s="230" t="s">
        <v>32</v>
      </c>
      <c r="C12" s="49"/>
      <c r="D12" s="49"/>
      <c r="E12" s="49"/>
    </row>
    <row r="13" spans="2:5" ht="15.75">
      <c r="B13" s="138" t="s">
        <v>271</v>
      </c>
      <c r="C13" s="49"/>
      <c r="D13" s="224"/>
      <c r="E13" s="224"/>
    </row>
    <row r="14" spans="2:5" ht="15.75">
      <c r="B14" s="222" t="s">
        <v>794</v>
      </c>
      <c r="C14" s="369">
        <f>IF(C15*0.1&lt;C13,"Exceed 10% Rule","")</f>
      </c>
      <c r="D14" s="254">
        <f>IF(D15*0.1&lt;D13,"Exceed 10% Rule","")</f>
      </c>
      <c r="E14" s="254">
        <f>IF(E15*0.1&lt;E13,"Exceed 10% Rule","")</f>
      </c>
    </row>
    <row r="15" spans="2:5" ht="15.75">
      <c r="B15" s="232" t="s">
        <v>33</v>
      </c>
      <c r="C15" s="258">
        <f>SUM(C8:C13)</f>
        <v>0</v>
      </c>
      <c r="D15" s="258">
        <f>SUM(D8:D13)</f>
        <v>0</v>
      </c>
      <c r="E15" s="258">
        <f>SUM(E8:E13)</f>
        <v>0</v>
      </c>
    </row>
    <row r="16" spans="2:5" ht="15.75">
      <c r="B16" s="232" t="s">
        <v>34</v>
      </c>
      <c r="C16" s="258">
        <f>C6+C15</f>
        <v>0</v>
      </c>
      <c r="D16" s="258">
        <f>D6+D15</f>
        <v>0</v>
      </c>
      <c r="E16" s="258">
        <f>E6+E15</f>
        <v>0</v>
      </c>
    </row>
    <row r="17" spans="2:5" ht="15.75">
      <c r="B17" s="130" t="s">
        <v>36</v>
      </c>
      <c r="C17" s="192"/>
      <c r="D17" s="192"/>
      <c r="E17" s="192"/>
    </row>
    <row r="18" spans="2:5" ht="15.75">
      <c r="B18" s="238"/>
      <c r="C18" s="49"/>
      <c r="D18" s="49"/>
      <c r="E18" s="49"/>
    </row>
    <row r="19" spans="2:5" ht="15.75">
      <c r="B19" s="238"/>
      <c r="C19" s="49"/>
      <c r="D19" s="49"/>
      <c r="E19" s="49"/>
    </row>
    <row r="20" spans="2:5" ht="15.75">
      <c r="B20" s="238"/>
      <c r="C20" s="49"/>
      <c r="D20" s="49"/>
      <c r="E20" s="49"/>
    </row>
    <row r="21" spans="2:5" ht="15.75">
      <c r="B21" s="238"/>
      <c r="C21" s="49"/>
      <c r="D21" s="49"/>
      <c r="E21" s="49"/>
    </row>
    <row r="22" spans="2:5" ht="15.75">
      <c r="B22" s="238"/>
      <c r="C22" s="49"/>
      <c r="D22" s="49"/>
      <c r="E22" s="49"/>
    </row>
    <row r="23" spans="2:5" ht="15.75">
      <c r="B23" s="238"/>
      <c r="C23" s="49"/>
      <c r="D23" s="49"/>
      <c r="E23" s="49"/>
    </row>
    <row r="24" spans="2:5" ht="15.75">
      <c r="B24" s="238"/>
      <c r="C24" s="49"/>
      <c r="D24" s="49"/>
      <c r="E24" s="49"/>
    </row>
    <row r="25" spans="2:5" ht="15.75">
      <c r="B25" s="238"/>
      <c r="C25" s="49"/>
      <c r="D25" s="49"/>
      <c r="E25" s="49"/>
    </row>
    <row r="26" spans="2:5" ht="15.75">
      <c r="B26" s="239" t="s">
        <v>271</v>
      </c>
      <c r="C26" s="49"/>
      <c r="D26" s="224"/>
      <c r="E26" s="224"/>
    </row>
    <row r="27" spans="2:5" ht="15.75">
      <c r="B27" s="239" t="s">
        <v>795</v>
      </c>
      <c r="C27" s="369">
        <f>IF(C28*0.1&lt;C26,"Exceed 10% Rule","")</f>
      </c>
      <c r="D27" s="254">
        <f>IF(D28*0.1&lt;D26,"Exceed 10% Rule","")</f>
      </c>
      <c r="E27" s="254">
        <f>IF(E28*0.1&lt;E26,"Exceed 10% Rule","")</f>
      </c>
    </row>
    <row r="28" spans="2:5" ht="15.75">
      <c r="B28" s="232" t="s">
        <v>40</v>
      </c>
      <c r="C28" s="258">
        <f>SUM(C18:C26)</f>
        <v>0</v>
      </c>
      <c r="D28" s="258">
        <f>SUM(D18:D26)</f>
        <v>0</v>
      </c>
      <c r="E28" s="258">
        <f>SUM(E18:E26)</f>
        <v>0</v>
      </c>
    </row>
    <row r="29" spans="2:5" ht="15.75">
      <c r="B29" s="130" t="s">
        <v>148</v>
      </c>
      <c r="C29" s="192">
        <f>C16-C28</f>
        <v>0</v>
      </c>
      <c r="D29" s="192">
        <f>D16-D28</f>
        <v>0</v>
      </c>
      <c r="E29" s="192">
        <f>E16-E28</f>
        <v>0</v>
      </c>
    </row>
    <row r="30" spans="2:5" ht="15.75">
      <c r="B30" s="118" t="str">
        <f>CONCATENATE("",E1-2,"/",E1-1," Budget Authority Amount:")</f>
        <v>2012/2013 Budget Authority Amount:</v>
      </c>
      <c r="C30" s="182">
        <f>inputOth!B80</f>
        <v>0</v>
      </c>
      <c r="D30" s="182">
        <f>inputPrYr!D40</f>
        <v>0</v>
      </c>
      <c r="E30" s="411">
        <f>IF(E29&lt;0,"See Tab E","")</f>
      </c>
    </row>
    <row r="31" spans="2:5" ht="15.75">
      <c r="B31" s="118"/>
      <c r="C31" s="243">
        <f>IF(C28&gt;C30,"See Tab A","")</f>
      </c>
      <c r="D31" s="243">
        <f>IF(D28&gt;D30,"See Tab C","")</f>
      </c>
      <c r="E31" s="57"/>
    </row>
    <row r="32" spans="2:5" ht="15.75">
      <c r="B32" s="118"/>
      <c r="C32" s="243">
        <f>IF(C29&lt;0,"See Tab B","")</f>
      </c>
      <c r="D32" s="243">
        <f>IF(D29&lt;0,"See Tab D","")</f>
      </c>
      <c r="E32" s="57"/>
    </row>
    <row r="33" spans="2:5" ht="15.75">
      <c r="B33" s="60"/>
      <c r="C33" s="57"/>
      <c r="D33" s="57"/>
      <c r="E33" s="57"/>
    </row>
    <row r="34" spans="2:5" ht="15.75">
      <c r="B34" s="21"/>
      <c r="C34" s="50"/>
      <c r="D34" s="50"/>
      <c r="E34" s="50"/>
    </row>
    <row r="35" spans="2:5" ht="15.75">
      <c r="B35" s="28" t="s">
        <v>24</v>
      </c>
      <c r="C35" s="263"/>
      <c r="D35" s="263"/>
      <c r="E35" s="263"/>
    </row>
    <row r="36" spans="2:5" ht="15.75">
      <c r="B36" s="21"/>
      <c r="C36" s="246" t="str">
        <f aca="true" t="shared" si="0" ref="C36:E37">C4</f>
        <v>Prior Year </v>
      </c>
      <c r="D36" s="124" t="str">
        <f t="shared" si="0"/>
        <v>Current Year</v>
      </c>
      <c r="E36" s="124" t="str">
        <f t="shared" si="0"/>
        <v>Proposed Budget</v>
      </c>
    </row>
    <row r="37" spans="2:5" ht="15.75">
      <c r="B37" s="367">
        <f>inputPrYr!B41</f>
        <v>0</v>
      </c>
      <c r="C37" s="221" t="str">
        <f t="shared" si="0"/>
        <v>Actual for 2012</v>
      </c>
      <c r="D37" s="221" t="str">
        <f t="shared" si="0"/>
        <v>Estimate for 2013</v>
      </c>
      <c r="E37" s="221" t="str">
        <f t="shared" si="0"/>
        <v>Year for 2014</v>
      </c>
    </row>
    <row r="38" spans="2:5" ht="15.75">
      <c r="B38" s="222" t="s">
        <v>147</v>
      </c>
      <c r="C38" s="49"/>
      <c r="D38" s="192">
        <f>C61</f>
        <v>0</v>
      </c>
      <c r="E38" s="192">
        <f>D61</f>
        <v>0</v>
      </c>
    </row>
    <row r="39" spans="2:5" ht="15.75">
      <c r="B39" s="222" t="s">
        <v>149</v>
      </c>
      <c r="C39" s="67"/>
      <c r="D39" s="67"/>
      <c r="E39" s="67"/>
    </row>
    <row r="40" spans="2:5" ht="15.75">
      <c r="B40" s="238"/>
      <c r="C40" s="49"/>
      <c r="D40" s="49"/>
      <c r="E40" s="49"/>
    </row>
    <row r="41" spans="2:5" ht="15.75">
      <c r="B41" s="238"/>
      <c r="C41" s="49"/>
      <c r="D41" s="49"/>
      <c r="E41" s="49"/>
    </row>
    <row r="42" spans="2:5" ht="15.75">
      <c r="B42" s="238"/>
      <c r="C42" s="49"/>
      <c r="D42" s="49"/>
      <c r="E42" s="49"/>
    </row>
    <row r="43" spans="2:5" ht="15.75">
      <c r="B43" s="238"/>
      <c r="C43" s="49"/>
      <c r="D43" s="49"/>
      <c r="E43" s="49"/>
    </row>
    <row r="44" spans="2:5" ht="15.75">
      <c r="B44" s="230" t="s">
        <v>32</v>
      </c>
      <c r="C44" s="49"/>
      <c r="D44" s="49"/>
      <c r="E44" s="49"/>
    </row>
    <row r="45" spans="2:5" ht="15.75">
      <c r="B45" s="138" t="s">
        <v>271</v>
      </c>
      <c r="C45" s="49"/>
      <c r="D45" s="224"/>
      <c r="E45" s="224"/>
    </row>
    <row r="46" spans="2:5" ht="15.75">
      <c r="B46" s="222" t="s">
        <v>794</v>
      </c>
      <c r="C46" s="369">
        <f>IF(C47*0.1&lt;C45,"Exceed 10% Rule","")</f>
      </c>
      <c r="D46" s="254">
        <f>IF(D47*0.1&lt;D45,"Exceed 10% Rule","")</f>
      </c>
      <c r="E46" s="254">
        <f>IF(E47*0.1&lt;E45,"Exceed 10% Rule","")</f>
      </c>
    </row>
    <row r="47" spans="2:5" ht="15.75">
      <c r="B47" s="232" t="s">
        <v>33</v>
      </c>
      <c r="C47" s="258">
        <f>SUM(C40:C45)</f>
        <v>0</v>
      </c>
      <c r="D47" s="258">
        <f>SUM(D40:D45)</f>
        <v>0</v>
      </c>
      <c r="E47" s="258">
        <f>SUM(E40:E45)</f>
        <v>0</v>
      </c>
    </row>
    <row r="48" spans="2:5" ht="15.75">
      <c r="B48" s="232" t="s">
        <v>34</v>
      </c>
      <c r="C48" s="258">
        <f>C38+C47</f>
        <v>0</v>
      </c>
      <c r="D48" s="258">
        <f>D38+D47</f>
        <v>0</v>
      </c>
      <c r="E48" s="258">
        <f>E38+E47</f>
        <v>0</v>
      </c>
    </row>
    <row r="49" spans="2:5" ht="15.75">
      <c r="B49" s="130" t="s">
        <v>36</v>
      </c>
      <c r="C49" s="192"/>
      <c r="D49" s="192"/>
      <c r="E49" s="192"/>
    </row>
    <row r="50" spans="2:5" ht="15.75">
      <c r="B50" s="238"/>
      <c r="C50" s="49"/>
      <c r="D50" s="49"/>
      <c r="E50" s="49"/>
    </row>
    <row r="51" spans="2:5" ht="15.75">
      <c r="B51" s="238"/>
      <c r="C51" s="49"/>
      <c r="D51" s="49"/>
      <c r="E51" s="49"/>
    </row>
    <row r="52" spans="2:5" ht="15.75">
      <c r="B52" s="238"/>
      <c r="C52" s="49"/>
      <c r="D52" s="49"/>
      <c r="E52" s="49"/>
    </row>
    <row r="53" spans="2:5" ht="15.75">
      <c r="B53" s="238"/>
      <c r="C53" s="49"/>
      <c r="D53" s="49"/>
      <c r="E53" s="49"/>
    </row>
    <row r="54" spans="2:5" ht="15.75">
      <c r="B54" s="238"/>
      <c r="C54" s="49"/>
      <c r="D54" s="49"/>
      <c r="E54" s="49"/>
    </row>
    <row r="55" spans="2:5" ht="15.75">
      <c r="B55" s="238"/>
      <c r="C55" s="49"/>
      <c r="D55" s="49"/>
      <c r="E55" s="49"/>
    </row>
    <row r="56" spans="2:5" ht="15.75">
      <c r="B56" s="238"/>
      <c r="C56" s="49"/>
      <c r="D56" s="49"/>
      <c r="E56" s="49"/>
    </row>
    <row r="57" spans="2:5" ht="15.75">
      <c r="B57" s="238"/>
      <c r="C57" s="49"/>
      <c r="D57" s="49"/>
      <c r="E57" s="49"/>
    </row>
    <row r="58" spans="2:5" ht="15.75">
      <c r="B58" s="239" t="s">
        <v>271</v>
      </c>
      <c r="C58" s="49"/>
      <c r="D58" s="224"/>
      <c r="E58" s="224"/>
    </row>
    <row r="59" spans="2:5" ht="15.75">
      <c r="B59" s="239" t="s">
        <v>795</v>
      </c>
      <c r="C59" s="369">
        <f>IF(C60*0.1&lt;C58,"Exceed 10% Rule","")</f>
      </c>
      <c r="D59" s="254">
        <f>IF(D60*0.1&lt;D58,"Exceed 10% Rule","")</f>
      </c>
      <c r="E59" s="254">
        <f>IF(E60*0.1&lt;E58,"Exceed 10% Rule","")</f>
      </c>
    </row>
    <row r="60" spans="2:5" ht="15.75">
      <c r="B60" s="232" t="s">
        <v>40</v>
      </c>
      <c r="C60" s="258">
        <f>SUM(C50:C58)</f>
        <v>0</v>
      </c>
      <c r="D60" s="258">
        <f>SUM(D50:D58)</f>
        <v>0</v>
      </c>
      <c r="E60" s="258">
        <f>SUM(E50:E58)</f>
        <v>0</v>
      </c>
    </row>
    <row r="61" spans="2:5" ht="15.75">
      <c r="B61" s="130" t="s">
        <v>148</v>
      </c>
      <c r="C61" s="192">
        <f>C48-C60</f>
        <v>0</v>
      </c>
      <c r="D61" s="192">
        <f>D48-D60</f>
        <v>0</v>
      </c>
      <c r="E61" s="192">
        <f>E48-E60</f>
        <v>0</v>
      </c>
    </row>
    <row r="62" spans="2:5" ht="15.75">
      <c r="B62" s="118" t="str">
        <f>CONCATENATE("",E1-2,"/",E1-1," Budget Authority Amount:")</f>
        <v>2012/2013 Budget Authority Amount:</v>
      </c>
      <c r="C62" s="182">
        <f>inputOth!B81</f>
        <v>0</v>
      </c>
      <c r="D62" s="182">
        <f>inputPrYr!D41</f>
        <v>0</v>
      </c>
      <c r="E62" s="411">
        <f>IF(E61&lt;0,"See Tab E","")</f>
      </c>
    </row>
    <row r="63" spans="2:5" ht="15.75">
      <c r="B63" s="118"/>
      <c r="C63" s="243">
        <f>IF(C60&gt;C62,"See Tab A","")</f>
      </c>
      <c r="D63" s="243">
        <f>IF(D60&gt;D62,"See Tab C","")</f>
      </c>
      <c r="E63" s="57"/>
    </row>
    <row r="64" spans="2:5" ht="15.75">
      <c r="B64" s="118"/>
      <c r="C64" s="243">
        <f>IF(C61&lt;0,"See Tab B","")</f>
      </c>
      <c r="D64" s="243">
        <f>IF(D61&lt;0,"See Tab D","")</f>
      </c>
      <c r="E64" s="57"/>
    </row>
    <row r="65" spans="2:5" ht="15.75">
      <c r="B65" s="21"/>
      <c r="C65" s="21"/>
      <c r="D65" s="21"/>
      <c r="E65" s="21"/>
    </row>
    <row r="66" spans="2:5" ht="15.75">
      <c r="B66" s="118" t="s">
        <v>43</v>
      </c>
      <c r="C66" s="249"/>
      <c r="D66" s="21"/>
      <c r="E66" s="21"/>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5">
    <cfRule type="cellIs" priority="9" dxfId="248" operator="greaterThan" stopIfTrue="1">
      <formula>$C$47*0.1</formula>
    </cfRule>
  </conditionalFormatting>
  <conditionalFormatting sqref="D45">
    <cfRule type="cellIs" priority="10" dxfId="248" operator="greaterThan" stopIfTrue="1">
      <formula>$D$47*0.1</formula>
    </cfRule>
  </conditionalFormatting>
  <conditionalFormatting sqref="E45">
    <cfRule type="cellIs" priority="11" dxfId="248" operator="greaterThan" stopIfTrue="1">
      <formula>$E$47*0.1</formula>
    </cfRule>
  </conditionalFormatting>
  <conditionalFormatting sqref="C58">
    <cfRule type="cellIs" priority="12" dxfId="248" operator="greaterThan" stopIfTrue="1">
      <formula>$C$60*0.1</formula>
    </cfRule>
  </conditionalFormatting>
  <conditionalFormatting sqref="D58">
    <cfRule type="cellIs" priority="13" dxfId="248" operator="greaterThan" stopIfTrue="1">
      <formula>$D$60*0.1</formula>
    </cfRule>
  </conditionalFormatting>
  <conditionalFormatting sqref="E58">
    <cfRule type="cellIs" priority="14" dxfId="248"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4"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31">
      <selection activeCell="H52" sqref="H52"/>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150" t="str">
        <f>inputPrYr!D2</f>
        <v>City of Merriam</v>
      </c>
      <c r="C1" s="21"/>
      <c r="D1" s="21"/>
      <c r="E1" s="184">
        <f>inputPrYr!$C$5</f>
        <v>2014</v>
      </c>
    </row>
    <row r="2" spans="2:5" ht="15.75">
      <c r="B2" s="21"/>
      <c r="C2" s="21"/>
      <c r="D2" s="21"/>
      <c r="E2" s="146"/>
    </row>
    <row r="3" spans="2:5" ht="15.75">
      <c r="B3" s="40" t="s">
        <v>93</v>
      </c>
      <c r="C3" s="264"/>
      <c r="D3" s="264"/>
      <c r="E3" s="265"/>
    </row>
    <row r="4" spans="2:5" ht="15.75">
      <c r="B4" s="28" t="s">
        <v>24</v>
      </c>
      <c r="C4" s="660" t="s">
        <v>811</v>
      </c>
      <c r="D4" s="661" t="s">
        <v>812</v>
      </c>
      <c r="E4" s="124" t="s">
        <v>813</v>
      </c>
    </row>
    <row r="5" spans="2:5" ht="15.75">
      <c r="B5" s="368" t="str">
        <f>inputPrYr!B44</f>
        <v>Transient Guest Tax</v>
      </c>
      <c r="C5" s="351" t="str">
        <f>CONCATENATE("Actual for ",E1-2,"")</f>
        <v>Actual for 2012</v>
      </c>
      <c r="D5" s="351" t="str">
        <f>CONCATENATE("Estimate for ",E1-1,"")</f>
        <v>Estimate for 2013</v>
      </c>
      <c r="E5" s="221" t="str">
        <f>CONCATENATE("Year for ",E1,"")</f>
        <v>Year for 2014</v>
      </c>
    </row>
    <row r="6" spans="2:5" ht="15.75">
      <c r="B6" s="130" t="s">
        <v>147</v>
      </c>
      <c r="C6" s="49">
        <v>167103</v>
      </c>
      <c r="D6" s="192">
        <f>C48</f>
        <v>353432</v>
      </c>
      <c r="E6" s="192">
        <f>D48</f>
        <v>256866</v>
      </c>
    </row>
    <row r="7" spans="2:5" ht="15.75">
      <c r="B7" s="130" t="s">
        <v>149</v>
      </c>
      <c r="C7" s="67"/>
      <c r="D7" s="67"/>
      <c r="E7" s="67"/>
    </row>
    <row r="8" spans="2:5" ht="15.75">
      <c r="B8" s="238" t="s">
        <v>990</v>
      </c>
      <c r="C8" s="49">
        <v>417878</v>
      </c>
      <c r="D8" s="49">
        <v>350000</v>
      </c>
      <c r="E8" s="49">
        <v>405000</v>
      </c>
    </row>
    <row r="9" spans="2:5" ht="15.75">
      <c r="B9" s="238" t="s">
        <v>1037</v>
      </c>
      <c r="C9" s="49">
        <v>800</v>
      </c>
      <c r="D9" s="49"/>
      <c r="E9" s="49"/>
    </row>
    <row r="10" spans="2:5" ht="15.75">
      <c r="B10" s="238" t="s">
        <v>1038</v>
      </c>
      <c r="C10" s="49">
        <v>27830</v>
      </c>
      <c r="D10" s="49">
        <f>22767+1500</f>
        <v>24267</v>
      </c>
      <c r="E10" s="49">
        <f>29000+1500</f>
        <v>30500</v>
      </c>
    </row>
    <row r="11" spans="2:5" ht="15.75">
      <c r="B11" s="238" t="s">
        <v>1039</v>
      </c>
      <c r="C11" s="49">
        <v>11632</v>
      </c>
      <c r="D11" s="49">
        <v>14120</v>
      </c>
      <c r="E11" s="49">
        <v>13000</v>
      </c>
    </row>
    <row r="12" spans="2:5" ht="15.75">
      <c r="B12" s="238"/>
      <c r="C12" s="229"/>
      <c r="D12" s="229"/>
      <c r="E12" s="229"/>
    </row>
    <row r="13" spans="2:5" ht="15.75">
      <c r="B13" s="238"/>
      <c r="C13" s="229"/>
      <c r="D13" s="229"/>
      <c r="E13" s="229"/>
    </row>
    <row r="14" spans="2:5" ht="15.75">
      <c r="B14" s="261"/>
      <c r="C14" s="87"/>
      <c r="D14" s="87"/>
      <c r="E14" s="87"/>
    </row>
    <row r="15" spans="2:5" ht="15.75">
      <c r="B15" s="238"/>
      <c r="C15" s="229"/>
      <c r="D15" s="229"/>
      <c r="E15" s="229"/>
    </row>
    <row r="16" spans="2:5" ht="15.75">
      <c r="B16" s="266" t="s">
        <v>32</v>
      </c>
      <c r="C16" s="229"/>
      <c r="D16" s="229"/>
      <c r="E16" s="229"/>
    </row>
    <row r="17" spans="2:5" ht="15.75">
      <c r="B17" s="138" t="s">
        <v>271</v>
      </c>
      <c r="C17" s="229">
        <v>2763</v>
      </c>
      <c r="D17" s="227"/>
      <c r="E17" s="227"/>
    </row>
    <row r="18" spans="2:5" ht="15.75">
      <c r="B18" s="222" t="s">
        <v>794</v>
      </c>
      <c r="C18" s="369">
        <f>IF(C19*0.1&lt;C17,"Exceed 10% Rule","")</f>
      </c>
      <c r="D18" s="254">
        <f>IF(D19*0.1&lt;D17,"Exceed 10% Rule","")</f>
      </c>
      <c r="E18" s="254">
        <f>IF(E19*0.1&lt;E17,"Exceed 10% Rule","")</f>
      </c>
    </row>
    <row r="19" spans="2:5" ht="15.75">
      <c r="B19" s="232" t="s">
        <v>33</v>
      </c>
      <c r="C19" s="258">
        <f>SUM(C8:C17)</f>
        <v>460903</v>
      </c>
      <c r="D19" s="258">
        <f>SUM(D8:D17)</f>
        <v>388387</v>
      </c>
      <c r="E19" s="258">
        <f>SUM(E8:E17)</f>
        <v>448500</v>
      </c>
    </row>
    <row r="20" spans="2:5" ht="15.75">
      <c r="B20" s="232" t="s">
        <v>34</v>
      </c>
      <c r="C20" s="258">
        <f>C6+C19</f>
        <v>628006</v>
      </c>
      <c r="D20" s="258">
        <f>D6+D19</f>
        <v>741819</v>
      </c>
      <c r="E20" s="258">
        <f>E6+E19</f>
        <v>705366</v>
      </c>
    </row>
    <row r="21" spans="2:5" ht="15.75">
      <c r="B21" s="130" t="s">
        <v>36</v>
      </c>
      <c r="C21" s="67"/>
      <c r="D21" s="67"/>
      <c r="E21" s="67"/>
    </row>
    <row r="22" spans="2:5" ht="15.75">
      <c r="B22" s="238" t="s">
        <v>1065</v>
      </c>
      <c r="C22" s="229">
        <v>99877</v>
      </c>
      <c r="D22" s="229">
        <v>177289</v>
      </c>
      <c r="E22" s="229">
        <v>178629</v>
      </c>
    </row>
    <row r="23" spans="2:5" ht="15.75">
      <c r="B23" s="238" t="s">
        <v>281</v>
      </c>
      <c r="C23" s="229">
        <v>39644</v>
      </c>
      <c r="D23" s="229">
        <v>56196</v>
      </c>
      <c r="E23" s="229">
        <v>61935</v>
      </c>
    </row>
    <row r="24" spans="2:5" ht="15.75">
      <c r="B24" s="238" t="s">
        <v>1066</v>
      </c>
      <c r="C24" s="87">
        <v>54017</v>
      </c>
      <c r="D24" s="87">
        <v>70160</v>
      </c>
      <c r="E24" s="87">
        <v>164835</v>
      </c>
    </row>
    <row r="25" spans="2:5" ht="15.75">
      <c r="B25" s="238" t="s">
        <v>1024</v>
      </c>
      <c r="C25" s="87">
        <v>3215</v>
      </c>
      <c r="D25" s="87">
        <v>7910</v>
      </c>
      <c r="E25" s="87">
        <v>9325</v>
      </c>
    </row>
    <row r="26" spans="2:5" ht="15.75">
      <c r="B26" s="238" t="s">
        <v>1067</v>
      </c>
      <c r="C26" s="87">
        <v>57039</v>
      </c>
      <c r="D26" s="87">
        <v>63398</v>
      </c>
      <c r="E26" s="87">
        <v>69070</v>
      </c>
    </row>
    <row r="27" spans="2:5" ht="15.75">
      <c r="B27" s="238" t="s">
        <v>1040</v>
      </c>
      <c r="C27" s="87">
        <v>17344</v>
      </c>
      <c r="D27" s="87">
        <v>100000</v>
      </c>
      <c r="E27" s="87">
        <v>75000</v>
      </c>
    </row>
    <row r="28" spans="2:5" ht="15.75">
      <c r="B28" s="238" t="s">
        <v>1041</v>
      </c>
      <c r="C28" s="87"/>
      <c r="D28" s="87"/>
      <c r="E28" s="87">
        <f>146572-50000</f>
        <v>96572</v>
      </c>
    </row>
    <row r="29" spans="2:5" ht="15.75">
      <c r="B29" s="238"/>
      <c r="C29" s="87"/>
      <c r="D29" s="87"/>
      <c r="E29" s="87"/>
    </row>
    <row r="30" spans="2:5" ht="15.75">
      <c r="B30" s="238"/>
      <c r="C30" s="87"/>
      <c r="D30" s="87"/>
      <c r="E30" s="87"/>
    </row>
    <row r="31" spans="2:5" ht="15.75">
      <c r="B31" s="238"/>
      <c r="C31" s="87"/>
      <c r="D31" s="87"/>
      <c r="E31" s="87"/>
    </row>
    <row r="32" spans="2:5" ht="15.75">
      <c r="B32" s="238"/>
      <c r="C32" s="87"/>
      <c r="D32" s="87"/>
      <c r="E32" s="87"/>
    </row>
    <row r="33" spans="2:5" ht="15.75">
      <c r="B33" s="238"/>
      <c r="C33" s="87"/>
      <c r="D33" s="87"/>
      <c r="E33" s="87"/>
    </row>
    <row r="34" spans="2:5" ht="15.75">
      <c r="B34" s="238"/>
      <c r="C34" s="87"/>
      <c r="D34" s="87"/>
      <c r="E34" s="87"/>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271</v>
      </c>
      <c r="C45" s="229">
        <v>3438</v>
      </c>
      <c r="D45" s="227">
        <v>10000</v>
      </c>
      <c r="E45" s="227">
        <v>50000</v>
      </c>
    </row>
    <row r="46" spans="2:5" ht="15.75">
      <c r="B46" s="239" t="s">
        <v>795</v>
      </c>
      <c r="C46" s="369">
        <f>IF(C47*0.1&lt;C45,"Exceed 10% Rule","")</f>
      </c>
      <c r="D46" s="254">
        <f>IF(D47*0.1&lt;D45,"Exceed 10% Rule","")</f>
      </c>
      <c r="E46" s="254">
        <f>IF(E47*0.1&lt;E45,"Exceed 10% Rule","")</f>
      </c>
    </row>
    <row r="47" spans="2:5" ht="15.75">
      <c r="B47" s="232" t="s">
        <v>40</v>
      </c>
      <c r="C47" s="258">
        <f>SUM(C22:C45)</f>
        <v>274574</v>
      </c>
      <c r="D47" s="258">
        <f>SUM(D22:D45)</f>
        <v>484953</v>
      </c>
      <c r="E47" s="258">
        <f>SUM(E22:E45)</f>
        <v>705366</v>
      </c>
    </row>
    <row r="48" spans="2:5" ht="15.75">
      <c r="B48" s="130" t="s">
        <v>148</v>
      </c>
      <c r="C48" s="192">
        <f>C20-C47</f>
        <v>353432</v>
      </c>
      <c r="D48" s="192">
        <f>D20-D47</f>
        <v>256866</v>
      </c>
      <c r="E48" s="192">
        <f>E20-E47</f>
        <v>0</v>
      </c>
    </row>
    <row r="49" spans="2:5" ht="15.75">
      <c r="B49" s="118" t="str">
        <f>CONCATENATE("",E1-2,"/",E1-1," Budget Authority Amount:")</f>
        <v>2012/2013 Budget Authority Amount:</v>
      </c>
      <c r="C49" s="182">
        <f>inputOth!B82</f>
        <v>366951</v>
      </c>
      <c r="D49" s="182">
        <f>inputPrYr!D44</f>
        <v>569368</v>
      </c>
      <c r="E49" s="411">
        <f>IF(E48&lt;0,"See Tab E","")</f>
      </c>
    </row>
    <row r="50" spans="2:5" ht="15.75">
      <c r="B50" s="118"/>
      <c r="C50" s="243">
        <f>IF(C47&gt;C49,"See Tab A","")</f>
      </c>
      <c r="D50" s="243">
        <f>IF(D47&gt;D49,"See Tab C","")</f>
      </c>
      <c r="E50" s="170"/>
    </row>
    <row r="51" spans="2:5" ht="15.75">
      <c r="B51" s="118"/>
      <c r="C51" s="243">
        <f>IF(C48&lt;0,"See Tab B","")</f>
      </c>
      <c r="D51" s="243">
        <f>IF(D48&lt;0,"See Tab D","")</f>
      </c>
      <c r="E51" s="170"/>
    </row>
    <row r="52" spans="2:5" ht="15">
      <c r="B52" s="84"/>
      <c r="C52" s="84"/>
      <c r="D52" s="84"/>
      <c r="E52" s="84"/>
    </row>
    <row r="53" spans="2:5" ht="15.75">
      <c r="B53" s="118" t="s">
        <v>43</v>
      </c>
      <c r="C53" s="249">
        <v>12</v>
      </c>
      <c r="D53" s="84"/>
      <c r="E53" s="84"/>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B37">
      <selection activeCell="G6" sqref="G6"/>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150" t="str">
        <f>inputPrYr!D2</f>
        <v>City of Merriam</v>
      </c>
      <c r="C1" s="21"/>
      <c r="D1" s="21"/>
      <c r="E1" s="184">
        <f>inputPrYr!$C$5</f>
        <v>2014</v>
      </c>
    </row>
    <row r="2" spans="2:5" ht="15.75">
      <c r="B2" s="21"/>
      <c r="C2" s="21"/>
      <c r="D2" s="21"/>
      <c r="E2" s="146"/>
    </row>
    <row r="3" spans="2:5" ht="15.75">
      <c r="B3" s="40" t="s">
        <v>93</v>
      </c>
      <c r="C3" s="264"/>
      <c r="D3" s="264"/>
      <c r="E3" s="265"/>
    </row>
    <row r="4" spans="2:5" ht="15.75">
      <c r="B4" s="28" t="s">
        <v>24</v>
      </c>
      <c r="C4" s="660" t="s">
        <v>811</v>
      </c>
      <c r="D4" s="661" t="s">
        <v>812</v>
      </c>
      <c r="E4" s="124" t="s">
        <v>813</v>
      </c>
    </row>
    <row r="5" spans="2:5" ht="15.75">
      <c r="B5" s="368" t="str">
        <f>inputPrYr!B45</f>
        <v>Capital Improvement</v>
      </c>
      <c r="C5" s="351" t="str">
        <f>CONCATENATE("Actual for ",E1-2,"")</f>
        <v>Actual for 2012</v>
      </c>
      <c r="D5" s="351" t="str">
        <f>CONCATENATE("Estimate for ",E1-1,"")</f>
        <v>Estimate for 2013</v>
      </c>
      <c r="E5" s="221" t="str">
        <f>CONCATENATE("Year for ",E1,"")</f>
        <v>Year for 2014</v>
      </c>
    </row>
    <row r="6" spans="2:5" ht="15.75">
      <c r="B6" s="130" t="s">
        <v>147</v>
      </c>
      <c r="C6" s="49">
        <v>8227799</v>
      </c>
      <c r="D6" s="192">
        <f>C48</f>
        <v>9060139</v>
      </c>
      <c r="E6" s="192">
        <f>D48</f>
        <v>8811568</v>
      </c>
    </row>
    <row r="7" spans="2:5" ht="15.75">
      <c r="B7" s="130" t="s">
        <v>149</v>
      </c>
      <c r="C7" s="67"/>
      <c r="D7" s="67"/>
      <c r="E7" s="67"/>
    </row>
    <row r="8" spans="2:5" ht="15.75">
      <c r="B8" s="262" t="s">
        <v>1046</v>
      </c>
      <c r="C8" s="229">
        <v>2569958</v>
      </c>
      <c r="D8" s="229">
        <v>2844922</v>
      </c>
      <c r="E8" s="229">
        <v>3097936</v>
      </c>
    </row>
    <row r="9" spans="2:5" ht="15.75">
      <c r="B9" s="238" t="s">
        <v>1052</v>
      </c>
      <c r="C9" s="229">
        <v>17344</v>
      </c>
      <c r="D9" s="229">
        <v>100000</v>
      </c>
      <c r="E9" s="229">
        <v>75000</v>
      </c>
    </row>
    <row r="10" spans="2:5" ht="15.75">
      <c r="B10" s="238" t="s">
        <v>1053</v>
      </c>
      <c r="C10" s="229">
        <v>1263284</v>
      </c>
      <c r="D10" s="229">
        <v>1307358</v>
      </c>
      <c r="E10" s="229">
        <v>1450000</v>
      </c>
    </row>
    <row r="11" spans="2:5" ht="15.75">
      <c r="B11" s="238" t="s">
        <v>1054</v>
      </c>
      <c r="C11" s="229">
        <v>0</v>
      </c>
      <c r="D11" s="229">
        <v>1183500</v>
      </c>
      <c r="E11" s="229">
        <v>629000</v>
      </c>
    </row>
    <row r="12" spans="2:5" ht="15.75">
      <c r="B12" s="238" t="s">
        <v>1055</v>
      </c>
      <c r="C12" s="229">
        <v>1270000</v>
      </c>
      <c r="D12" s="229">
        <v>1408619</v>
      </c>
      <c r="E12" s="229">
        <v>1391212</v>
      </c>
    </row>
    <row r="13" spans="2:5" ht="15.75">
      <c r="B13" s="238" t="s">
        <v>1085</v>
      </c>
      <c r="C13" s="229">
        <f>152765-5140</f>
        <v>147625</v>
      </c>
      <c r="D13" s="229">
        <f>835837+825382+204000+38517+115000</f>
        <v>2018736</v>
      </c>
      <c r="E13" s="229">
        <f>240000+625575+977500+1673775-18500+190000</f>
        <v>3688350</v>
      </c>
    </row>
    <row r="14" spans="2:5" ht="15.75">
      <c r="B14" s="261" t="s">
        <v>1048</v>
      </c>
      <c r="C14" s="87">
        <v>9621</v>
      </c>
      <c r="D14" s="87">
        <f>224000+127000</f>
        <v>351000</v>
      </c>
      <c r="E14" s="87">
        <f>1086000-190000+80000</f>
        <v>976000</v>
      </c>
    </row>
    <row r="15" spans="2:5" ht="15.75">
      <c r="B15" s="261" t="s">
        <v>1084</v>
      </c>
      <c r="C15" s="87">
        <f>54238+189742</f>
        <v>243980</v>
      </c>
      <c r="D15" s="229">
        <f>41250+163110</f>
        <v>204360</v>
      </c>
      <c r="E15" s="229">
        <f>50000</f>
        <v>50000</v>
      </c>
    </row>
    <row r="16" spans="2:5" ht="15.75">
      <c r="B16" s="266" t="s">
        <v>32</v>
      </c>
      <c r="C16" s="229">
        <v>52806</v>
      </c>
      <c r="D16" s="229">
        <v>70000</v>
      </c>
      <c r="E16" s="229">
        <v>55000</v>
      </c>
    </row>
    <row r="17" spans="2:5" ht="15.75">
      <c r="B17" s="138" t="s">
        <v>271</v>
      </c>
      <c r="C17" s="229">
        <v>1481</v>
      </c>
      <c r="D17" s="227"/>
      <c r="E17" s="227"/>
    </row>
    <row r="18" spans="2:5" ht="15.75">
      <c r="B18" s="222" t="s">
        <v>794</v>
      </c>
      <c r="C18" s="369">
        <f>IF(C19*0.1&lt;C17,"Exceed 10% Rule","")</f>
      </c>
      <c r="D18" s="254">
        <f>IF(D19*0.1&lt;D17,"Exceed 10% Rule","")</f>
      </c>
      <c r="E18" s="254">
        <f>IF(E19*0.1&lt;E17,"Exceed 10% Rule","")</f>
      </c>
    </row>
    <row r="19" spans="2:5" ht="15.75">
      <c r="B19" s="232" t="s">
        <v>33</v>
      </c>
      <c r="C19" s="258">
        <f>SUM(C8:C17)</f>
        <v>5576099</v>
      </c>
      <c r="D19" s="258">
        <f>SUM(D8:D17)</f>
        <v>9488495</v>
      </c>
      <c r="E19" s="258">
        <f>SUM(E8:E17)</f>
        <v>11412498</v>
      </c>
    </row>
    <row r="20" spans="2:5" ht="15.75">
      <c r="B20" s="232" t="s">
        <v>34</v>
      </c>
      <c r="C20" s="258">
        <f>C6+C19</f>
        <v>13803898</v>
      </c>
      <c r="D20" s="258">
        <f>D6+D19</f>
        <v>18548634</v>
      </c>
      <c r="E20" s="258">
        <f>E6+E19</f>
        <v>20224066</v>
      </c>
    </row>
    <row r="21" spans="2:5" ht="15.75">
      <c r="B21" s="130" t="s">
        <v>36</v>
      </c>
      <c r="C21" s="67"/>
      <c r="D21" s="67"/>
      <c r="E21" s="67"/>
    </row>
    <row r="22" spans="2:5" ht="15.75">
      <c r="B22" s="238" t="s">
        <v>1068</v>
      </c>
      <c r="C22" s="229">
        <v>0</v>
      </c>
      <c r="D22" s="229">
        <v>162045</v>
      </c>
      <c r="E22" s="229">
        <v>171663</v>
      </c>
    </row>
    <row r="23" spans="2:5" ht="15.75">
      <c r="B23" s="238" t="s">
        <v>1071</v>
      </c>
      <c r="C23" s="229">
        <v>0</v>
      </c>
      <c r="D23" s="229">
        <v>74151</v>
      </c>
      <c r="E23" s="229">
        <v>80083</v>
      </c>
    </row>
    <row r="24" spans="2:5" ht="15.75">
      <c r="B24" s="230" t="s">
        <v>1061</v>
      </c>
      <c r="C24" s="87">
        <v>0</v>
      </c>
      <c r="D24" s="87">
        <f>9150+2350</f>
        <v>11500</v>
      </c>
      <c r="E24" s="87">
        <f>11120+6350</f>
        <v>17470</v>
      </c>
    </row>
    <row r="25" spans="2:5" ht="15.75">
      <c r="B25" s="238" t="s">
        <v>1056</v>
      </c>
      <c r="C25" s="87">
        <f>2189683-60402-160343</f>
        <v>1968938</v>
      </c>
      <c r="D25" s="87">
        <f>7060165-100000-1163319</f>
        <v>5796846</v>
      </c>
      <c r="E25" s="87">
        <f>12984766-250000-824600-251746-17470</f>
        <v>11640950</v>
      </c>
    </row>
    <row r="26" spans="2:5" ht="15.75">
      <c r="B26" s="238" t="s">
        <v>1057</v>
      </c>
      <c r="C26" s="87">
        <v>60402</v>
      </c>
      <c r="D26" s="87">
        <v>100000</v>
      </c>
      <c r="E26" s="87">
        <v>250000</v>
      </c>
    </row>
    <row r="27" spans="2:5" ht="15.75">
      <c r="B27" s="238" t="s">
        <v>1058</v>
      </c>
      <c r="C27" s="87">
        <v>160343</v>
      </c>
      <c r="D27" s="87">
        <v>1163319</v>
      </c>
      <c r="E27" s="87">
        <v>824600</v>
      </c>
    </row>
    <row r="28" spans="2:5" ht="15.75">
      <c r="B28" s="238" t="s">
        <v>1059</v>
      </c>
      <c r="C28" s="87">
        <f>2464076-903240</f>
        <v>1560836</v>
      </c>
      <c r="D28" s="87">
        <f>2339205-729653</f>
        <v>1609552</v>
      </c>
      <c r="E28" s="87">
        <v>0</v>
      </c>
    </row>
    <row r="29" spans="2:5" ht="15.75">
      <c r="B29" s="238" t="s">
        <v>1060</v>
      </c>
      <c r="C29" s="87">
        <v>903240</v>
      </c>
      <c r="D29" s="87">
        <v>729653</v>
      </c>
      <c r="E29" s="87">
        <v>1065209</v>
      </c>
    </row>
    <row r="30" spans="2:5" ht="15.75">
      <c r="B30" s="238" t="s">
        <v>1072</v>
      </c>
      <c r="C30" s="87">
        <v>90000</v>
      </c>
      <c r="D30" s="87">
        <v>90000</v>
      </c>
      <c r="E30" s="87">
        <v>90000</v>
      </c>
    </row>
    <row r="31" spans="2:5" ht="15.75">
      <c r="B31" s="238" t="s">
        <v>1062</v>
      </c>
      <c r="C31" s="87"/>
      <c r="D31" s="87"/>
      <c r="E31" s="87">
        <f>2847458+702+553+15310</f>
        <v>2864023</v>
      </c>
    </row>
    <row r="32" spans="2:5" ht="15.75">
      <c r="B32" s="238" t="s">
        <v>1063</v>
      </c>
      <c r="C32" s="87"/>
      <c r="D32" s="87"/>
      <c r="E32" s="87">
        <v>1443689</v>
      </c>
    </row>
    <row r="33" spans="2:5" ht="15.75">
      <c r="B33" s="238" t="s">
        <v>1064</v>
      </c>
      <c r="C33" s="87"/>
      <c r="D33" s="87"/>
      <c r="E33" s="87">
        <v>1776379</v>
      </c>
    </row>
    <row r="34" spans="2:5" ht="15.75">
      <c r="B34" s="238"/>
      <c r="C34" s="87"/>
      <c r="D34" s="87"/>
      <c r="E34" s="87"/>
    </row>
    <row r="35" spans="2:5" ht="15.75">
      <c r="B35" s="238"/>
      <c r="C35" s="229"/>
      <c r="D35" s="229"/>
      <c r="E35" s="229"/>
    </row>
    <row r="36" spans="2:5" ht="15.75">
      <c r="B36" s="238"/>
      <c r="C36" s="229"/>
      <c r="D36" s="229"/>
      <c r="E36" s="229"/>
    </row>
    <row r="37" spans="2:5" ht="15.75">
      <c r="B37" s="238" t="s">
        <v>1070</v>
      </c>
      <c r="C37" s="229"/>
      <c r="D37" s="229"/>
      <c r="E37" s="229"/>
    </row>
    <row r="38" spans="2:5" ht="15.75">
      <c r="B38" s="238" t="s">
        <v>1069</v>
      </c>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271</v>
      </c>
      <c r="C45" s="229"/>
      <c r="D45" s="227"/>
      <c r="E45" s="227"/>
    </row>
    <row r="46" spans="2:5" ht="15.75">
      <c r="B46" s="239" t="s">
        <v>795</v>
      </c>
      <c r="C46" s="369">
        <f>IF(C47*0.1&lt;C45,"Exceed 10% Rule","")</f>
      </c>
      <c r="D46" s="254">
        <f>IF(D47*0.1&lt;D45,"Exceed 10% Rule","")</f>
      </c>
      <c r="E46" s="254">
        <f>IF(E47*0.1&lt;E45,"Exceed 10% Rule","")</f>
      </c>
    </row>
    <row r="47" spans="2:5" ht="15.75">
      <c r="B47" s="232" t="s">
        <v>40</v>
      </c>
      <c r="C47" s="258">
        <f>SUM(C22:C45)</f>
        <v>4743759</v>
      </c>
      <c r="D47" s="258">
        <f>SUM(D22:D45)</f>
        <v>9737066</v>
      </c>
      <c r="E47" s="258">
        <f>SUM(E22:E45)</f>
        <v>20224066</v>
      </c>
    </row>
    <row r="48" spans="2:5" ht="15.75">
      <c r="B48" s="130" t="s">
        <v>148</v>
      </c>
      <c r="C48" s="192">
        <f>C20-C47</f>
        <v>9060139</v>
      </c>
      <c r="D48" s="192">
        <f>D20-D47</f>
        <v>8811568</v>
      </c>
      <c r="E48" s="192">
        <f>E20-E47</f>
        <v>0</v>
      </c>
    </row>
    <row r="49" spans="2:5" ht="15.75">
      <c r="B49" s="118" t="str">
        <f>CONCATENATE("",E1-2,"/",E1-1," Budget Authority Amount:")</f>
        <v>2012/2013 Budget Authority Amount:</v>
      </c>
      <c r="C49" s="182">
        <f>inputOth!B83</f>
        <v>10214510</v>
      </c>
      <c r="D49" s="182">
        <f>inputPrYr!D45</f>
        <v>16580063</v>
      </c>
      <c r="E49" s="411">
        <f>IF(E48&lt;0,"See Tab E","")</f>
      </c>
    </row>
    <row r="50" spans="2:5" ht="15.75">
      <c r="B50" s="118"/>
      <c r="C50" s="243">
        <f>IF(C47&gt;C49,"See Tab A","")</f>
      </c>
      <c r="D50" s="243">
        <f>IF(D47&gt;D49,"See Tab C","")</f>
      </c>
      <c r="E50" s="170"/>
    </row>
    <row r="51" spans="2:5" ht="15.75">
      <c r="B51" s="118"/>
      <c r="C51" s="243">
        <f>IF(C48&lt;0,"See Tab B","")</f>
      </c>
      <c r="D51" s="243">
        <f>IF(D48&lt;0,"See Tab D","")</f>
      </c>
      <c r="E51" s="170"/>
    </row>
    <row r="52" spans="2:5" ht="15">
      <c r="B52" s="84"/>
      <c r="C52" s="84"/>
      <c r="D52" s="84"/>
      <c r="E52" s="84"/>
    </row>
    <row r="53" spans="2:5" ht="15.75">
      <c r="B53" s="118" t="s">
        <v>43</v>
      </c>
      <c r="C53" s="249">
        <v>13</v>
      </c>
      <c r="D53" s="84"/>
      <c r="E53" s="84"/>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1" sqref="C41:E41"/>
    </sheetView>
  </sheetViews>
  <sheetFormatPr defaultColWidth="8.796875" defaultRowHeight="15"/>
  <cols>
    <col min="1" max="1" width="2.3984375" style="82" customWidth="1"/>
    <col min="2" max="2" width="31.09765625" style="82" customWidth="1"/>
    <col min="3" max="4" width="15.796875" style="82" customWidth="1"/>
    <col min="5" max="5" width="16.3984375" style="82" customWidth="1"/>
    <col min="6" max="16384" width="8.8984375" style="82" customWidth="1"/>
  </cols>
  <sheetData>
    <row r="1" spans="2:5" ht="15.75">
      <c r="B1" s="150" t="str">
        <f>inputPrYr!D2</f>
        <v>City of Merriam</v>
      </c>
      <c r="C1" s="21"/>
      <c r="D1" s="21"/>
      <c r="E1" s="184">
        <f>inputPrYr!$C$5</f>
        <v>2014</v>
      </c>
    </row>
    <row r="2" spans="2:5" ht="15.75">
      <c r="B2" s="21"/>
      <c r="C2" s="21"/>
      <c r="D2" s="21"/>
      <c r="E2" s="146"/>
    </row>
    <row r="3" spans="2:5" ht="15.75">
      <c r="B3" s="40" t="s">
        <v>93</v>
      </c>
      <c r="C3" s="264"/>
      <c r="D3" s="264"/>
      <c r="E3" s="265"/>
    </row>
    <row r="4" spans="2:5" ht="15.75">
      <c r="B4" s="28" t="s">
        <v>24</v>
      </c>
      <c r="C4" s="660" t="s">
        <v>811</v>
      </c>
      <c r="D4" s="661" t="s">
        <v>812</v>
      </c>
      <c r="E4" s="124" t="s">
        <v>813</v>
      </c>
    </row>
    <row r="5" spans="2:5" ht="15.75">
      <c r="B5" s="368">
        <f>inputPrYr!B46</f>
        <v>0</v>
      </c>
      <c r="C5" s="351" t="str">
        <f>CONCATENATE("Actual for ",E1-2,"")</f>
        <v>Actual for 2012</v>
      </c>
      <c r="D5" s="351" t="str">
        <f>CONCATENATE("Estimate for ",E1-1,"")</f>
        <v>Estimate for 2013</v>
      </c>
      <c r="E5" s="221" t="str">
        <f>CONCATENATE("Year for ",E1,"")</f>
        <v>Year for 2014</v>
      </c>
    </row>
    <row r="6" spans="2:5" ht="15.75">
      <c r="B6" s="130" t="s">
        <v>147</v>
      </c>
      <c r="C6" s="49"/>
      <c r="D6" s="192">
        <f>C48</f>
        <v>0</v>
      </c>
      <c r="E6" s="192">
        <f>D48</f>
        <v>0</v>
      </c>
    </row>
    <row r="7" spans="2:5" ht="15.75">
      <c r="B7" s="130" t="s">
        <v>149</v>
      </c>
      <c r="C7" s="67"/>
      <c r="D7" s="67"/>
      <c r="E7" s="67"/>
    </row>
    <row r="8" spans="2:5" ht="15.75">
      <c r="B8" s="262"/>
      <c r="C8" s="229"/>
      <c r="D8" s="229"/>
      <c r="E8" s="229"/>
    </row>
    <row r="9" spans="2:5" ht="15.75">
      <c r="B9" s="238"/>
      <c r="C9" s="229"/>
      <c r="D9" s="229"/>
      <c r="E9" s="229"/>
    </row>
    <row r="10" spans="2:5" ht="15.75">
      <c r="B10" s="238"/>
      <c r="C10" s="229"/>
      <c r="D10" s="229"/>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7"/>
      <c r="D14" s="87"/>
      <c r="E14" s="87"/>
    </row>
    <row r="15" spans="2:5" ht="15.75">
      <c r="B15" s="238"/>
      <c r="C15" s="229"/>
      <c r="D15" s="229"/>
      <c r="E15" s="229"/>
    </row>
    <row r="16" spans="2:5" ht="15.75">
      <c r="B16" s="266" t="s">
        <v>32</v>
      </c>
      <c r="C16" s="229"/>
      <c r="D16" s="229"/>
      <c r="E16" s="229"/>
    </row>
    <row r="17" spans="2:5" ht="15.75">
      <c r="B17" s="138" t="s">
        <v>271</v>
      </c>
      <c r="C17" s="229"/>
      <c r="D17" s="227"/>
      <c r="E17" s="227"/>
    </row>
    <row r="18" spans="2:5" ht="15.75">
      <c r="B18" s="222" t="s">
        <v>794</v>
      </c>
      <c r="C18" s="369">
        <f>IF(C19*0.1&lt;C17,"Exceed 10% Rule","")</f>
      </c>
      <c r="D18" s="254">
        <f>IF(D19*0.1&lt;D17,"Exceed 10% Rule","")</f>
      </c>
      <c r="E18" s="254">
        <f>IF(E19*0.1&lt;E17,"Exceed 10% Rule","")</f>
      </c>
    </row>
    <row r="19" spans="2:5" ht="15.75">
      <c r="B19" s="232" t="s">
        <v>33</v>
      </c>
      <c r="C19" s="258">
        <f>SUM(C8:C17)</f>
        <v>0</v>
      </c>
      <c r="D19" s="258">
        <f>SUM(D8:D17)</f>
        <v>0</v>
      </c>
      <c r="E19" s="258">
        <f>SUM(E8:E17)</f>
        <v>0</v>
      </c>
    </row>
    <row r="20" spans="2:5" ht="15.75">
      <c r="B20" s="232" t="s">
        <v>34</v>
      </c>
      <c r="C20" s="258">
        <f>C6+C19</f>
        <v>0</v>
      </c>
      <c r="D20" s="258">
        <f>D6+D19</f>
        <v>0</v>
      </c>
      <c r="E20" s="258">
        <f>E6+E19</f>
        <v>0</v>
      </c>
    </row>
    <row r="21" spans="2:5" ht="15.75">
      <c r="B21" s="130" t="s">
        <v>36</v>
      </c>
      <c r="C21" s="67"/>
      <c r="D21" s="67"/>
      <c r="E21" s="67"/>
    </row>
    <row r="22" spans="2:5" ht="15.75">
      <c r="B22" s="238" t="s">
        <v>183</v>
      </c>
      <c r="C22" s="229"/>
      <c r="D22" s="229"/>
      <c r="E22" s="229"/>
    </row>
    <row r="23" spans="2:5" ht="15.75">
      <c r="B23" s="238" t="s">
        <v>281</v>
      </c>
      <c r="C23" s="229"/>
      <c r="D23" s="229"/>
      <c r="E23" s="229"/>
    </row>
    <row r="24" spans="2:5" ht="15.75">
      <c r="B24" s="238"/>
      <c r="C24" s="87"/>
      <c r="D24" s="87"/>
      <c r="E24" s="87"/>
    </row>
    <row r="25" spans="2:5" ht="15.75">
      <c r="B25" s="238"/>
      <c r="C25" s="87"/>
      <c r="D25" s="87"/>
      <c r="E25" s="87"/>
    </row>
    <row r="26" spans="2:5" ht="15.75">
      <c r="B26" s="238"/>
      <c r="C26" s="87"/>
      <c r="D26" s="87"/>
      <c r="E26" s="87"/>
    </row>
    <row r="27" spans="2:5" ht="15.75">
      <c r="B27" s="238"/>
      <c r="C27" s="87"/>
      <c r="D27" s="87"/>
      <c r="E27" s="87"/>
    </row>
    <row r="28" spans="2:5" ht="15.75">
      <c r="B28" s="238"/>
      <c r="C28" s="87"/>
      <c r="D28" s="87"/>
      <c r="E28" s="87"/>
    </row>
    <row r="29" spans="2:5" ht="15.75">
      <c r="B29" s="238"/>
      <c r="C29" s="87"/>
      <c r="D29" s="87"/>
      <c r="E29" s="87"/>
    </row>
    <row r="30" spans="2:5" ht="15.75">
      <c r="B30" s="238"/>
      <c r="C30" s="87"/>
      <c r="D30" s="87"/>
      <c r="E30" s="87"/>
    </row>
    <row r="31" spans="2:5" ht="15.75">
      <c r="B31" s="238"/>
      <c r="C31" s="87"/>
      <c r="D31" s="87"/>
      <c r="E31" s="87"/>
    </row>
    <row r="32" spans="2:5" ht="15.75">
      <c r="B32" s="238"/>
      <c r="C32" s="87"/>
      <c r="D32" s="87"/>
      <c r="E32" s="87"/>
    </row>
    <row r="33" spans="2:5" ht="15.75">
      <c r="B33" s="238"/>
      <c r="C33" s="87"/>
      <c r="D33" s="87"/>
      <c r="E33" s="87"/>
    </row>
    <row r="34" spans="2:5" ht="15.75">
      <c r="B34" s="238"/>
      <c r="C34" s="87"/>
      <c r="D34" s="87"/>
      <c r="E34" s="87"/>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271</v>
      </c>
      <c r="C45" s="229"/>
      <c r="D45" s="227"/>
      <c r="E45" s="227"/>
    </row>
    <row r="46" spans="2:5" ht="15.75">
      <c r="B46" s="239" t="s">
        <v>795</v>
      </c>
      <c r="C46" s="369">
        <f>IF(C47*0.1&lt;C45,"Exceed 10% Rule","")</f>
      </c>
      <c r="D46" s="254">
        <f>IF(D47*0.1&lt;D45,"Exceed 10% Rule","")</f>
      </c>
      <c r="E46" s="254">
        <f>IF(E47*0.1&lt;E45,"Exceed 10% Rule","")</f>
      </c>
    </row>
    <row r="47" spans="2:5" ht="15.75">
      <c r="B47" s="232" t="s">
        <v>40</v>
      </c>
      <c r="C47" s="258">
        <f>SUM(C22:C45)</f>
        <v>0</v>
      </c>
      <c r="D47" s="258">
        <f>SUM(D22:D45)</f>
        <v>0</v>
      </c>
      <c r="E47" s="258">
        <f>SUM(E22:E45)</f>
        <v>0</v>
      </c>
    </row>
    <row r="48" spans="2:5" ht="15.75">
      <c r="B48" s="130" t="s">
        <v>148</v>
      </c>
      <c r="C48" s="192">
        <f>C20-C47</f>
        <v>0</v>
      </c>
      <c r="D48" s="192">
        <f>D20-D47</f>
        <v>0</v>
      </c>
      <c r="E48" s="192">
        <f>E20-E47</f>
        <v>0</v>
      </c>
    </row>
    <row r="49" spans="2:5" ht="15.75">
      <c r="B49" s="118" t="str">
        <f>CONCATENATE("",E1-2,"/",E1-1," Budget Authority Amount:")</f>
        <v>2012/2013 Budget Authority Amount:</v>
      </c>
      <c r="C49" s="182">
        <f>inputOth!B84</f>
        <v>0</v>
      </c>
      <c r="D49" s="182">
        <f>inputPrYr!D46</f>
        <v>0</v>
      </c>
      <c r="E49" s="411">
        <f>IF(E48&lt;0,"See Tab E","")</f>
      </c>
    </row>
    <row r="50" spans="2:5" ht="15.75">
      <c r="B50" s="118"/>
      <c r="C50" s="243">
        <f>IF(C47&gt;C49,"See Tab A","")</f>
      </c>
      <c r="D50" s="243">
        <f>IF(D47&gt;D49,"See Tab C","")</f>
      </c>
      <c r="E50" s="84"/>
    </row>
    <row r="51" spans="2:5" ht="15.75">
      <c r="B51" s="118"/>
      <c r="C51" s="243">
        <f>IF(C48&lt;0,"See Tab B","")</f>
      </c>
      <c r="D51" s="243">
        <f>IF(D48&lt;0,"See Tab D","")</f>
      </c>
      <c r="E51" s="84"/>
    </row>
    <row r="52" spans="2:5" ht="15">
      <c r="B52" s="84"/>
      <c r="C52" s="84"/>
      <c r="D52" s="84"/>
      <c r="E52" s="84"/>
    </row>
    <row r="53" spans="2:5" ht="15.75">
      <c r="B53" s="118" t="s">
        <v>43</v>
      </c>
      <c r="C53" s="249"/>
      <c r="D53" s="84"/>
      <c r="E53" s="84"/>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30">
      <selection activeCell="C42" sqref="C42:E42"/>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150" t="str">
        <f>inputPrYr!D2</f>
        <v>City of Merriam</v>
      </c>
      <c r="C1" s="21"/>
      <c r="D1" s="21"/>
      <c r="E1" s="184">
        <f>inputPrYr!$C$5</f>
        <v>2014</v>
      </c>
    </row>
    <row r="2" spans="2:5" ht="15.75">
      <c r="B2" s="21"/>
      <c r="C2" s="21"/>
      <c r="D2" s="21"/>
      <c r="E2" s="146"/>
    </row>
    <row r="3" spans="2:5" ht="15.75">
      <c r="B3" s="40" t="s">
        <v>93</v>
      </c>
      <c r="C3" s="264"/>
      <c r="D3" s="264"/>
      <c r="E3" s="265"/>
    </row>
    <row r="4" spans="2:5" ht="15.75">
      <c r="B4" s="28" t="s">
        <v>24</v>
      </c>
      <c r="C4" s="660" t="s">
        <v>811</v>
      </c>
      <c r="D4" s="661" t="s">
        <v>812</v>
      </c>
      <c r="E4" s="124" t="s">
        <v>813</v>
      </c>
    </row>
    <row r="5" spans="2:5" ht="15.75">
      <c r="B5" s="367">
        <f>inputPrYr!B47</f>
        <v>0</v>
      </c>
      <c r="C5" s="351" t="str">
        <f>CONCATENATE("Actual for ",E1-2,"")</f>
        <v>Actual for 2012</v>
      </c>
      <c r="D5" s="351" t="str">
        <f>CONCATENATE("Estimate for ",E1-1,"")</f>
        <v>Estimate for 2013</v>
      </c>
      <c r="E5" s="221" t="str">
        <f>CONCATENATE("Year for ",E1,"")</f>
        <v>Year for 2014</v>
      </c>
    </row>
    <row r="6" spans="2:5" ht="15.75">
      <c r="B6" s="130" t="s">
        <v>147</v>
      </c>
      <c r="C6" s="49"/>
      <c r="D6" s="192">
        <f>C48</f>
        <v>0</v>
      </c>
      <c r="E6" s="192">
        <f>D48</f>
        <v>0</v>
      </c>
    </row>
    <row r="7" spans="2:5" ht="15.75">
      <c r="B7" s="130" t="s">
        <v>149</v>
      </c>
      <c r="C7" s="67"/>
      <c r="D7" s="67"/>
      <c r="E7" s="67"/>
    </row>
    <row r="8" spans="2:5" ht="15.75">
      <c r="B8" s="262"/>
      <c r="C8" s="229"/>
      <c r="D8" s="229"/>
      <c r="E8" s="229"/>
    </row>
    <row r="9" spans="2:5" ht="15.75">
      <c r="B9" s="238"/>
      <c r="C9" s="229"/>
      <c r="D9" s="229"/>
      <c r="E9" s="229"/>
    </row>
    <row r="10" spans="2:5" ht="15.75">
      <c r="B10" s="238"/>
      <c r="C10" s="229"/>
      <c r="D10" s="229"/>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7"/>
      <c r="D14" s="87"/>
      <c r="E14" s="87"/>
    </row>
    <row r="15" spans="2:5" ht="15.75">
      <c r="B15" s="238"/>
      <c r="C15" s="229"/>
      <c r="D15" s="229"/>
      <c r="E15" s="229"/>
    </row>
    <row r="16" spans="2:5" ht="15.75">
      <c r="B16" s="266" t="s">
        <v>32</v>
      </c>
      <c r="C16" s="229"/>
      <c r="D16" s="229"/>
      <c r="E16" s="229"/>
    </row>
    <row r="17" spans="2:5" ht="15.75">
      <c r="B17" s="138" t="s">
        <v>271</v>
      </c>
      <c r="C17" s="229"/>
      <c r="D17" s="227"/>
      <c r="E17" s="227"/>
    </row>
    <row r="18" spans="2:5" ht="15.75">
      <c r="B18" s="222" t="s">
        <v>794</v>
      </c>
      <c r="C18" s="369">
        <f>IF(C19*0.1&lt;C17,"Exceed 10% Rule","")</f>
      </c>
      <c r="D18" s="254">
        <f>IF(D19*0.1&lt;D17,"Exceed 10% Rule","")</f>
      </c>
      <c r="E18" s="254">
        <f>IF(E19*0.1&lt;E17,"Exceed 10% Rule","")</f>
      </c>
    </row>
    <row r="19" spans="2:5" ht="15.75">
      <c r="B19" s="232" t="s">
        <v>33</v>
      </c>
      <c r="C19" s="258">
        <f>SUM(C8:C17)</f>
        <v>0</v>
      </c>
      <c r="D19" s="258">
        <f>SUM(D8:D17)</f>
        <v>0</v>
      </c>
      <c r="E19" s="258">
        <f>SUM(E8:E17)</f>
        <v>0</v>
      </c>
    </row>
    <row r="20" spans="2:5" ht="15.75">
      <c r="B20" s="232" t="s">
        <v>34</v>
      </c>
      <c r="C20" s="258">
        <f>C6+C19</f>
        <v>0</v>
      </c>
      <c r="D20" s="258">
        <f>D6+D19</f>
        <v>0</v>
      </c>
      <c r="E20" s="258">
        <f>E6+E19</f>
        <v>0</v>
      </c>
    </row>
    <row r="21" spans="2:5" ht="15.75">
      <c r="B21" s="130" t="s">
        <v>36</v>
      </c>
      <c r="C21" s="67"/>
      <c r="D21" s="67"/>
      <c r="E21" s="67"/>
    </row>
    <row r="22" spans="2:5" ht="15.75">
      <c r="B22" s="238" t="s">
        <v>183</v>
      </c>
      <c r="C22" s="229"/>
      <c r="D22" s="229"/>
      <c r="E22" s="229"/>
    </row>
    <row r="23" spans="2:5" ht="15.75">
      <c r="B23" s="262" t="s">
        <v>281</v>
      </c>
      <c r="C23" s="229"/>
      <c r="D23" s="229"/>
      <c r="E23" s="229"/>
    </row>
    <row r="24" spans="2:5" ht="15.75">
      <c r="B24" s="238"/>
      <c r="C24" s="87"/>
      <c r="D24" s="87"/>
      <c r="E24" s="87"/>
    </row>
    <row r="25" spans="2:5" ht="15.75">
      <c r="B25" s="238"/>
      <c r="C25" s="87"/>
      <c r="D25" s="87"/>
      <c r="E25" s="87"/>
    </row>
    <row r="26" spans="2:5" ht="15.75">
      <c r="B26" s="238"/>
      <c r="C26" s="87"/>
      <c r="D26" s="87"/>
      <c r="E26" s="87"/>
    </row>
    <row r="27" spans="2:5" ht="15.75">
      <c r="B27" s="238"/>
      <c r="C27" s="87"/>
      <c r="D27" s="87"/>
      <c r="E27" s="87"/>
    </row>
    <row r="28" spans="2:5" ht="15.75">
      <c r="B28" s="238"/>
      <c r="C28" s="87"/>
      <c r="D28" s="87"/>
      <c r="E28" s="87"/>
    </row>
    <row r="29" spans="2:5" ht="15.75">
      <c r="B29" s="238"/>
      <c r="C29" s="87"/>
      <c r="D29" s="87"/>
      <c r="E29" s="87"/>
    </row>
    <row r="30" spans="2:5" ht="15.75">
      <c r="B30" s="238"/>
      <c r="C30" s="87"/>
      <c r="D30" s="87"/>
      <c r="E30" s="87"/>
    </row>
    <row r="31" spans="2:5" ht="15.75">
      <c r="B31" s="238"/>
      <c r="C31" s="87"/>
      <c r="D31" s="87"/>
      <c r="E31" s="87"/>
    </row>
    <row r="32" spans="2:5" ht="15.75">
      <c r="B32" s="238"/>
      <c r="C32" s="87"/>
      <c r="D32" s="87"/>
      <c r="E32" s="87"/>
    </row>
    <row r="33" spans="2:5" ht="15.75">
      <c r="B33" s="238"/>
      <c r="C33" s="87"/>
      <c r="D33" s="87"/>
      <c r="E33" s="87"/>
    </row>
    <row r="34" spans="2:5" ht="15.75">
      <c r="B34" s="238"/>
      <c r="C34" s="87"/>
      <c r="D34" s="87"/>
      <c r="E34" s="87"/>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271</v>
      </c>
      <c r="C45" s="229"/>
      <c r="D45" s="227"/>
      <c r="E45" s="227"/>
    </row>
    <row r="46" spans="2:5" ht="15.75">
      <c r="B46" s="239" t="s">
        <v>795</v>
      </c>
      <c r="C46" s="369">
        <f>IF(C47*0.1&lt;C45,"Exceed 10% Rule","")</f>
      </c>
      <c r="D46" s="254">
        <f>IF(D47*0.1&lt;D45,"Exceed 10% Rule","")</f>
      </c>
      <c r="E46" s="254">
        <f>IF(E47*0.1&lt;E45,"Exceed 10% Rule","")</f>
      </c>
    </row>
    <row r="47" spans="2:5" ht="15.75">
      <c r="B47" s="232" t="s">
        <v>40</v>
      </c>
      <c r="C47" s="258">
        <f>SUM(C22:C45)</f>
        <v>0</v>
      </c>
      <c r="D47" s="258">
        <f>SUM(D22:D45)</f>
        <v>0</v>
      </c>
      <c r="E47" s="258">
        <f>SUM(E22:E45)</f>
        <v>0</v>
      </c>
    </row>
    <row r="48" spans="2:5" ht="15.75">
      <c r="B48" s="130" t="s">
        <v>148</v>
      </c>
      <c r="C48" s="192">
        <f>C20-C47</f>
        <v>0</v>
      </c>
      <c r="D48" s="192">
        <f>D20-D47</f>
        <v>0</v>
      </c>
      <c r="E48" s="192">
        <f>E20-E47</f>
        <v>0</v>
      </c>
    </row>
    <row r="49" spans="2:5" ht="15.75">
      <c r="B49" s="118" t="str">
        <f>CONCATENATE("",E1-2,"/",E1-1," Budget Authority Amount:")</f>
        <v>2012/2013 Budget Authority Amount:</v>
      </c>
      <c r="C49" s="182">
        <f>inputOth!B85</f>
        <v>0</v>
      </c>
      <c r="D49" s="182">
        <f>inputPrYr!D47</f>
        <v>0</v>
      </c>
      <c r="E49" s="411">
        <f>IF(E48&lt;0,"See Tab E","")</f>
      </c>
    </row>
    <row r="50" spans="2:5" ht="15.75">
      <c r="B50" s="118"/>
      <c r="C50" s="243">
        <f>IF(C47&gt;C49,"See Tab A","")</f>
      </c>
      <c r="D50" s="243">
        <f>IF(D47&gt;D49,"See Tab C","")</f>
      </c>
      <c r="E50" s="170"/>
    </row>
    <row r="51" spans="2:5" ht="15.75">
      <c r="B51" s="118"/>
      <c r="C51" s="243">
        <f>IF(C48&lt;0,"See Tab B","")</f>
      </c>
      <c r="D51" s="243">
        <f>IF(D48&lt;0,"See Tab D","")</f>
      </c>
      <c r="E51" s="170"/>
    </row>
    <row r="52" spans="2:5" ht="15">
      <c r="B52" s="84"/>
      <c r="C52" s="84"/>
      <c r="D52" s="84"/>
      <c r="E52" s="84"/>
    </row>
    <row r="53" spans="2:5" ht="15.75">
      <c r="B53" s="118" t="s">
        <v>43</v>
      </c>
      <c r="C53" s="249"/>
      <c r="D53" s="84"/>
      <c r="E53" s="84"/>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19">
      <selection activeCell="E36" sqref="E36"/>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3" t="str">
        <f>inputPrYr!$D$2</f>
        <v>City of Merriam</v>
      </c>
      <c r="B1" s="84"/>
      <c r="C1" s="84"/>
      <c r="D1" s="84"/>
      <c r="E1" s="85">
        <f>inputPrYr!C5</f>
        <v>2014</v>
      </c>
    </row>
    <row r="2" spans="1:5" ht="15">
      <c r="A2" s="84"/>
      <c r="B2" s="84"/>
      <c r="C2" s="84"/>
      <c r="D2" s="84"/>
      <c r="E2" s="84"/>
    </row>
    <row r="3" spans="1:5" ht="15.75">
      <c r="A3" s="784" t="s">
        <v>245</v>
      </c>
      <c r="B3" s="785"/>
      <c r="C3" s="785"/>
      <c r="D3" s="785"/>
      <c r="E3" s="785"/>
    </row>
    <row r="4" spans="1:5" ht="15.75">
      <c r="A4" s="34"/>
      <c r="B4" s="34"/>
      <c r="C4" s="34"/>
      <c r="D4" s="34"/>
      <c r="E4" s="34"/>
    </row>
    <row r="5" spans="1:5" ht="15.75">
      <c r="A5" s="34"/>
      <c r="B5" s="34"/>
      <c r="C5" s="34"/>
      <c r="D5" s="34"/>
      <c r="E5" s="34"/>
    </row>
    <row r="6" spans="1:5" ht="15.75">
      <c r="A6" s="37" t="str">
        <f>CONCATENATE("From the County Clerks ",E1," Budget Information:")</f>
        <v>From the County Clerks 2014 Budget Information:</v>
      </c>
      <c r="B6" s="38"/>
      <c r="C6" s="38"/>
      <c r="D6" s="21"/>
      <c r="E6" s="50"/>
    </row>
    <row r="7" spans="1:5" ht="15.75">
      <c r="A7" s="86" t="str">
        <f>CONCATENATE("Total Assessed Valuation for ",E1-1,"")</f>
        <v>Total Assessed Valuation for 2013</v>
      </c>
      <c r="B7" s="75"/>
      <c r="C7" s="75"/>
      <c r="D7" s="75"/>
      <c r="E7" s="49">
        <v>149862149</v>
      </c>
    </row>
    <row r="8" spans="1:5" ht="15.75">
      <c r="A8" s="86" t="str">
        <f>CONCATENATE("New Improvements for ",E1-1,"")</f>
        <v>New Improvements for 2013</v>
      </c>
      <c r="B8" s="75"/>
      <c r="C8" s="75"/>
      <c r="D8" s="75"/>
      <c r="E8" s="87">
        <v>4490689</v>
      </c>
    </row>
    <row r="9" spans="1:5" ht="15.75">
      <c r="A9" s="86" t="str">
        <f>CONCATENATE("Personal Property  excluding oil, gas, and mobile homes - ",E1-1,"")</f>
        <v>Personal Property  excluding oil, gas, and mobile homes - 2013</v>
      </c>
      <c r="B9" s="75"/>
      <c r="C9" s="75"/>
      <c r="D9" s="75"/>
      <c r="E9" s="87">
        <v>4208322</v>
      </c>
    </row>
    <row r="10" spans="1:5" ht="15.75">
      <c r="A10" s="88" t="s">
        <v>168</v>
      </c>
      <c r="B10" s="75"/>
      <c r="C10" s="75"/>
      <c r="D10" s="75"/>
      <c r="E10" s="67"/>
    </row>
    <row r="11" spans="1:5" ht="15.75">
      <c r="A11" s="86" t="s">
        <v>140</v>
      </c>
      <c r="B11" s="75"/>
      <c r="C11" s="75"/>
      <c r="D11" s="75"/>
      <c r="E11" s="87"/>
    </row>
    <row r="12" spans="1:5" ht="15.75">
      <c r="A12" s="86" t="s">
        <v>141</v>
      </c>
      <c r="B12" s="75"/>
      <c r="C12" s="75"/>
      <c r="D12" s="75"/>
      <c r="E12" s="87"/>
    </row>
    <row r="13" spans="1:5" ht="15.75">
      <c r="A13" s="86" t="s">
        <v>142</v>
      </c>
      <c r="B13" s="75"/>
      <c r="C13" s="75"/>
      <c r="D13" s="75"/>
      <c r="E13" s="87"/>
    </row>
    <row r="14" spans="1:5" ht="15.75">
      <c r="A14" s="86" t="str">
        <f>CONCATENATE("Property that has changed in use for ",E1-1,"")</f>
        <v>Property that has changed in use for 2013</v>
      </c>
      <c r="B14" s="75"/>
      <c r="C14" s="75"/>
      <c r="D14" s="75"/>
      <c r="E14" s="87"/>
    </row>
    <row r="15" spans="1:5" ht="15.75">
      <c r="A15" s="86" t="str">
        <f>CONCATENATE("Personal Property excluding oil, gas, and mobile homes - ",E1-2,"")</f>
        <v>Personal Property excluding oil, gas, and mobile homes - 2012</v>
      </c>
      <c r="B15" s="75"/>
      <c r="C15" s="75"/>
      <c r="D15" s="75"/>
      <c r="E15" s="87"/>
    </row>
    <row r="16" spans="1:5" ht="15.75">
      <c r="A16" s="86" t="str">
        <f>CONCATENATE("Gross earnings (intangible) tax estimate for ",E1,"")</f>
        <v>Gross earnings (intangible) tax estimate for 2014</v>
      </c>
      <c r="B16" s="75"/>
      <c r="C16" s="75"/>
      <c r="D16" s="76"/>
      <c r="E16" s="49"/>
    </row>
    <row r="17" spans="1:5" ht="15.75">
      <c r="A17" s="86" t="s">
        <v>169</v>
      </c>
      <c r="B17" s="75"/>
      <c r="C17" s="75"/>
      <c r="D17" s="75"/>
      <c r="E17" s="48"/>
    </row>
    <row r="18" spans="1:5" ht="15.75">
      <c r="A18" s="60"/>
      <c r="B18" s="59"/>
      <c r="C18" s="59"/>
      <c r="D18" s="59"/>
      <c r="E18" s="62"/>
    </row>
    <row r="19" spans="1:5" ht="15.75">
      <c r="A19" s="60" t="str">
        <f>CONCATENATE("Actual Tax Rates for the ",E1-1," Budget:")</f>
        <v>Actual Tax Rates for the 2013 Budget:</v>
      </c>
      <c r="B19" s="59"/>
      <c r="C19" s="59"/>
      <c r="D19" s="59"/>
      <c r="E19" s="57"/>
    </row>
    <row r="20" spans="1:5" ht="15.75">
      <c r="A20" s="791" t="s">
        <v>10</v>
      </c>
      <c r="B20" s="792"/>
      <c r="C20" s="89"/>
      <c r="D20" s="90" t="s">
        <v>65</v>
      </c>
      <c r="E20" s="57"/>
    </row>
    <row r="21" spans="1:5" ht="15.75">
      <c r="A21" s="53" t="str">
        <f>inputPrYr!B17</f>
        <v>General</v>
      </c>
      <c r="B21" s="54"/>
      <c r="C21" s="59"/>
      <c r="D21" s="91">
        <v>25.146</v>
      </c>
      <c r="E21" s="62"/>
    </row>
    <row r="22" spans="1:5" ht="15.75">
      <c r="A22" s="86" t="str">
        <f>inputPrYr!B18</f>
        <v>Debt Service</v>
      </c>
      <c r="B22" s="75"/>
      <c r="C22" s="59"/>
      <c r="D22" s="92">
        <v>2.376</v>
      </c>
      <c r="E22" s="62"/>
    </row>
    <row r="23" spans="1:5" ht="15.75">
      <c r="A23" s="86" t="str">
        <f>inputPrYr!B19</f>
        <v>Library</v>
      </c>
      <c r="B23" s="75"/>
      <c r="C23" s="59"/>
      <c r="D23" s="92"/>
      <c r="E23" s="62"/>
    </row>
    <row r="24" spans="1:5" ht="15.75">
      <c r="A24" s="86">
        <f>inputPrYr!B21</f>
        <v>0</v>
      </c>
      <c r="B24" s="75"/>
      <c r="C24" s="59"/>
      <c r="D24" s="92"/>
      <c r="E24" s="62"/>
    </row>
    <row r="25" spans="1:5" ht="15.75">
      <c r="A25" s="86">
        <f>inputPrYr!B22</f>
        <v>0</v>
      </c>
      <c r="B25" s="75"/>
      <c r="C25" s="59"/>
      <c r="D25" s="92"/>
      <c r="E25" s="62"/>
    </row>
    <row r="26" spans="1:5" ht="15.75">
      <c r="A26" s="86">
        <f>inputPrYr!B23</f>
        <v>0</v>
      </c>
      <c r="B26" s="93"/>
      <c r="C26" s="59"/>
      <c r="D26" s="94"/>
      <c r="E26" s="62"/>
    </row>
    <row r="27" spans="1:5" ht="15.75">
      <c r="A27" s="86">
        <f>inputPrYr!B24</f>
        <v>0</v>
      </c>
      <c r="B27" s="93"/>
      <c r="C27" s="59"/>
      <c r="D27" s="94"/>
      <c r="E27" s="62"/>
    </row>
    <row r="28" spans="1:5" ht="15.75">
      <c r="A28" s="86">
        <f>inputPrYr!B25</f>
        <v>0</v>
      </c>
      <c r="B28" s="93"/>
      <c r="C28" s="59"/>
      <c r="D28" s="94"/>
      <c r="E28" s="62"/>
    </row>
    <row r="29" spans="1:5" ht="15.75">
      <c r="A29" s="86">
        <f>inputPrYr!B26</f>
        <v>0</v>
      </c>
      <c r="B29" s="93"/>
      <c r="C29" s="59"/>
      <c r="D29" s="94"/>
      <c r="E29" s="62"/>
    </row>
    <row r="30" spans="1:5" ht="15.75">
      <c r="A30" s="86">
        <f>inputPrYr!B27</f>
        <v>0</v>
      </c>
      <c r="B30" s="93"/>
      <c r="C30" s="59"/>
      <c r="D30" s="94"/>
      <c r="E30" s="62"/>
    </row>
    <row r="31" spans="1:5" ht="15.75">
      <c r="A31" s="86">
        <f>inputPrYr!B28</f>
        <v>0</v>
      </c>
      <c r="B31" s="93"/>
      <c r="C31" s="59"/>
      <c r="D31" s="94"/>
      <c r="E31" s="62"/>
    </row>
    <row r="32" spans="1:5" ht="15.75">
      <c r="A32" s="86">
        <f>inputPrYr!B29</f>
        <v>0</v>
      </c>
      <c r="B32" s="75"/>
      <c r="C32" s="59"/>
      <c r="D32" s="94"/>
      <c r="E32" s="62"/>
    </row>
    <row r="33" spans="1:5" ht="15.75">
      <c r="A33" s="86">
        <f>inputPrYr!B30</f>
        <v>0</v>
      </c>
      <c r="B33" s="54"/>
      <c r="C33" s="59"/>
      <c r="D33" s="94"/>
      <c r="E33" s="62"/>
    </row>
    <row r="34" spans="1:5" ht="15.75">
      <c r="A34" s="89"/>
      <c r="B34" s="54" t="s">
        <v>336</v>
      </c>
      <c r="C34" s="95"/>
      <c r="D34" s="70">
        <f>SUM(D21:D33)</f>
        <v>27.522000000000002</v>
      </c>
      <c r="E34" s="89"/>
    </row>
    <row r="35" spans="1:5" ht="15">
      <c r="A35" s="89"/>
      <c r="B35" s="89"/>
      <c r="C35" s="89"/>
      <c r="D35" s="89"/>
      <c r="E35" s="89"/>
    </row>
    <row r="36" spans="1:5" ht="15.75">
      <c r="A36" s="54" t="str">
        <f>CONCATENATE("Final Assessed Valuation from the November 1, ",E1-2," Abstract")</f>
        <v>Final Assessed Valuation from the November 1, 2012 Abstract</v>
      </c>
      <c r="B36" s="96"/>
      <c r="C36" s="96"/>
      <c r="D36" s="96"/>
      <c r="E36" s="48">
        <v>144859898</v>
      </c>
    </row>
    <row r="37" spans="1:5" ht="15">
      <c r="A37" s="89"/>
      <c r="B37" s="89"/>
      <c r="C37" s="89"/>
      <c r="D37" s="89"/>
      <c r="E37" s="89"/>
    </row>
    <row r="38" spans="1:5" ht="15.75">
      <c r="A38" s="65" t="str">
        <f>CONCATENATE("From the County Treasurer's Budget Information - ",E1," Budget Year Estimates:")</f>
        <v>From the County Treasurer's Budget Information - 2014 Budget Year Estimates:</v>
      </c>
      <c r="B38" s="36"/>
      <c r="C38" s="36"/>
      <c r="D38" s="97"/>
      <c r="E38" s="50"/>
    </row>
    <row r="39" spans="1:5" ht="15.75">
      <c r="A39" s="53" t="s">
        <v>337</v>
      </c>
      <c r="B39" s="54"/>
      <c r="C39" s="54"/>
      <c r="D39" s="98"/>
      <c r="E39" s="49">
        <f>369800+31610+1</f>
        <v>401411</v>
      </c>
    </row>
    <row r="40" spans="1:5" ht="15.75">
      <c r="A40" s="86" t="s">
        <v>338</v>
      </c>
      <c r="B40" s="75"/>
      <c r="C40" s="75"/>
      <c r="D40" s="99"/>
      <c r="E40" s="49">
        <v>1406</v>
      </c>
    </row>
    <row r="41" spans="1:5" ht="15.75">
      <c r="A41" s="86" t="s">
        <v>170</v>
      </c>
      <c r="B41" s="75"/>
      <c r="C41" s="75"/>
      <c r="D41" s="99"/>
      <c r="E41" s="49">
        <v>4110</v>
      </c>
    </row>
    <row r="42" spans="1:5" ht="15.75">
      <c r="A42" s="86" t="s">
        <v>171</v>
      </c>
      <c r="B42" s="75"/>
      <c r="C42" s="75"/>
      <c r="D42" s="99"/>
      <c r="E42" s="49"/>
    </row>
    <row r="43" spans="1:5" ht="15.75">
      <c r="A43" s="86" t="s">
        <v>172</v>
      </c>
      <c r="B43" s="75"/>
      <c r="C43" s="75"/>
      <c r="D43" s="99"/>
      <c r="E43" s="49"/>
    </row>
    <row r="44" spans="1:5" ht="15.75">
      <c r="A44" s="21" t="s">
        <v>173</v>
      </c>
      <c r="B44" s="21"/>
      <c r="C44" s="21"/>
      <c r="D44" s="21"/>
      <c r="E44" s="21"/>
    </row>
    <row r="45" spans="1:5" ht="15.75">
      <c r="A45" s="23" t="s">
        <v>18</v>
      </c>
      <c r="B45" s="32"/>
      <c r="C45" s="32"/>
      <c r="D45" s="21"/>
      <c r="E45" s="21"/>
    </row>
    <row r="46" spans="1:5" ht="15.75">
      <c r="A46" s="60" t="str">
        <f>CONCATENATE("Actual Delinquency for ",E1-3," Tax - (rate .01213 = 1.213%, key in 1.2)")</f>
        <v>Actual Delinquency for 2011 Tax - (rate .01213 = 1.213%, key in 1.2)</v>
      </c>
      <c r="B46" s="59"/>
      <c r="C46" s="21"/>
      <c r="D46" s="21"/>
      <c r="E46" s="589">
        <v>0</v>
      </c>
    </row>
    <row r="47" spans="1:5" ht="15.75">
      <c r="A47" s="377" t="s">
        <v>817</v>
      </c>
      <c r="B47" s="60"/>
      <c r="C47" s="59"/>
      <c r="D47" s="59"/>
      <c r="E47" s="590"/>
    </row>
    <row r="48" spans="1:5" ht="15.75">
      <c r="A48" s="100" t="s">
        <v>219</v>
      </c>
      <c r="B48" s="100"/>
      <c r="C48" s="101"/>
      <c r="D48" s="101"/>
      <c r="E48" s="102"/>
    </row>
    <row r="49" spans="1:5" ht="15.75">
      <c r="A49" s="21"/>
      <c r="B49" s="21"/>
      <c r="C49" s="21"/>
      <c r="D49" s="21"/>
      <c r="E49" s="21"/>
    </row>
    <row r="50" spans="1:5" ht="15.75">
      <c r="A50" s="103" t="s">
        <v>263</v>
      </c>
      <c r="B50" s="104"/>
      <c r="C50" s="105"/>
      <c r="D50" s="105"/>
      <c r="E50" s="105"/>
    </row>
    <row r="51" spans="1:5" ht="15.75">
      <c r="A51" s="106" t="str">
        <f>CONCATENATE("",E1," State Distribution for Kansas Gas Tax")</f>
        <v>2014 State Distribution for Kansas Gas Tax</v>
      </c>
      <c r="B51" s="107"/>
      <c r="C51" s="107"/>
      <c r="D51" s="108"/>
      <c r="E51" s="48">
        <v>291250</v>
      </c>
    </row>
    <row r="52" spans="1:5" ht="15.75">
      <c r="A52" s="109" t="str">
        <f>CONCATENATE("",E1," County Transfers for Gas***")</f>
        <v>2014 County Transfers for Gas***</v>
      </c>
      <c r="B52" s="110"/>
      <c r="C52" s="110"/>
      <c r="D52" s="111"/>
      <c r="E52" s="48"/>
    </row>
    <row r="53" spans="1:5" ht="15.75">
      <c r="A53" s="109" t="str">
        <f>CONCATENATE("Adjusted ",E1-1," State Distribution for Kansas Gas Tax")</f>
        <v>Adjusted 2013 State Distribution for Kansas Gas Tax</v>
      </c>
      <c r="B53" s="110"/>
      <c r="C53" s="110"/>
      <c r="D53" s="111"/>
      <c r="E53" s="48">
        <v>286370</v>
      </c>
    </row>
    <row r="54" spans="1:5" ht="15.75">
      <c r="A54" s="109" t="str">
        <f>CONCATENATE("Adjusted ",E1-1," County Transfers for Gas***")</f>
        <v>Adjusted 2013 County Transfers for Gas***</v>
      </c>
      <c r="B54" s="110"/>
      <c r="C54" s="110"/>
      <c r="D54" s="111"/>
      <c r="E54" s="48"/>
    </row>
    <row r="55" spans="1:5" ht="15">
      <c r="A55" s="793" t="s">
        <v>239</v>
      </c>
      <c r="B55" s="794"/>
      <c r="C55" s="794"/>
      <c r="D55" s="794"/>
      <c r="E55" s="794"/>
    </row>
    <row r="56" spans="1:5" ht="15">
      <c r="A56" s="112" t="s">
        <v>240</v>
      </c>
      <c r="B56" s="112"/>
      <c r="C56" s="112"/>
      <c r="D56" s="112"/>
      <c r="E56" s="112"/>
    </row>
    <row r="57" spans="1:5" ht="15">
      <c r="A57" s="84"/>
      <c r="B57" s="84"/>
      <c r="C57" s="84"/>
      <c r="D57" s="84"/>
      <c r="E57" s="84"/>
    </row>
    <row r="58" spans="1:5" ht="15.75">
      <c r="A58" s="795" t="str">
        <f>CONCATENATE("From the ",E1-2," Budget Certificate Page")</f>
        <v>From the 2012 Budget Certificate Page</v>
      </c>
      <c r="B58" s="796"/>
      <c r="C58" s="84"/>
      <c r="D58" s="84"/>
      <c r="E58" s="84"/>
    </row>
    <row r="59" spans="1:5" ht="15.75">
      <c r="A59" s="113"/>
      <c r="B59" s="113" t="str">
        <f>CONCATENATE("",E1-2," Expenditure Amounts")</f>
        <v>2012 Expenditure Amounts</v>
      </c>
      <c r="C59" s="789" t="str">
        <f>CONCATENATE("Note: If the ",E1-2," budget was amended, then the")</f>
        <v>Note: If the 2012 budget was amended, then the</v>
      </c>
      <c r="D59" s="790"/>
      <c r="E59" s="790"/>
    </row>
    <row r="60" spans="1:5" ht="15.75">
      <c r="A60" s="114" t="s">
        <v>267</v>
      </c>
      <c r="B60" s="114" t="s">
        <v>268</v>
      </c>
      <c r="C60" s="115" t="s">
        <v>269</v>
      </c>
      <c r="D60" s="116"/>
      <c r="E60" s="116"/>
    </row>
    <row r="61" spans="1:5" ht="15.75">
      <c r="A61" s="117" t="str">
        <f>inputPrYr!B17</f>
        <v>General</v>
      </c>
      <c r="B61" s="48">
        <v>16487692</v>
      </c>
      <c r="C61" s="115" t="s">
        <v>270</v>
      </c>
      <c r="D61" s="116"/>
      <c r="E61" s="116"/>
    </row>
    <row r="62" spans="1:5" ht="15.75">
      <c r="A62" s="117" t="str">
        <f>inputPrYr!B18</f>
        <v>Debt Service</v>
      </c>
      <c r="B62" s="48">
        <v>3271330</v>
      </c>
      <c r="C62" s="115"/>
      <c r="D62" s="116"/>
      <c r="E62" s="116"/>
    </row>
    <row r="63" spans="1:5" ht="15.75">
      <c r="A63" s="117" t="str">
        <f>inputPrYr!B19</f>
        <v>Library</v>
      </c>
      <c r="B63" s="48"/>
      <c r="C63" s="84"/>
      <c r="D63" s="84"/>
      <c r="E63" s="84"/>
    </row>
    <row r="64" spans="1:5" ht="15.75">
      <c r="A64" s="117">
        <f>inputPrYr!B21</f>
        <v>0</v>
      </c>
      <c r="B64" s="48"/>
      <c r="C64" s="84"/>
      <c r="D64" s="84"/>
      <c r="E64" s="84"/>
    </row>
    <row r="65" spans="1:5" ht="15.75">
      <c r="A65" s="117">
        <f>inputPrYr!B22</f>
        <v>0</v>
      </c>
      <c r="B65" s="48"/>
      <c r="C65" s="84"/>
      <c r="D65" s="84"/>
      <c r="E65" s="84"/>
    </row>
    <row r="66" spans="1:5" ht="15.75">
      <c r="A66" s="117">
        <f>inputPrYr!B23</f>
        <v>0</v>
      </c>
      <c r="B66" s="48"/>
      <c r="C66" s="84"/>
      <c r="D66" s="84"/>
      <c r="E66" s="84"/>
    </row>
    <row r="67" spans="1:5" ht="15.75">
      <c r="A67" s="117">
        <f>inputPrYr!B24</f>
        <v>0</v>
      </c>
      <c r="B67" s="48"/>
      <c r="C67" s="84"/>
      <c r="D67" s="84"/>
      <c r="E67" s="84"/>
    </row>
    <row r="68" spans="1:5" ht="15.75">
      <c r="A68" s="117">
        <f>inputPrYr!B25</f>
        <v>0</v>
      </c>
      <c r="B68" s="48"/>
      <c r="C68" s="84"/>
      <c r="D68" s="84"/>
      <c r="E68" s="84"/>
    </row>
    <row r="69" spans="1:5" ht="15.75">
      <c r="A69" s="117">
        <f>inputPrYr!B26</f>
        <v>0</v>
      </c>
      <c r="B69" s="48"/>
      <c r="C69" s="84"/>
      <c r="D69" s="84"/>
      <c r="E69" s="84"/>
    </row>
    <row r="70" spans="1:5" ht="15.75">
      <c r="A70" s="117">
        <f>inputPrYr!B27</f>
        <v>0</v>
      </c>
      <c r="B70" s="48"/>
      <c r="C70" s="84"/>
      <c r="D70" s="84"/>
      <c r="E70" s="84"/>
    </row>
    <row r="71" spans="1:5" ht="15.75">
      <c r="A71" s="117">
        <f>inputPrYr!B28</f>
        <v>0</v>
      </c>
      <c r="B71" s="48"/>
      <c r="C71" s="84"/>
      <c r="D71" s="84"/>
      <c r="E71" s="84"/>
    </row>
    <row r="72" spans="1:5" ht="15.75">
      <c r="A72" s="117">
        <f>inputPrYr!B29</f>
        <v>0</v>
      </c>
      <c r="B72" s="48"/>
      <c r="C72" s="84"/>
      <c r="D72" s="84"/>
      <c r="E72" s="84"/>
    </row>
    <row r="73" spans="1:5" ht="15.75">
      <c r="A73" s="117">
        <f>inputPrYr!B30</f>
        <v>0</v>
      </c>
      <c r="B73" s="48"/>
      <c r="C73" s="84"/>
      <c r="D73" s="84"/>
      <c r="E73" s="84"/>
    </row>
    <row r="74" spans="1:5" ht="15.75">
      <c r="A74" s="117" t="str">
        <f>inputPrYr!B34</f>
        <v>Special Highway</v>
      </c>
      <c r="B74" s="48">
        <v>453401</v>
      </c>
      <c r="C74" s="84"/>
      <c r="D74" s="84"/>
      <c r="E74" s="84"/>
    </row>
    <row r="75" spans="1:5" ht="15.75">
      <c r="A75" s="117" t="str">
        <f>inputPrYr!B35</f>
        <v>Special Alcohol</v>
      </c>
      <c r="B75" s="48">
        <v>20972</v>
      </c>
      <c r="C75" s="84"/>
      <c r="D75" s="84"/>
      <c r="E75" s="84"/>
    </row>
    <row r="76" spans="1:5" ht="15.75">
      <c r="A76" s="117" t="str">
        <f>inputPrYr!B36</f>
        <v>Special Parks &amp; Recreation</v>
      </c>
      <c r="B76" s="48">
        <v>24733</v>
      </c>
      <c r="C76" s="84"/>
      <c r="D76" s="84"/>
      <c r="E76" s="84"/>
    </row>
    <row r="77" spans="1:5" ht="15.75">
      <c r="A77" s="117" t="str">
        <f>inputPrYr!B37</f>
        <v>Risk Management Reserve</v>
      </c>
      <c r="B77" s="48">
        <v>838388</v>
      </c>
      <c r="C77" s="84"/>
      <c r="D77" s="84"/>
      <c r="E77" s="84"/>
    </row>
    <row r="78" spans="1:5" ht="15.75">
      <c r="A78" s="117" t="str">
        <f>inputPrYr!B38</f>
        <v>Equipment Reserve</v>
      </c>
      <c r="B78" s="48">
        <v>1359384</v>
      </c>
      <c r="C78" s="84"/>
      <c r="D78" s="84"/>
      <c r="E78" s="84"/>
    </row>
    <row r="79" spans="1:5" ht="15.75">
      <c r="A79" s="117">
        <f>inputPrYr!B39</f>
        <v>0</v>
      </c>
      <c r="B79" s="48"/>
      <c r="C79" s="84"/>
      <c r="D79" s="84"/>
      <c r="E79" s="84"/>
    </row>
    <row r="80" spans="1:5" ht="15.75">
      <c r="A80" s="117">
        <f>inputPrYr!B40</f>
        <v>0</v>
      </c>
      <c r="B80" s="48"/>
      <c r="C80" s="84"/>
      <c r="D80" s="84"/>
      <c r="E80" s="84"/>
    </row>
    <row r="81" spans="1:5" ht="15.75">
      <c r="A81" s="117">
        <f>inputPrYr!B41</f>
        <v>0</v>
      </c>
      <c r="B81" s="48"/>
      <c r="C81" s="84"/>
      <c r="D81" s="84"/>
      <c r="E81" s="84"/>
    </row>
    <row r="82" spans="1:5" ht="15.75">
      <c r="A82" s="117" t="str">
        <f>inputPrYr!B44</f>
        <v>Transient Guest Tax</v>
      </c>
      <c r="B82" s="48">
        <v>366951</v>
      </c>
      <c r="C82" s="84"/>
      <c r="D82" s="84"/>
      <c r="E82" s="84"/>
    </row>
    <row r="83" spans="1:5" ht="15.75">
      <c r="A83" s="117" t="str">
        <f>inputPrYr!B45</f>
        <v>Capital Improvement</v>
      </c>
      <c r="B83" s="48">
        <v>10214510</v>
      </c>
      <c r="C83" s="84"/>
      <c r="D83" s="84"/>
      <c r="E83" s="84"/>
    </row>
    <row r="84" spans="1:5" ht="15.75">
      <c r="A84" s="117">
        <f>inputPrYr!B46</f>
        <v>0</v>
      </c>
      <c r="B84" s="48"/>
      <c r="C84" s="84"/>
      <c r="D84" s="84"/>
      <c r="E84" s="84"/>
    </row>
    <row r="85" spans="1:5" ht="15.75">
      <c r="A85" s="117">
        <f>inputPrYr!B47</f>
        <v>0</v>
      </c>
      <c r="B85" s="48"/>
      <c r="C85" s="84"/>
      <c r="D85" s="84"/>
      <c r="E85" s="84"/>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4"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6">
      <selection activeCell="B30" sqref="B30"/>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5">
        <f>inputPrYr!$C$2</f>
        <v>0</v>
      </c>
      <c r="B1" s="267"/>
      <c r="C1" s="85"/>
      <c r="D1" s="85"/>
      <c r="E1" s="85"/>
      <c r="F1" s="268" t="s">
        <v>186</v>
      </c>
      <c r="G1" s="85"/>
      <c r="H1" s="85"/>
      <c r="I1" s="85"/>
      <c r="J1" s="85"/>
      <c r="K1" s="85">
        <f>inputPrYr!$C$5</f>
        <v>2014</v>
      </c>
    </row>
    <row r="2" spans="1:11" ht="15.75">
      <c r="A2" s="85"/>
      <c r="B2" s="85"/>
      <c r="C2" s="85"/>
      <c r="D2" s="85"/>
      <c r="E2" s="85"/>
      <c r="F2" s="269" t="str">
        <f>CONCATENATE("(Only the actual budget year for ",K1-2," is to be shown)")</f>
        <v>(Only the actual budget year for 2012 is to be shown)</v>
      </c>
      <c r="G2" s="85"/>
      <c r="H2" s="85"/>
      <c r="I2" s="85"/>
      <c r="J2" s="85"/>
      <c r="K2" s="85"/>
    </row>
    <row r="3" spans="1:11" ht="15.75">
      <c r="A3" s="85" t="s">
        <v>217</v>
      </c>
      <c r="B3" s="85"/>
      <c r="C3" s="85"/>
      <c r="D3" s="85"/>
      <c r="E3" s="85"/>
      <c r="F3" s="267"/>
      <c r="G3" s="85"/>
      <c r="H3" s="85"/>
      <c r="I3" s="85"/>
      <c r="J3" s="85"/>
      <c r="K3" s="85"/>
    </row>
    <row r="4" spans="1:11" ht="15.75">
      <c r="A4" s="85" t="s">
        <v>194</v>
      </c>
      <c r="B4" s="85"/>
      <c r="C4" s="85" t="s">
        <v>195</v>
      </c>
      <c r="D4" s="85"/>
      <c r="E4" s="85" t="s">
        <v>196</v>
      </c>
      <c r="F4" s="267"/>
      <c r="G4" s="85" t="s">
        <v>197</v>
      </c>
      <c r="H4" s="85"/>
      <c r="I4" s="85" t="s">
        <v>198</v>
      </c>
      <c r="J4" s="85"/>
      <c r="K4" s="85"/>
    </row>
    <row r="5" spans="1:11" ht="15.75">
      <c r="A5" s="861" t="str">
        <f>inputPrYr!$B51</f>
        <v>TIF A</v>
      </c>
      <c r="B5" s="862"/>
      <c r="C5" s="861" t="str">
        <f>inputPrYr!$B52</f>
        <v>TIF B</v>
      </c>
      <c r="D5" s="862"/>
      <c r="E5" s="861" t="str">
        <f>inputPrYr!$B53</f>
        <v>Special Law Enforcement</v>
      </c>
      <c r="F5" s="862"/>
      <c r="G5" s="861">
        <f>inputPrYr!$B54</f>
        <v>0</v>
      </c>
      <c r="H5" s="862"/>
      <c r="I5" s="861">
        <f>inputPrYr!$B55</f>
        <v>0</v>
      </c>
      <c r="J5" s="862"/>
      <c r="K5" s="106"/>
    </row>
    <row r="6" spans="1:11" ht="15.75">
      <c r="A6" s="271" t="s">
        <v>182</v>
      </c>
      <c r="B6" s="272"/>
      <c r="C6" s="273" t="s">
        <v>182</v>
      </c>
      <c r="D6" s="274"/>
      <c r="E6" s="273" t="s">
        <v>182</v>
      </c>
      <c r="F6" s="275"/>
      <c r="G6" s="273" t="s">
        <v>182</v>
      </c>
      <c r="H6" s="270"/>
      <c r="I6" s="273" t="s">
        <v>182</v>
      </c>
      <c r="J6" s="85"/>
      <c r="K6" s="276" t="s">
        <v>336</v>
      </c>
    </row>
    <row r="7" spans="1:11" ht="15.75">
      <c r="A7" s="277" t="s">
        <v>279</v>
      </c>
      <c r="B7" s="278">
        <v>661057</v>
      </c>
      <c r="C7" s="279" t="s">
        <v>279</v>
      </c>
      <c r="D7" s="278">
        <v>350</v>
      </c>
      <c r="E7" s="279" t="s">
        <v>279</v>
      </c>
      <c r="F7" s="278">
        <v>28747</v>
      </c>
      <c r="G7" s="279" t="s">
        <v>279</v>
      </c>
      <c r="H7" s="278"/>
      <c r="I7" s="279" t="s">
        <v>279</v>
      </c>
      <c r="J7" s="278"/>
      <c r="K7" s="280">
        <f>SUM(B7+D7+F7+H7+J7)</f>
        <v>690154</v>
      </c>
    </row>
    <row r="8" spans="1:11" ht="15.75">
      <c r="A8" s="281" t="s">
        <v>149</v>
      </c>
      <c r="B8" s="282"/>
      <c r="C8" s="281" t="s">
        <v>149</v>
      </c>
      <c r="D8" s="283"/>
      <c r="E8" s="281" t="s">
        <v>149</v>
      </c>
      <c r="F8" s="267"/>
      <c r="G8" s="281" t="s">
        <v>149</v>
      </c>
      <c r="H8" s="85"/>
      <c r="I8" s="281" t="s">
        <v>149</v>
      </c>
      <c r="J8" s="85"/>
      <c r="K8" s="267"/>
    </row>
    <row r="9" spans="1:11" ht="15.75">
      <c r="A9" s="284" t="s">
        <v>1077</v>
      </c>
      <c r="B9" s="278">
        <f>9702710*27.412/1000</f>
        <v>265970.68652</v>
      </c>
      <c r="C9" s="284" t="s">
        <v>1077</v>
      </c>
      <c r="D9" s="278">
        <f>14053864*27.412/1000</f>
        <v>385244.519968</v>
      </c>
      <c r="E9" s="284" t="s">
        <v>1073</v>
      </c>
      <c r="F9" s="278">
        <v>11944</v>
      </c>
      <c r="G9" s="284"/>
      <c r="H9" s="278"/>
      <c r="I9" s="284"/>
      <c r="J9" s="278"/>
      <c r="K9" s="267"/>
    </row>
    <row r="10" spans="1:11" ht="15.75">
      <c r="A10" s="284" t="s">
        <v>1078</v>
      </c>
      <c r="B10" s="278">
        <f>1150248-265971</f>
        <v>884277</v>
      </c>
      <c r="C10" s="284" t="s">
        <v>1078</v>
      </c>
      <c r="D10" s="278">
        <f>1508364-385245</f>
        <v>1123119</v>
      </c>
      <c r="E10" s="284" t="s">
        <v>1074</v>
      </c>
      <c r="F10" s="278">
        <v>225</v>
      </c>
      <c r="G10" s="284"/>
      <c r="H10" s="278"/>
      <c r="I10" s="284"/>
      <c r="J10" s="278"/>
      <c r="K10" s="267"/>
    </row>
    <row r="11" spans="1:11" ht="15.75">
      <c r="A11" s="285" t="s">
        <v>1079</v>
      </c>
      <c r="B11" s="278">
        <v>145541</v>
      </c>
      <c r="C11" s="285" t="s">
        <v>1079</v>
      </c>
      <c r="D11" s="286">
        <v>210808</v>
      </c>
      <c r="E11" s="285" t="s">
        <v>1075</v>
      </c>
      <c r="F11" s="286">
        <v>116</v>
      </c>
      <c r="G11" s="285"/>
      <c r="H11" s="286"/>
      <c r="I11" s="287"/>
      <c r="J11" s="278"/>
      <c r="K11" s="267"/>
    </row>
    <row r="12" spans="1:11" ht="15.75">
      <c r="A12" s="284"/>
      <c r="B12" s="288"/>
      <c r="C12" s="284"/>
      <c r="D12" s="289"/>
      <c r="E12" s="290" t="s">
        <v>1048</v>
      </c>
      <c r="F12" s="289">
        <v>1558</v>
      </c>
      <c r="G12" s="290"/>
      <c r="H12" s="289"/>
      <c r="I12" s="290"/>
      <c r="J12" s="278"/>
      <c r="K12" s="267"/>
    </row>
    <row r="13" spans="1:11" ht="15.75">
      <c r="A13" s="291"/>
      <c r="B13" s="292"/>
      <c r="C13" s="293"/>
      <c r="D13" s="292"/>
      <c r="E13" s="293"/>
      <c r="F13" s="292"/>
      <c r="G13" s="293"/>
      <c r="H13" s="292"/>
      <c r="I13" s="287"/>
      <c r="J13" s="278"/>
      <c r="K13" s="267"/>
    </row>
    <row r="14" spans="1:11" ht="15.75">
      <c r="A14" s="284"/>
      <c r="B14" s="278"/>
      <c r="C14" s="290"/>
      <c r="D14" s="289"/>
      <c r="E14" s="290"/>
      <c r="F14" s="289"/>
      <c r="G14" s="290"/>
      <c r="H14" s="289"/>
      <c r="I14" s="290"/>
      <c r="J14" s="278"/>
      <c r="K14" s="267"/>
    </row>
    <row r="15" spans="1:11" ht="15.75">
      <c r="A15" s="284"/>
      <c r="B15" s="278"/>
      <c r="C15" s="290"/>
      <c r="D15" s="289"/>
      <c r="E15" s="290"/>
      <c r="F15" s="289"/>
      <c r="G15" s="290"/>
      <c r="H15" s="289"/>
      <c r="I15" s="290"/>
      <c r="J15" s="278"/>
      <c r="K15" s="267"/>
    </row>
    <row r="16" spans="1:11" ht="15.75">
      <c r="A16" s="284"/>
      <c r="B16" s="292"/>
      <c r="C16" s="284"/>
      <c r="D16" s="292"/>
      <c r="E16" s="284"/>
      <c r="F16" s="278"/>
      <c r="G16" s="290"/>
      <c r="H16" s="292"/>
      <c r="I16" s="284"/>
      <c r="J16" s="289"/>
      <c r="K16" s="267"/>
    </row>
    <row r="17" spans="1:11" ht="15.75">
      <c r="A17" s="281" t="s">
        <v>33</v>
      </c>
      <c r="B17" s="280">
        <f>SUM(B9:B16)</f>
        <v>1295788.68652</v>
      </c>
      <c r="C17" s="281" t="s">
        <v>33</v>
      </c>
      <c r="D17" s="294">
        <f>SUM(D9:D16)</f>
        <v>1719171.519968</v>
      </c>
      <c r="E17" s="281" t="s">
        <v>33</v>
      </c>
      <c r="F17" s="295">
        <f>SUM(F9:F16)</f>
        <v>13843</v>
      </c>
      <c r="G17" s="281" t="s">
        <v>33</v>
      </c>
      <c r="H17" s="294">
        <f>SUM(H9:H16)</f>
        <v>0</v>
      </c>
      <c r="I17" s="281" t="s">
        <v>33</v>
      </c>
      <c r="J17" s="294">
        <f>SUM(J9:J16)</f>
        <v>0</v>
      </c>
      <c r="K17" s="280">
        <f>SUM(B17+D17+F17+H17+J17)</f>
        <v>3028803.206488</v>
      </c>
    </row>
    <row r="18" spans="1:11" ht="15.75">
      <c r="A18" s="281" t="s">
        <v>34</v>
      </c>
      <c r="B18" s="280">
        <f>SUM(B7+B17)</f>
        <v>1956845.68652</v>
      </c>
      <c r="C18" s="281" t="s">
        <v>34</v>
      </c>
      <c r="D18" s="280">
        <f>SUM(D7+D17)</f>
        <v>1719521.519968</v>
      </c>
      <c r="E18" s="281" t="s">
        <v>34</v>
      </c>
      <c r="F18" s="280">
        <f>SUM(F7+F17)</f>
        <v>42590</v>
      </c>
      <c r="G18" s="281" t="s">
        <v>34</v>
      </c>
      <c r="H18" s="280">
        <f>SUM(H7+H17)</f>
        <v>0</v>
      </c>
      <c r="I18" s="281" t="s">
        <v>34</v>
      </c>
      <c r="J18" s="280">
        <f>SUM(J7+J17)</f>
        <v>0</v>
      </c>
      <c r="K18" s="280">
        <f>SUM(B18+D18+F18+H18+J18)</f>
        <v>3718957.206488</v>
      </c>
    </row>
    <row r="19" spans="1:11" ht="15.75">
      <c r="A19" s="281" t="s">
        <v>36</v>
      </c>
      <c r="B19" s="282"/>
      <c r="C19" s="281" t="s">
        <v>36</v>
      </c>
      <c r="D19" s="283"/>
      <c r="E19" s="281" t="s">
        <v>36</v>
      </c>
      <c r="F19" s="267"/>
      <c r="G19" s="281" t="s">
        <v>36</v>
      </c>
      <c r="H19" s="85"/>
      <c r="I19" s="281" t="s">
        <v>36</v>
      </c>
      <c r="J19" s="85"/>
      <c r="K19" s="267"/>
    </row>
    <row r="20" spans="1:11" ht="15.75">
      <c r="A20" s="290" t="s">
        <v>78</v>
      </c>
      <c r="B20" s="278">
        <v>1276886</v>
      </c>
      <c r="C20" s="290" t="s">
        <v>1081</v>
      </c>
      <c r="D20" s="278">
        <v>240644</v>
      </c>
      <c r="E20" s="290" t="s">
        <v>1076</v>
      </c>
      <c r="F20" s="278">
        <v>7447</v>
      </c>
      <c r="G20" s="290"/>
      <c r="H20" s="278"/>
      <c r="I20" s="290"/>
      <c r="J20" s="278"/>
      <c r="K20" s="267"/>
    </row>
    <row r="21" spans="1:11" ht="15.75">
      <c r="A21" s="290" t="s">
        <v>76</v>
      </c>
      <c r="B21" s="278">
        <v>124906</v>
      </c>
      <c r="C21" s="290" t="s">
        <v>1082</v>
      </c>
      <c r="D21" s="289">
        <v>190046</v>
      </c>
      <c r="E21" s="290"/>
      <c r="F21" s="289"/>
      <c r="G21" s="290"/>
      <c r="H21" s="289"/>
      <c r="I21" s="290"/>
      <c r="J21" s="296"/>
      <c r="K21" s="267"/>
    </row>
    <row r="22" spans="1:11" ht="15.75">
      <c r="A22" s="284" t="s">
        <v>1083</v>
      </c>
      <c r="B22" s="278">
        <v>1134</v>
      </c>
      <c r="C22" s="293" t="s">
        <v>1080</v>
      </c>
      <c r="D22" s="292">
        <v>1270000</v>
      </c>
      <c r="E22" s="293"/>
      <c r="F22" s="292"/>
      <c r="G22" s="293"/>
      <c r="H22" s="292"/>
      <c r="I22" s="287"/>
      <c r="J22" s="278"/>
      <c r="K22" s="267"/>
    </row>
    <row r="23" spans="1:11" ht="15.75">
      <c r="A23" s="284"/>
      <c r="B23" s="278"/>
      <c r="C23" s="290" t="s">
        <v>271</v>
      </c>
      <c r="D23" s="289">
        <v>7628</v>
      </c>
      <c r="E23" s="290"/>
      <c r="F23" s="289"/>
      <c r="G23" s="290"/>
      <c r="H23" s="289"/>
      <c r="I23" s="290"/>
      <c r="J23" s="278"/>
      <c r="K23" s="267"/>
    </row>
    <row r="24" spans="1:11" ht="15.75">
      <c r="A24" s="284"/>
      <c r="B24" s="297"/>
      <c r="C24" s="293"/>
      <c r="D24" s="292"/>
      <c r="E24" s="293"/>
      <c r="F24" s="292"/>
      <c r="G24" s="293"/>
      <c r="H24" s="292"/>
      <c r="I24" s="287"/>
      <c r="J24" s="278"/>
      <c r="K24" s="267"/>
    </row>
    <row r="25" spans="1:11" ht="15.75">
      <c r="A25" s="284"/>
      <c r="B25" s="278"/>
      <c r="C25" s="290"/>
      <c r="D25" s="289"/>
      <c r="E25" s="290"/>
      <c r="F25" s="289"/>
      <c r="G25" s="290"/>
      <c r="H25" s="289"/>
      <c r="I25" s="290"/>
      <c r="J25" s="278"/>
      <c r="K25" s="267"/>
    </row>
    <row r="26" spans="1:11" ht="15.75">
      <c r="A26" s="284"/>
      <c r="B26" s="278"/>
      <c r="C26" s="290"/>
      <c r="D26" s="289"/>
      <c r="E26" s="290"/>
      <c r="F26" s="289"/>
      <c r="G26" s="290"/>
      <c r="H26" s="289"/>
      <c r="I26" s="290"/>
      <c r="J26" s="278"/>
      <c r="K26" s="267"/>
    </row>
    <row r="27" spans="1:11" ht="15.75">
      <c r="A27" s="284"/>
      <c r="B27" s="296"/>
      <c r="C27" s="284"/>
      <c r="D27" s="288"/>
      <c r="E27" s="284"/>
      <c r="F27" s="289"/>
      <c r="G27" s="290"/>
      <c r="H27" s="289"/>
      <c r="I27" s="290"/>
      <c r="J27" s="278"/>
      <c r="K27" s="267"/>
    </row>
    <row r="28" spans="1:11" ht="15.75">
      <c r="A28" s="281" t="s">
        <v>40</v>
      </c>
      <c r="B28" s="280">
        <f>SUM(B20:B27)</f>
        <v>1402926</v>
      </c>
      <c r="C28" s="281" t="s">
        <v>40</v>
      </c>
      <c r="D28" s="280">
        <f>SUM(D20:D27)</f>
        <v>1708318</v>
      </c>
      <c r="E28" s="281" t="s">
        <v>40</v>
      </c>
      <c r="F28" s="383">
        <f>SUM(F20:F27)</f>
        <v>7447</v>
      </c>
      <c r="G28" s="281" t="s">
        <v>40</v>
      </c>
      <c r="H28" s="383">
        <f>SUM(H20:H27)</f>
        <v>0</v>
      </c>
      <c r="I28" s="281" t="s">
        <v>40</v>
      </c>
      <c r="J28" s="280">
        <f>SUM(J20:J27)</f>
        <v>0</v>
      </c>
      <c r="K28" s="280">
        <f>SUM(B28+D28+F28+H28+J28)</f>
        <v>3118691</v>
      </c>
    </row>
    <row r="29" spans="1:12" ht="15.75">
      <c r="A29" s="281" t="s">
        <v>181</v>
      </c>
      <c r="B29" s="280">
        <f>SUM(B18-B28)</f>
        <v>553919.68652</v>
      </c>
      <c r="C29" s="281" t="s">
        <v>181</v>
      </c>
      <c r="D29" s="280">
        <f>SUM(D18-D28)</f>
        <v>11203.519968000008</v>
      </c>
      <c r="E29" s="281" t="s">
        <v>181</v>
      </c>
      <c r="F29" s="280">
        <f>SUM(F18-F28)</f>
        <v>35143</v>
      </c>
      <c r="G29" s="281" t="s">
        <v>181</v>
      </c>
      <c r="H29" s="280">
        <f>SUM(H18-H28)</f>
        <v>0</v>
      </c>
      <c r="I29" s="281" t="s">
        <v>181</v>
      </c>
      <c r="J29" s="280">
        <f>SUM(J18-J28)</f>
        <v>0</v>
      </c>
      <c r="K29" s="298">
        <f>SUM(B29+D29+F29+H29+J29)</f>
        <v>600266.206488</v>
      </c>
      <c r="L29" s="299" t="s">
        <v>253</v>
      </c>
    </row>
    <row r="30" spans="1:12" ht="15.75">
      <c r="A30" s="281"/>
      <c r="B30" s="322">
        <f>IF(B29&lt;0,"See Tab B","")</f>
      </c>
      <c r="C30" s="281"/>
      <c r="D30" s="322">
        <f>IF(D29&lt;0,"See Tab B","")</f>
      </c>
      <c r="E30" s="281"/>
      <c r="F30" s="322">
        <f>IF(F29&lt;0,"See Tab B","")</f>
      </c>
      <c r="G30" s="85"/>
      <c r="H30" s="322">
        <f>IF(H29&lt;0,"See Tab B","")</f>
      </c>
      <c r="I30" s="85"/>
      <c r="J30" s="322">
        <f>IF(J29&lt;0,"See Tab B","")</f>
      </c>
      <c r="K30" s="298">
        <f>SUM(K7+K17-K28)</f>
        <v>600266.2064880002</v>
      </c>
      <c r="L30" s="299" t="s">
        <v>253</v>
      </c>
    </row>
    <row r="31" spans="1:11" ht="15.75">
      <c r="A31" s="85"/>
      <c r="B31" s="300"/>
      <c r="C31" s="85"/>
      <c r="D31" s="267"/>
      <c r="E31" s="85"/>
      <c r="F31" s="85"/>
      <c r="G31" s="18" t="s">
        <v>254</v>
      </c>
      <c r="H31" s="18"/>
      <c r="I31" s="18"/>
      <c r="J31" s="18"/>
      <c r="K31" s="85"/>
    </row>
    <row r="32" spans="1:11" ht="15.75">
      <c r="A32" s="85"/>
      <c r="B32" s="300"/>
      <c r="C32" s="85"/>
      <c r="D32" s="85"/>
      <c r="E32" s="85"/>
      <c r="F32" s="85"/>
      <c r="G32" s="85"/>
      <c r="H32" s="85"/>
      <c r="I32" s="85"/>
      <c r="J32" s="85"/>
      <c r="K32" s="85"/>
    </row>
    <row r="33" spans="1:11" ht="15.75">
      <c r="A33" s="85"/>
      <c r="B33" s="300"/>
      <c r="C33" s="85"/>
      <c r="D33" s="85"/>
      <c r="E33" s="244" t="s">
        <v>43</v>
      </c>
      <c r="F33" s="249">
        <v>14</v>
      </c>
      <c r="G33" s="85"/>
      <c r="H33" s="85"/>
      <c r="I33" s="85"/>
      <c r="J33" s="85"/>
      <c r="K33" s="85"/>
    </row>
    <row r="34" ht="15.75">
      <c r="B34" s="301"/>
    </row>
    <row r="35" ht="15.75">
      <c r="B35" s="301"/>
    </row>
    <row r="36" ht="15.75">
      <c r="B36" s="301"/>
    </row>
    <row r="37" ht="15.75">
      <c r="B37" s="301"/>
    </row>
    <row r="38" ht="15.75">
      <c r="B38" s="301"/>
    </row>
    <row r="39" ht="15.75">
      <c r="B39" s="301"/>
    </row>
    <row r="40" ht="15.75">
      <c r="B40" s="301"/>
    </row>
    <row r="41" ht="15.75">
      <c r="B41" s="301"/>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3"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5">
        <f>inputPrYr!$C$2</f>
        <v>0</v>
      </c>
      <c r="B1" s="267"/>
      <c r="C1" s="85"/>
      <c r="D1" s="85"/>
      <c r="E1" s="85"/>
      <c r="F1" s="268" t="s">
        <v>187</v>
      </c>
      <c r="G1" s="85"/>
      <c r="H1" s="85"/>
      <c r="I1" s="85"/>
      <c r="J1" s="85"/>
      <c r="K1" s="85">
        <f>inputPrYr!$C$5</f>
        <v>2014</v>
      </c>
    </row>
    <row r="2" spans="1:11" ht="15.75">
      <c r="A2" s="85"/>
      <c r="B2" s="85"/>
      <c r="C2" s="85"/>
      <c r="D2" s="85"/>
      <c r="E2" s="85"/>
      <c r="F2" s="267" t="str">
        <f>CONCATENATE("(Only the actual budget year for ",K1-2," is to be shown)")</f>
        <v>(Only the actual budget year for 2012 is to be shown)</v>
      </c>
      <c r="G2" s="85"/>
      <c r="H2" s="85"/>
      <c r="I2" s="85"/>
      <c r="J2" s="85"/>
      <c r="K2" s="85"/>
    </row>
    <row r="3" spans="1:11" ht="15.75">
      <c r="A3" s="85" t="s">
        <v>218</v>
      </c>
      <c r="B3" s="85"/>
      <c r="C3" s="85"/>
      <c r="D3" s="85"/>
      <c r="E3" s="85"/>
      <c r="F3" s="267"/>
      <c r="G3" s="85"/>
      <c r="H3" s="85"/>
      <c r="I3" s="85"/>
      <c r="J3" s="85"/>
      <c r="K3" s="85"/>
    </row>
    <row r="4" spans="1:11" ht="15.75">
      <c r="A4" s="85" t="s">
        <v>194</v>
      </c>
      <c r="B4" s="85"/>
      <c r="C4" s="85" t="s">
        <v>195</v>
      </c>
      <c r="D4" s="85"/>
      <c r="E4" s="85" t="s">
        <v>196</v>
      </c>
      <c r="F4" s="267"/>
      <c r="G4" s="85" t="s">
        <v>197</v>
      </c>
      <c r="H4" s="85"/>
      <c r="I4" s="85" t="s">
        <v>198</v>
      </c>
      <c r="J4" s="85"/>
      <c r="K4" s="85"/>
    </row>
    <row r="5" spans="1:11" ht="15.75">
      <c r="A5" s="861">
        <f>inputPrYr!$B57</f>
        <v>0</v>
      </c>
      <c r="B5" s="862"/>
      <c r="C5" s="861">
        <f>inputPrYr!$B58</f>
        <v>0</v>
      </c>
      <c r="D5" s="862"/>
      <c r="E5" s="861">
        <f>inputPrYr!$B59</f>
        <v>0</v>
      </c>
      <c r="F5" s="862"/>
      <c r="G5" s="861">
        <f>inputPrYr!$B60</f>
        <v>0</v>
      </c>
      <c r="H5" s="862"/>
      <c r="I5" s="861">
        <f>inputPrYr!$B61</f>
        <v>0</v>
      </c>
      <c r="J5" s="862"/>
      <c r="K5" s="106"/>
    </row>
    <row r="6" spans="1:11" ht="15.75">
      <c r="A6" s="271" t="s">
        <v>182</v>
      </c>
      <c r="B6" s="272"/>
      <c r="C6" s="273" t="s">
        <v>182</v>
      </c>
      <c r="D6" s="274"/>
      <c r="E6" s="273" t="s">
        <v>182</v>
      </c>
      <c r="F6" s="275"/>
      <c r="G6" s="273" t="s">
        <v>182</v>
      </c>
      <c r="H6" s="270"/>
      <c r="I6" s="273" t="s">
        <v>182</v>
      </c>
      <c r="J6" s="85"/>
      <c r="K6" s="276" t="s">
        <v>336</v>
      </c>
    </row>
    <row r="7" spans="1:11" ht="15.75">
      <c r="A7" s="277" t="s">
        <v>181</v>
      </c>
      <c r="B7" s="278"/>
      <c r="C7" s="279" t="s">
        <v>181</v>
      </c>
      <c r="D7" s="278"/>
      <c r="E7" s="279" t="s">
        <v>181</v>
      </c>
      <c r="F7" s="278"/>
      <c r="G7" s="279" t="s">
        <v>181</v>
      </c>
      <c r="H7" s="278"/>
      <c r="I7" s="279" t="s">
        <v>181</v>
      </c>
      <c r="J7" s="278"/>
      <c r="K7" s="280">
        <f>SUM(B7+D7+F7+H7+J7)</f>
        <v>0</v>
      </c>
    </row>
    <row r="8" spans="1:11" ht="15.75">
      <c r="A8" s="281" t="s">
        <v>149</v>
      </c>
      <c r="B8" s="282"/>
      <c r="C8" s="281" t="s">
        <v>149</v>
      </c>
      <c r="D8" s="283"/>
      <c r="E8" s="281" t="s">
        <v>149</v>
      </c>
      <c r="F8" s="267"/>
      <c r="G8" s="281" t="s">
        <v>149</v>
      </c>
      <c r="H8" s="85"/>
      <c r="I8" s="281" t="s">
        <v>149</v>
      </c>
      <c r="J8" s="85"/>
      <c r="K8" s="267"/>
    </row>
    <row r="9" spans="1:11" ht="15.75">
      <c r="A9" s="284"/>
      <c r="B9" s="278"/>
      <c r="C9" s="284"/>
      <c r="D9" s="278"/>
      <c r="E9" s="284"/>
      <c r="F9" s="278"/>
      <c r="G9" s="284"/>
      <c r="H9" s="278"/>
      <c r="I9" s="284"/>
      <c r="J9" s="278"/>
      <c r="K9" s="267"/>
    </row>
    <row r="10" spans="1:11" ht="15.75">
      <c r="A10" s="284"/>
      <c r="B10" s="278"/>
      <c r="C10" s="284"/>
      <c r="D10" s="278"/>
      <c r="E10" s="284"/>
      <c r="F10" s="278"/>
      <c r="G10" s="284"/>
      <c r="H10" s="278"/>
      <c r="I10" s="284"/>
      <c r="J10" s="278"/>
      <c r="K10" s="267"/>
    </row>
    <row r="11" spans="1:11" ht="15.75">
      <c r="A11" s="284"/>
      <c r="B11" s="278"/>
      <c r="C11" s="285"/>
      <c r="D11" s="286"/>
      <c r="E11" s="285"/>
      <c r="F11" s="286"/>
      <c r="G11" s="285"/>
      <c r="H11" s="286"/>
      <c r="I11" s="287"/>
      <c r="J11" s="278"/>
      <c r="K11" s="267"/>
    </row>
    <row r="12" spans="1:11" ht="15.75">
      <c r="A12" s="284"/>
      <c r="B12" s="288"/>
      <c r="C12" s="284"/>
      <c r="D12" s="289"/>
      <c r="E12" s="290"/>
      <c r="F12" s="289"/>
      <c r="G12" s="290"/>
      <c r="H12" s="289"/>
      <c r="I12" s="290"/>
      <c r="J12" s="278"/>
      <c r="K12" s="267"/>
    </row>
    <row r="13" spans="1:11" ht="15.75">
      <c r="A13" s="291"/>
      <c r="B13" s="292"/>
      <c r="C13" s="293"/>
      <c r="D13" s="292"/>
      <c r="E13" s="293"/>
      <c r="F13" s="292"/>
      <c r="G13" s="293"/>
      <c r="H13" s="292"/>
      <c r="I13" s="287"/>
      <c r="J13" s="278"/>
      <c r="K13" s="267"/>
    </row>
    <row r="14" spans="1:11" ht="15.75">
      <c r="A14" s="284"/>
      <c r="B14" s="278"/>
      <c r="C14" s="290"/>
      <c r="D14" s="289"/>
      <c r="E14" s="290"/>
      <c r="F14" s="289"/>
      <c r="G14" s="290"/>
      <c r="H14" s="289"/>
      <c r="I14" s="290"/>
      <c r="J14" s="278"/>
      <c r="K14" s="267"/>
    </row>
    <row r="15" spans="1:11" ht="15.75">
      <c r="A15" s="284"/>
      <c r="B15" s="278"/>
      <c r="C15" s="290"/>
      <c r="D15" s="289"/>
      <c r="E15" s="290"/>
      <c r="F15" s="289"/>
      <c r="G15" s="290"/>
      <c r="H15" s="289"/>
      <c r="I15" s="290"/>
      <c r="J15" s="278"/>
      <c r="K15" s="267"/>
    </row>
    <row r="16" spans="1:11" ht="15.75">
      <c r="A16" s="284"/>
      <c r="B16" s="292"/>
      <c r="C16" s="284"/>
      <c r="D16" s="292"/>
      <c r="E16" s="284"/>
      <c r="F16" s="278"/>
      <c r="G16" s="290"/>
      <c r="H16" s="292"/>
      <c r="I16" s="284"/>
      <c r="J16" s="289"/>
      <c r="K16" s="267"/>
    </row>
    <row r="17" spans="1:11" ht="15.75">
      <c r="A17" s="281" t="s">
        <v>33</v>
      </c>
      <c r="B17" s="280">
        <f>SUM(B9:B16)</f>
        <v>0</v>
      </c>
      <c r="C17" s="281" t="s">
        <v>33</v>
      </c>
      <c r="D17" s="294">
        <f>SUM(D9:D16)</f>
        <v>0</v>
      </c>
      <c r="E17" s="281" t="s">
        <v>33</v>
      </c>
      <c r="F17" s="295">
        <f>SUM(F9:F16)</f>
        <v>0</v>
      </c>
      <c r="G17" s="281" t="s">
        <v>33</v>
      </c>
      <c r="H17" s="294">
        <f>SUM(H9:H16)</f>
        <v>0</v>
      </c>
      <c r="I17" s="281" t="s">
        <v>33</v>
      </c>
      <c r="J17" s="294">
        <f>SUM(J9:J16)</f>
        <v>0</v>
      </c>
      <c r="K17" s="280">
        <f>SUM(B17+D17+F17+H17+J17)</f>
        <v>0</v>
      </c>
    </row>
    <row r="18" spans="1:11" ht="15.75">
      <c r="A18" s="281" t="s">
        <v>34</v>
      </c>
      <c r="B18" s="280">
        <f>SUM(B7+B17)</f>
        <v>0</v>
      </c>
      <c r="C18" s="281" t="s">
        <v>34</v>
      </c>
      <c r="D18" s="280">
        <f>SUM(D7+D17)</f>
        <v>0</v>
      </c>
      <c r="E18" s="281" t="s">
        <v>34</v>
      </c>
      <c r="F18" s="280">
        <f>SUM(F7+F17)</f>
        <v>0</v>
      </c>
      <c r="G18" s="281" t="s">
        <v>34</v>
      </c>
      <c r="H18" s="280">
        <f>SUM(H7+H17)</f>
        <v>0</v>
      </c>
      <c r="I18" s="281" t="s">
        <v>34</v>
      </c>
      <c r="J18" s="280">
        <f>SUM(J7+J17)</f>
        <v>0</v>
      </c>
      <c r="K18" s="280">
        <f>SUM(B18+D18+F18+H18+J18)</f>
        <v>0</v>
      </c>
    </row>
    <row r="19" spans="1:11" ht="15.75">
      <c r="A19" s="281" t="s">
        <v>36</v>
      </c>
      <c r="B19" s="282"/>
      <c r="C19" s="281" t="s">
        <v>36</v>
      </c>
      <c r="D19" s="283"/>
      <c r="E19" s="281" t="s">
        <v>36</v>
      </c>
      <c r="F19" s="267"/>
      <c r="G19" s="281" t="s">
        <v>36</v>
      </c>
      <c r="H19" s="85"/>
      <c r="I19" s="281" t="s">
        <v>36</v>
      </c>
      <c r="J19" s="85"/>
      <c r="K19" s="267"/>
    </row>
    <row r="20" spans="1:11" ht="15.75">
      <c r="A20" s="284"/>
      <c r="B20" s="278"/>
      <c r="C20" s="290"/>
      <c r="D20" s="278"/>
      <c r="E20" s="290"/>
      <c r="F20" s="278"/>
      <c r="G20" s="290"/>
      <c r="H20" s="278"/>
      <c r="I20" s="290"/>
      <c r="J20" s="278"/>
      <c r="K20" s="267"/>
    </row>
    <row r="21" spans="1:11" ht="15.75">
      <c r="A21" s="284"/>
      <c r="B21" s="278"/>
      <c r="C21" s="290"/>
      <c r="D21" s="289"/>
      <c r="E21" s="290"/>
      <c r="F21" s="289"/>
      <c r="G21" s="290"/>
      <c r="H21" s="289"/>
      <c r="I21" s="290"/>
      <c r="J21" s="296"/>
      <c r="K21" s="267"/>
    </row>
    <row r="22" spans="1:11" ht="15.75">
      <c r="A22" s="284"/>
      <c r="B22" s="297"/>
      <c r="C22" s="293"/>
      <c r="D22" s="292"/>
      <c r="E22" s="293"/>
      <c r="F22" s="292"/>
      <c r="G22" s="293"/>
      <c r="H22" s="292"/>
      <c r="I22" s="287"/>
      <c r="J22" s="278"/>
      <c r="K22" s="267"/>
    </row>
    <row r="23" spans="1:11" ht="15.75">
      <c r="A23" s="284"/>
      <c r="B23" s="278"/>
      <c r="C23" s="290"/>
      <c r="D23" s="289"/>
      <c r="E23" s="290"/>
      <c r="F23" s="289"/>
      <c r="G23" s="290"/>
      <c r="H23" s="289"/>
      <c r="I23" s="290"/>
      <c r="J23" s="278"/>
      <c r="K23" s="267"/>
    </row>
    <row r="24" spans="1:11" ht="15.75">
      <c r="A24" s="284"/>
      <c r="B24" s="297"/>
      <c r="C24" s="293"/>
      <c r="D24" s="292"/>
      <c r="E24" s="293"/>
      <c r="F24" s="292"/>
      <c r="G24" s="293"/>
      <c r="H24" s="292"/>
      <c r="I24" s="287"/>
      <c r="J24" s="278"/>
      <c r="K24" s="267"/>
    </row>
    <row r="25" spans="1:11" ht="15.75">
      <c r="A25" s="284"/>
      <c r="B25" s="278"/>
      <c r="C25" s="290"/>
      <c r="D25" s="289"/>
      <c r="E25" s="290"/>
      <c r="F25" s="289"/>
      <c r="G25" s="290"/>
      <c r="H25" s="289"/>
      <c r="I25" s="290"/>
      <c r="J25" s="278"/>
      <c r="K25" s="267"/>
    </row>
    <row r="26" spans="1:11" ht="15.75">
      <c r="A26" s="284"/>
      <c r="B26" s="278"/>
      <c r="C26" s="290"/>
      <c r="D26" s="289"/>
      <c r="E26" s="290"/>
      <c r="F26" s="289"/>
      <c r="G26" s="290"/>
      <c r="H26" s="289"/>
      <c r="I26" s="290"/>
      <c r="J26" s="278"/>
      <c r="K26" s="267"/>
    </row>
    <row r="27" spans="1:11" ht="15.75">
      <c r="A27" s="284"/>
      <c r="B27" s="296"/>
      <c r="C27" s="284"/>
      <c r="D27" s="288"/>
      <c r="E27" s="284"/>
      <c r="F27" s="289"/>
      <c r="G27" s="290"/>
      <c r="H27" s="289"/>
      <c r="I27" s="290"/>
      <c r="J27" s="278"/>
      <c r="K27" s="267"/>
    </row>
    <row r="28" spans="1:11" ht="15.75">
      <c r="A28" s="281" t="s">
        <v>40</v>
      </c>
      <c r="B28" s="280">
        <f>SUM(B20:B27)</f>
        <v>0</v>
      </c>
      <c r="C28" s="281" t="s">
        <v>40</v>
      </c>
      <c r="D28" s="280">
        <f>SUM(D20:D27)</f>
        <v>0</v>
      </c>
      <c r="E28" s="281" t="s">
        <v>40</v>
      </c>
      <c r="F28" s="383">
        <f>SUM(F20:F27)</f>
        <v>0</v>
      </c>
      <c r="G28" s="281" t="s">
        <v>40</v>
      </c>
      <c r="H28" s="383">
        <f>SUM(H20:H27)</f>
        <v>0</v>
      </c>
      <c r="I28" s="281" t="s">
        <v>40</v>
      </c>
      <c r="J28" s="280">
        <f>SUM(J20:J27)</f>
        <v>0</v>
      </c>
      <c r="K28" s="280">
        <f>SUM(B28+D28+F28+H28+J28)</f>
        <v>0</v>
      </c>
    </row>
    <row r="29" spans="1:12" ht="15.75">
      <c r="A29" s="281" t="s">
        <v>181</v>
      </c>
      <c r="B29" s="280">
        <f>SUM(B18-B28)</f>
        <v>0</v>
      </c>
      <c r="C29" s="281" t="s">
        <v>181</v>
      </c>
      <c r="D29" s="280">
        <f>SUM(D18-D28)</f>
        <v>0</v>
      </c>
      <c r="E29" s="281" t="s">
        <v>181</v>
      </c>
      <c r="F29" s="280">
        <f>SUM(F18-F28)</f>
        <v>0</v>
      </c>
      <c r="G29" s="281" t="s">
        <v>181</v>
      </c>
      <c r="H29" s="280">
        <f>SUM(H18-H28)</f>
        <v>0</v>
      </c>
      <c r="I29" s="281" t="s">
        <v>181</v>
      </c>
      <c r="J29" s="280">
        <f>SUM(J18-J28)</f>
        <v>0</v>
      </c>
      <c r="K29" s="298">
        <f>SUM(B29+D29+F29+H29+J29)</f>
        <v>0</v>
      </c>
      <c r="L29" s="299" t="s">
        <v>253</v>
      </c>
    </row>
    <row r="30" spans="1:12" ht="15.75">
      <c r="A30" s="281"/>
      <c r="B30" s="322">
        <f>IF(B29&lt;0,"See Tab B","")</f>
      </c>
      <c r="C30" s="281"/>
      <c r="D30" s="322">
        <f>IF(D29&lt;0,"See Tab B","")</f>
      </c>
      <c r="E30" s="281"/>
      <c r="F30" s="322">
        <f>IF(F29&lt;0,"See Tab B","")</f>
      </c>
      <c r="G30" s="85"/>
      <c r="H30" s="322">
        <f>IF(H29&lt;0,"See Tab B","")</f>
      </c>
      <c r="I30" s="85"/>
      <c r="J30" s="322">
        <f>IF(J29&lt;0,"See Tab B","")</f>
      </c>
      <c r="K30" s="298">
        <f>SUM(K7+K17-K28)</f>
        <v>0</v>
      </c>
      <c r="L30" s="299" t="s">
        <v>253</v>
      </c>
    </row>
    <row r="31" spans="1:11" ht="15.75">
      <c r="A31" s="85"/>
      <c r="B31" s="300"/>
      <c r="C31" s="85"/>
      <c r="D31" s="267"/>
      <c r="E31" s="85"/>
      <c r="F31" s="85"/>
      <c r="G31" s="18" t="s">
        <v>254</v>
      </c>
      <c r="H31" s="18"/>
      <c r="I31" s="18"/>
      <c r="J31" s="18"/>
      <c r="K31" s="85"/>
    </row>
    <row r="32" spans="1:11" ht="15.75">
      <c r="A32" s="85"/>
      <c r="B32" s="300"/>
      <c r="C32" s="85"/>
      <c r="D32" s="85"/>
      <c r="E32" s="85"/>
      <c r="F32" s="85"/>
      <c r="G32" s="85"/>
      <c r="H32" s="85"/>
      <c r="I32" s="85"/>
      <c r="J32" s="85"/>
      <c r="K32" s="85"/>
    </row>
    <row r="33" spans="1:11" ht="15.75">
      <c r="A33" s="85"/>
      <c r="B33" s="300"/>
      <c r="C33" s="85"/>
      <c r="D33" s="85"/>
      <c r="E33" s="244" t="s">
        <v>43</v>
      </c>
      <c r="F33" s="249"/>
      <c r="G33" s="85"/>
      <c r="H33" s="85"/>
      <c r="I33" s="85"/>
      <c r="J33" s="85"/>
      <c r="K33" s="85"/>
    </row>
    <row r="34" ht="15.75">
      <c r="B34" s="301"/>
    </row>
    <row r="35" ht="15.75">
      <c r="B35" s="301"/>
    </row>
    <row r="36" ht="15.75">
      <c r="B36" s="301"/>
    </row>
    <row r="37" ht="15.75">
      <c r="B37" s="301"/>
    </row>
    <row r="38" ht="15.75">
      <c r="B38" s="301"/>
    </row>
    <row r="39" ht="15.75">
      <c r="B39" s="301"/>
    </row>
    <row r="40" ht="15.75">
      <c r="B40" s="301"/>
    </row>
    <row r="41" ht="15.75">
      <c r="B41" s="301"/>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82" customWidth="1"/>
    <col min="2" max="16384" width="8.8984375" style="82" customWidth="1"/>
  </cols>
  <sheetData>
    <row r="1" ht="18.75">
      <c r="A1" s="465" t="s">
        <v>373</v>
      </c>
    </row>
    <row r="2" ht="15.75">
      <c r="A2" s="1"/>
    </row>
    <row r="3" ht="57" customHeight="1">
      <c r="A3" s="466" t="s">
        <v>722</v>
      </c>
    </row>
    <row r="4" ht="15.75">
      <c r="A4" s="467"/>
    </row>
    <row r="5" ht="15.75">
      <c r="A5" s="1"/>
    </row>
    <row r="6" ht="44.25" customHeight="1">
      <c r="A6" s="466" t="s">
        <v>723</v>
      </c>
    </row>
    <row r="7" ht="15.75">
      <c r="A7" s="1"/>
    </row>
    <row r="8" ht="15.75">
      <c r="A8" s="467"/>
    </row>
    <row r="9" ht="46.5" customHeight="1">
      <c r="A9" s="466" t="s">
        <v>724</v>
      </c>
    </row>
    <row r="10" ht="15.75">
      <c r="A10" s="1"/>
    </row>
    <row r="11" ht="15.75">
      <c r="A11" s="467"/>
    </row>
    <row r="12" ht="60" customHeight="1">
      <c r="A12" s="466" t="s">
        <v>725</v>
      </c>
    </row>
    <row r="13" ht="15.75">
      <c r="A13" s="1"/>
    </row>
    <row r="14" ht="15.75">
      <c r="A14" s="1"/>
    </row>
    <row r="15" ht="61.5" customHeight="1">
      <c r="A15" s="466" t="s">
        <v>726</v>
      </c>
    </row>
    <row r="16" ht="15.75">
      <c r="A16" s="1"/>
    </row>
    <row r="17" ht="15.75">
      <c r="A17" s="1"/>
    </row>
    <row r="18" ht="59.25" customHeight="1">
      <c r="A18" s="466" t="s">
        <v>727</v>
      </c>
    </row>
    <row r="19" ht="15.75">
      <c r="A19" s="1"/>
    </row>
    <row r="20" ht="15.75">
      <c r="A20" s="1"/>
    </row>
    <row r="21" ht="61.5" customHeight="1">
      <c r="A21" s="466" t="s">
        <v>728</v>
      </c>
    </row>
    <row r="22" ht="15.75">
      <c r="A22" s="467"/>
    </row>
    <row r="23" ht="15.75">
      <c r="A23" s="467"/>
    </row>
    <row r="24" ht="63" customHeight="1">
      <c r="A24" s="466" t="s">
        <v>729</v>
      </c>
    </row>
    <row r="25" ht="15.75">
      <c r="A25" s="1"/>
    </row>
    <row r="26" ht="15.75">
      <c r="A26" s="1"/>
    </row>
    <row r="27" ht="52.5" customHeight="1">
      <c r="A27" s="468" t="s">
        <v>730</v>
      </c>
    </row>
    <row r="28" ht="15.75">
      <c r="A28" s="1"/>
    </row>
    <row r="29" ht="15.75">
      <c r="A29" s="1"/>
    </row>
    <row r="30" ht="44.25" customHeight="1">
      <c r="A30" s="466" t="s">
        <v>731</v>
      </c>
    </row>
    <row r="31" ht="15.75">
      <c r="A31" s="1"/>
    </row>
    <row r="32" ht="15.75">
      <c r="A32" s="1"/>
    </row>
    <row r="33" ht="42.75" customHeight="1">
      <c r="A33" s="466" t="s">
        <v>732</v>
      </c>
    </row>
    <row r="34" ht="15.75">
      <c r="A34" s="467"/>
    </row>
    <row r="35" ht="15.75">
      <c r="A35" s="467"/>
    </row>
    <row r="36" ht="38.25" customHeight="1">
      <c r="A36" s="466" t="s">
        <v>733</v>
      </c>
    </row>
    <row r="37" ht="15.75">
      <c r="A37" s="467"/>
    </row>
    <row r="38" ht="15.75">
      <c r="A38" s="1"/>
    </row>
    <row r="39" ht="75.75" customHeight="1">
      <c r="A39" s="466" t="s">
        <v>734</v>
      </c>
    </row>
    <row r="40" ht="15.75">
      <c r="A40" s="1"/>
    </row>
    <row r="41" ht="15.75">
      <c r="A41" s="1"/>
    </row>
    <row r="42" ht="57.75" customHeight="1">
      <c r="A42" s="466" t="s">
        <v>735</v>
      </c>
    </row>
    <row r="43" ht="15.75">
      <c r="A43" s="467"/>
    </row>
    <row r="44" ht="15.75">
      <c r="A44" s="1"/>
    </row>
    <row r="45" ht="57.75" customHeight="1">
      <c r="A45" s="466" t="s">
        <v>736</v>
      </c>
    </row>
    <row r="46" ht="15.75">
      <c r="A46" s="1"/>
    </row>
    <row r="47" ht="15.75">
      <c r="A47" s="1"/>
    </row>
    <row r="48" ht="41.25" customHeight="1">
      <c r="A48" s="466" t="s">
        <v>737</v>
      </c>
    </row>
    <row r="49" ht="15.75">
      <c r="A49" s="1"/>
    </row>
    <row r="50" ht="15.75">
      <c r="A50" s="1"/>
    </row>
    <row r="51" ht="75" customHeight="1">
      <c r="A51" s="466" t="s">
        <v>738</v>
      </c>
    </row>
    <row r="52" ht="15.75">
      <c r="A52" s="467"/>
    </row>
    <row r="53" ht="15.75">
      <c r="A53" s="467"/>
    </row>
    <row r="54" ht="57.75" customHeight="1">
      <c r="A54" s="466" t="s">
        <v>739</v>
      </c>
    </row>
    <row r="55" ht="15.75">
      <c r="A55" s="1"/>
    </row>
    <row r="56" ht="15.75">
      <c r="A56" s="1"/>
    </row>
    <row r="57" ht="44.25" customHeight="1">
      <c r="A57" s="466" t="s">
        <v>740</v>
      </c>
    </row>
    <row r="58" ht="15.75">
      <c r="A58" s="1"/>
    </row>
    <row r="59" ht="15.75">
      <c r="A59" s="1"/>
    </row>
    <row r="60" ht="60" customHeight="1">
      <c r="A60" s="466" t="s">
        <v>741</v>
      </c>
    </row>
    <row r="61" ht="15.75">
      <c r="A61" s="467"/>
    </row>
    <row r="62" ht="15.75">
      <c r="A62" s="467"/>
    </row>
    <row r="63" ht="57.75" customHeight="1">
      <c r="A63" s="466" t="s">
        <v>742</v>
      </c>
    </row>
    <row r="64" ht="15.75">
      <c r="A64" s="1"/>
    </row>
    <row r="65" ht="15.75">
      <c r="A65" s="1"/>
    </row>
    <row r="66" ht="60" customHeight="1">
      <c r="A66" s="466" t="s">
        <v>743</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33" sqref="A33"/>
    </sheetView>
  </sheetViews>
  <sheetFormatPr defaultColWidth="8.796875" defaultRowHeight="15"/>
  <cols>
    <col min="1" max="1" width="10.796875" style="82" customWidth="1"/>
    <col min="2" max="2" width="15.59765625" style="82" customWidth="1"/>
    <col min="3" max="4" width="12.796875" style="82" customWidth="1"/>
    <col min="5" max="5" width="11.796875" style="82" customWidth="1"/>
    <col min="6" max="16384" width="8.8984375" style="82" customWidth="1"/>
  </cols>
  <sheetData>
    <row r="1" spans="1:6" ht="15.75">
      <c r="A1" s="150" t="str">
        <f>inputPrYr!D2</f>
        <v>City of Merriam</v>
      </c>
      <c r="B1" s="21"/>
      <c r="C1" s="21"/>
      <c r="D1" s="21"/>
      <c r="E1" s="21"/>
      <c r="F1" s="21">
        <f>inputPrYr!C5</f>
        <v>2014</v>
      </c>
    </row>
    <row r="2" spans="1:6" ht="15.75">
      <c r="A2" s="21"/>
      <c r="B2" s="21"/>
      <c r="C2" s="21"/>
      <c r="D2" s="21"/>
      <c r="E2" s="21"/>
      <c r="F2" s="21"/>
    </row>
    <row r="3" spans="1:6" ht="15.75">
      <c r="A3" s="21"/>
      <c r="B3" s="822" t="str">
        <f>CONCATENATE("",F1," Neighborhood Revitalization Rebate")</f>
        <v>2014 Neighborhood Revitalization Rebate</v>
      </c>
      <c r="C3" s="864"/>
      <c r="D3" s="864"/>
      <c r="E3" s="864"/>
      <c r="F3" s="21"/>
    </row>
    <row r="4" spans="1:6" ht="15.75">
      <c r="A4" s="21"/>
      <c r="B4" s="21"/>
      <c r="C4" s="21"/>
      <c r="D4" s="21"/>
      <c r="E4" s="21"/>
      <c r="F4" s="77"/>
    </row>
    <row r="5" spans="1:6" ht="51.75" customHeight="1">
      <c r="A5" s="21"/>
      <c r="B5" s="307" t="str">
        <f>CONCATENATE("Budgeted Funds          for ",F1,"")</f>
        <v>Budgeted Funds          for 2014</v>
      </c>
      <c r="C5" s="307" t="str">
        <f>CONCATENATE("",F1-1," Ad Valorem before Rebate**")</f>
        <v>2013 Ad Valorem before Rebate**</v>
      </c>
      <c r="D5" s="308" t="str">
        <f>CONCATENATE("",F1-1," Mil Rate before Rebate")</f>
        <v>2013 Mil Rate before Rebate</v>
      </c>
      <c r="E5" s="309" t="str">
        <f>CONCATENATE("Estimate ",F1," NR Rebate")</f>
        <v>Estimate 2014 NR Rebate</v>
      </c>
      <c r="F5" s="77"/>
    </row>
    <row r="6" spans="1:6" ht="18" customHeight="1">
      <c r="A6" s="21"/>
      <c r="B6" s="46" t="s">
        <v>335</v>
      </c>
      <c r="C6" s="310"/>
      <c r="D6" s="311">
        <f>IF(C6&gt;0,C6/$D$24,"")</f>
      </c>
      <c r="E6" s="182">
        <f aca="true" t="shared" si="0" ref="E6:E17">IF(C6&gt;0,ROUND(D6*$D$28,0),"")</f>
      </c>
      <c r="F6" s="77"/>
    </row>
    <row r="7" spans="1:6" ht="15.75">
      <c r="A7" s="21"/>
      <c r="B7" s="46" t="str">
        <f>inputPrYr!B18</f>
        <v>Debt Service</v>
      </c>
      <c r="C7" s="310"/>
      <c r="D7" s="311">
        <f aca="true" t="shared" si="1" ref="D7:D17">IF(C7&gt;0,C7/$D$24,"")</f>
      </c>
      <c r="E7" s="182">
        <f t="shared" si="0"/>
      </c>
      <c r="F7" s="77"/>
    </row>
    <row r="8" spans="1:6" ht="15.75">
      <c r="A8" s="21"/>
      <c r="B8" s="67" t="str">
        <f>IF((inputPrYr!$B19&gt;"  "),(inputPrYr!$B19),"  ")</f>
        <v>Library</v>
      </c>
      <c r="C8" s="310"/>
      <c r="D8" s="311">
        <f t="shared" si="1"/>
      </c>
      <c r="E8" s="182">
        <f t="shared" si="0"/>
      </c>
      <c r="F8" s="77"/>
    </row>
    <row r="9" spans="1:6" ht="15.75">
      <c r="A9" s="21"/>
      <c r="B9" s="67" t="str">
        <f>IF((inputPrYr!$B21&gt;"  "),(inputPrYr!$B21),"  ")</f>
        <v>  </v>
      </c>
      <c r="C9" s="310"/>
      <c r="D9" s="311">
        <f t="shared" si="1"/>
      </c>
      <c r="E9" s="182">
        <f t="shared" si="0"/>
      </c>
      <c r="F9" s="77"/>
    </row>
    <row r="10" spans="1:6" ht="15.75">
      <c r="A10" s="21"/>
      <c r="B10" s="67" t="str">
        <f>IF((inputPrYr!$B22&gt;"  "),(inputPrYr!$B22),"  ")</f>
        <v>  </v>
      </c>
      <c r="C10" s="310"/>
      <c r="D10" s="311">
        <f t="shared" si="1"/>
      </c>
      <c r="E10" s="182">
        <f t="shared" si="0"/>
      </c>
      <c r="F10" s="77"/>
    </row>
    <row r="11" spans="1:6" ht="15.75">
      <c r="A11" s="21"/>
      <c r="B11" s="67" t="str">
        <f>IF((inputPrYr!$B23&gt;"  "),(inputPrYr!$B23),"  ")</f>
        <v>  </v>
      </c>
      <c r="C11" s="310"/>
      <c r="D11" s="311">
        <f t="shared" si="1"/>
      </c>
      <c r="E11" s="182">
        <f t="shared" si="0"/>
      </c>
      <c r="F11" s="77"/>
    </row>
    <row r="12" spans="1:6" ht="15.75">
      <c r="A12" s="21"/>
      <c r="B12" s="67" t="str">
        <f>IF((inputPrYr!$B24&gt;"  "),(inputPrYr!$B24),"  ")</f>
        <v>  </v>
      </c>
      <c r="C12" s="312"/>
      <c r="D12" s="311">
        <f t="shared" si="1"/>
      </c>
      <c r="E12" s="182">
        <f t="shared" si="0"/>
      </c>
      <c r="F12" s="77"/>
    </row>
    <row r="13" spans="1:6" ht="15.75">
      <c r="A13" s="21"/>
      <c r="B13" s="67" t="str">
        <f>IF((inputPrYr!$B25&gt;"  "),(inputPrYr!$B25),"  ")</f>
        <v>  </v>
      </c>
      <c r="C13" s="312"/>
      <c r="D13" s="311">
        <f t="shared" si="1"/>
      </c>
      <c r="E13" s="182">
        <f t="shared" si="0"/>
      </c>
      <c r="F13" s="77"/>
    </row>
    <row r="14" spans="1:6" ht="15.75">
      <c r="A14" s="21"/>
      <c r="B14" s="67" t="str">
        <f>IF((inputPrYr!$B26&gt;"  "),(inputPrYr!$B26),"  ")</f>
        <v>  </v>
      </c>
      <c r="C14" s="312"/>
      <c r="D14" s="311">
        <f t="shared" si="1"/>
      </c>
      <c r="E14" s="182">
        <f t="shared" si="0"/>
      </c>
      <c r="F14" s="77"/>
    </row>
    <row r="15" spans="1:6" ht="15.75">
      <c r="A15" s="21"/>
      <c r="B15" s="67" t="str">
        <f>IF((inputPrYr!$B27&gt;"  "),(inputPrYr!$B27),"  ")</f>
        <v>  </v>
      </c>
      <c r="C15" s="312"/>
      <c r="D15" s="311">
        <f t="shared" si="1"/>
      </c>
      <c r="E15" s="182">
        <f t="shared" si="0"/>
      </c>
      <c r="F15" s="77"/>
    </row>
    <row r="16" spans="1:6" ht="15.75">
      <c r="A16" s="21"/>
      <c r="B16" s="67" t="str">
        <f>IF((inputPrYr!$B28&gt;"  "),(inputPrYr!$B28),"  ")</f>
        <v>  </v>
      </c>
      <c r="C16" s="312"/>
      <c r="D16" s="311">
        <f t="shared" si="1"/>
      </c>
      <c r="E16" s="182">
        <f t="shared" si="0"/>
      </c>
      <c r="F16" s="77"/>
    </row>
    <row r="17" spans="1:6" ht="15.75">
      <c r="A17" s="21"/>
      <c r="B17" s="67" t="str">
        <f>IF((inputPrYr!$B29&gt;"  "),(inputPrYr!$B29),"  ")</f>
        <v>  </v>
      </c>
      <c r="C17" s="312"/>
      <c r="D17" s="311">
        <f t="shared" si="1"/>
      </c>
      <c r="E17" s="182">
        <f t="shared" si="0"/>
      </c>
      <c r="F17" s="77"/>
    </row>
    <row r="18" spans="1:6" ht="15.75">
      <c r="A18" s="21"/>
      <c r="B18" s="67" t="str">
        <f>IF((inputPrYr!$B30&gt;"  "),(inputPrYr!$B30),"  ")</f>
        <v>  </v>
      </c>
      <c r="C18" s="312"/>
      <c r="D18" s="311">
        <f>IF(C18&gt;0,C18/$D$24,"")</f>
      </c>
      <c r="E18" s="182">
        <f>IF(C18&gt;0,ROUND(D18*$D$28,0),"")</f>
      </c>
      <c r="F18" s="77"/>
    </row>
    <row r="19" spans="1:6" ht="17.25" customHeight="1" thickBot="1">
      <c r="A19" s="21"/>
      <c r="B19" s="47" t="s">
        <v>19</v>
      </c>
      <c r="C19" s="313">
        <f>SUM(C6:C18)</f>
        <v>0</v>
      </c>
      <c r="D19" s="314">
        <f>SUM(D6:D18)</f>
        <v>0</v>
      </c>
      <c r="E19" s="313">
        <f>SUM(E6:E18)</f>
        <v>0</v>
      </c>
      <c r="F19" s="77"/>
    </row>
    <row r="20" spans="1:6" ht="16.5" thickTop="1">
      <c r="A20" s="21"/>
      <c r="B20" s="21"/>
      <c r="C20" s="21"/>
      <c r="D20" s="21"/>
      <c r="E20" s="21"/>
      <c r="F20" s="77"/>
    </row>
    <row r="21" spans="1:6" ht="15.75">
      <c r="A21" s="21"/>
      <c r="B21" s="21"/>
      <c r="C21" s="21"/>
      <c r="D21" s="21"/>
      <c r="E21" s="21"/>
      <c r="F21" s="77"/>
    </row>
    <row r="22" spans="1:6" ht="18.75" customHeight="1">
      <c r="A22" s="865" t="str">
        <f>CONCATENATE("",F1-1," July 1 Valuation:")</f>
        <v>2013 July 1 Valuation:</v>
      </c>
      <c r="B22" s="843"/>
      <c r="C22" s="865"/>
      <c r="D22" s="306">
        <f>inputOth!E7</f>
        <v>149862149</v>
      </c>
      <c r="E22" s="21"/>
      <c r="F22" s="77"/>
    </row>
    <row r="23" spans="1:6" ht="15.75">
      <c r="A23" s="21"/>
      <c r="B23" s="21"/>
      <c r="C23" s="21"/>
      <c r="D23" s="21"/>
      <c r="E23" s="21"/>
      <c r="F23" s="77"/>
    </row>
    <row r="24" spans="1:6" ht="15.75">
      <c r="A24" s="21"/>
      <c r="B24" s="865" t="s">
        <v>369</v>
      </c>
      <c r="C24" s="865"/>
      <c r="D24" s="315">
        <f>IF(D22&gt;0,(D22*0.001),"")</f>
        <v>149862.149</v>
      </c>
      <c r="E24" s="21"/>
      <c r="F24" s="77"/>
    </row>
    <row r="25" spans="1:6" ht="15.75">
      <c r="A25" s="21"/>
      <c r="B25" s="118"/>
      <c r="C25" s="118"/>
      <c r="D25" s="316"/>
      <c r="E25" s="21"/>
      <c r="F25" s="77"/>
    </row>
    <row r="26" spans="1:6" ht="15.75">
      <c r="A26" s="863" t="s">
        <v>370</v>
      </c>
      <c r="B26" s="816"/>
      <c r="C26" s="816"/>
      <c r="D26" s="317">
        <f>inputOth!E17</f>
        <v>0</v>
      </c>
      <c r="E26" s="84"/>
      <c r="F26" s="84"/>
    </row>
    <row r="27" spans="1:6" ht="15">
      <c r="A27" s="84"/>
      <c r="B27" s="84"/>
      <c r="C27" s="84"/>
      <c r="D27" s="318"/>
      <c r="E27" s="84"/>
      <c r="F27" s="84"/>
    </row>
    <row r="28" spans="1:6" ht="15.75">
      <c r="A28" s="84"/>
      <c r="B28" s="863" t="s">
        <v>371</v>
      </c>
      <c r="C28" s="843"/>
      <c r="D28" s="319">
        <f>IF(D26&gt;0,(D26*0.001),"")</f>
      </c>
      <c r="E28" s="84"/>
      <c r="F28" s="84"/>
    </row>
    <row r="29" spans="1:6" ht="15">
      <c r="A29" s="84"/>
      <c r="B29" s="84"/>
      <c r="C29" s="84"/>
      <c r="D29" s="84"/>
      <c r="E29" s="84"/>
      <c r="F29" s="84"/>
    </row>
    <row r="30" spans="1:6" ht="15">
      <c r="A30" s="84"/>
      <c r="B30" s="84"/>
      <c r="C30" s="84"/>
      <c r="D30" s="84"/>
      <c r="E30" s="84"/>
      <c r="F30" s="84"/>
    </row>
    <row r="31" spans="1:6" ht="15">
      <c r="A31" s="84"/>
      <c r="B31" s="84"/>
      <c r="C31" s="84"/>
      <c r="D31" s="84"/>
      <c r="E31" s="84"/>
      <c r="F31" s="84"/>
    </row>
    <row r="32" spans="1:6" ht="15.75">
      <c r="A32" s="345" t="str">
        <f>CONCATENATE("**This information comes from the ",F1," Budget Summary page.  See instructions tab #13 for completing")</f>
        <v>**This information comes from the 2014 Budget Summary page.  See instructions tab #13 for completing</v>
      </c>
      <c r="B32" s="84"/>
      <c r="C32" s="84"/>
      <c r="D32" s="84"/>
      <c r="E32" s="84"/>
      <c r="F32" s="84"/>
    </row>
    <row r="33" spans="1:6" ht="15.75">
      <c r="A33" s="345" t="s">
        <v>614</v>
      </c>
      <c r="B33" s="84"/>
      <c r="C33" s="84"/>
      <c r="D33" s="84"/>
      <c r="E33" s="84"/>
      <c r="F33" s="84"/>
    </row>
    <row r="34" spans="1:6" ht="15.75">
      <c r="A34" s="345"/>
      <c r="B34" s="84"/>
      <c r="C34" s="84"/>
      <c r="D34" s="84"/>
      <c r="E34" s="84"/>
      <c r="F34" s="84"/>
    </row>
    <row r="35" spans="1:6" ht="15.75">
      <c r="A35" s="345"/>
      <c r="B35" s="84"/>
      <c r="C35" s="84"/>
      <c r="D35" s="84"/>
      <c r="E35" s="84"/>
      <c r="F35" s="84"/>
    </row>
    <row r="36" spans="1:6" ht="15.75">
      <c r="A36" s="345"/>
      <c r="B36" s="84"/>
      <c r="C36" s="84"/>
      <c r="D36" s="84"/>
      <c r="E36" s="84"/>
      <c r="F36" s="84"/>
    </row>
    <row r="37" spans="1:6" ht="15.75">
      <c r="A37" s="345"/>
      <c r="B37" s="84"/>
      <c r="C37" s="84"/>
      <c r="D37" s="84"/>
      <c r="E37" s="84"/>
      <c r="F37" s="84"/>
    </row>
    <row r="38" spans="1:6" ht="15.75">
      <c r="A38" s="345"/>
      <c r="B38" s="84"/>
      <c r="C38" s="84"/>
      <c r="D38" s="84"/>
      <c r="E38" s="84"/>
      <c r="F38" s="84"/>
    </row>
    <row r="39" spans="1:6" ht="15">
      <c r="A39" s="84"/>
      <c r="B39" s="84"/>
      <c r="C39" s="84"/>
      <c r="D39" s="84"/>
      <c r="E39" s="84"/>
      <c r="F39" s="84"/>
    </row>
    <row r="40" spans="1:6" ht="15.75">
      <c r="A40" s="84"/>
      <c r="B40" s="244" t="s">
        <v>43</v>
      </c>
      <c r="C40" s="249"/>
      <c r="D40" s="84"/>
      <c r="E40" s="84"/>
      <c r="F40" s="84"/>
    </row>
    <row r="41" spans="1:6" ht="15.75">
      <c r="A41" s="77"/>
      <c r="B41" s="21"/>
      <c r="C41" s="21"/>
      <c r="D41" s="51"/>
      <c r="E41" s="77"/>
      <c r="F41" s="77"/>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6"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N41"/>
  <sheetViews>
    <sheetView zoomScalePageLayoutView="0" workbookViewId="0" topLeftCell="A1">
      <selection activeCell="A6" sqref="A6:G6"/>
    </sheetView>
  </sheetViews>
  <sheetFormatPr defaultColWidth="8.796875" defaultRowHeight="15"/>
  <sheetData>
    <row r="1" spans="1:7" ht="16.5" customHeight="1">
      <c r="A1" s="869" t="s">
        <v>156</v>
      </c>
      <c r="B1" s="869"/>
      <c r="C1" s="869"/>
      <c r="D1" s="869"/>
      <c r="E1" s="869"/>
      <c r="F1" s="869"/>
      <c r="G1" s="869"/>
    </row>
    <row r="2" spans="1:7" ht="16.5" customHeight="1">
      <c r="A2" s="869"/>
      <c r="B2" s="869"/>
      <c r="C2" s="869"/>
      <c r="D2" s="869"/>
      <c r="E2" s="869"/>
      <c r="F2" s="869"/>
      <c r="G2" s="869"/>
    </row>
    <row r="3" spans="1:7" ht="16.5" customHeight="1">
      <c r="A3" s="870"/>
      <c r="B3" s="870"/>
      <c r="C3" s="870"/>
      <c r="D3" s="870"/>
      <c r="E3" s="870"/>
      <c r="F3" s="870"/>
      <c r="G3" s="870"/>
    </row>
    <row r="4" spans="1:7" ht="16.5" customHeight="1">
      <c r="A4" s="866" t="str">
        <f>CONCATENATE("AN ORDINANCE ATTESTING TO AN INCREASE IN TAX REVENUES FOR BUDGET YEAR ",(inputPrYr!C5)," FOR THE  ",(inputPrYr!$D$2),".")</f>
        <v>AN ORDINANCE ATTESTING TO AN INCREASE IN TAX REVENUES FOR BUDGET YEAR 2014 FOR THE  City of Merriam.</v>
      </c>
      <c r="B4" s="866"/>
      <c r="C4" s="866"/>
      <c r="D4" s="866"/>
      <c r="E4" s="866"/>
      <c r="F4" s="866"/>
      <c r="G4" s="866"/>
    </row>
    <row r="5" spans="1:7" ht="16.5" customHeight="1">
      <c r="A5" s="866"/>
      <c r="B5" s="866"/>
      <c r="C5" s="866"/>
      <c r="D5" s="866"/>
      <c r="E5" s="866"/>
      <c r="F5" s="866"/>
      <c r="G5" s="866"/>
    </row>
    <row r="6" spans="1:7" ht="16.5" customHeight="1">
      <c r="A6" s="869"/>
      <c r="B6" s="869"/>
      <c r="C6" s="869"/>
      <c r="D6" s="869"/>
      <c r="E6" s="869"/>
      <c r="F6" s="869"/>
      <c r="G6" s="869"/>
    </row>
    <row r="7" spans="1:14" ht="16.5" customHeight="1">
      <c r="A7" s="866" t="str">
        <f>CONCATENATE("WHEREAS ",(inputPrYr!$D$2)," must continue to provide services to protect the health, safety, and welfare of the citizens of this community; and")</f>
        <v>WHEREAS City of Merriam must continue to provide services to protect the health, safety, and welfare of the citizens of this community; and</v>
      </c>
      <c r="B7" s="866"/>
      <c r="C7" s="866"/>
      <c r="D7" s="866"/>
      <c r="E7" s="866"/>
      <c r="F7" s="866"/>
      <c r="G7" s="866"/>
      <c r="H7" s="2"/>
      <c r="I7" s="2"/>
      <c r="J7" s="2"/>
      <c r="K7" s="2"/>
      <c r="L7" s="2"/>
      <c r="M7" s="2"/>
      <c r="N7" s="2"/>
    </row>
    <row r="8" spans="1:14" ht="16.5" customHeight="1">
      <c r="A8" s="866"/>
      <c r="B8" s="866"/>
      <c r="C8" s="866"/>
      <c r="D8" s="866"/>
      <c r="E8" s="866"/>
      <c r="F8" s="866"/>
      <c r="G8" s="866"/>
      <c r="H8" s="2"/>
      <c r="I8" s="2"/>
      <c r="J8" s="2"/>
      <c r="K8" s="2"/>
      <c r="L8" s="2"/>
      <c r="M8" s="2"/>
      <c r="N8" s="2"/>
    </row>
    <row r="9" spans="1:7" ht="16.5" customHeight="1">
      <c r="A9" s="4"/>
      <c r="B9" s="4"/>
      <c r="C9" s="4"/>
      <c r="D9" s="4"/>
      <c r="E9" s="4"/>
      <c r="F9" s="4"/>
      <c r="G9" s="4"/>
    </row>
    <row r="10" spans="1:7" ht="16.5" customHeight="1">
      <c r="A10" s="866" t="s">
        <v>157</v>
      </c>
      <c r="B10" s="866"/>
      <c r="C10" s="866"/>
      <c r="D10" s="866"/>
      <c r="E10" s="866"/>
      <c r="F10" s="866"/>
      <c r="G10" s="866"/>
    </row>
    <row r="11" spans="1:7" ht="16.5" customHeight="1">
      <c r="A11" s="866"/>
      <c r="B11" s="866"/>
      <c r="C11" s="866"/>
      <c r="D11" s="866"/>
      <c r="E11" s="866"/>
      <c r="F11" s="866"/>
      <c r="G11" s="866"/>
    </row>
    <row r="12" spans="1:7" ht="16.5" customHeight="1">
      <c r="A12" s="4"/>
      <c r="B12" s="4"/>
      <c r="C12" s="4"/>
      <c r="D12" s="4"/>
      <c r="E12" s="4"/>
      <c r="F12" s="4"/>
      <c r="G12" s="4"/>
    </row>
    <row r="13" spans="1:14" ht="16.5" customHeight="1">
      <c r="A13" s="866" t="str">
        <f>CONCATENATE("NOW THEREFORE, be it ordained by the Governing Body of the ",(inputPrYr!$D$2),":")</f>
        <v>NOW THEREFORE, be it ordained by the Governing Body of the City of Merriam:</v>
      </c>
      <c r="B13" s="866"/>
      <c r="C13" s="866"/>
      <c r="D13" s="866"/>
      <c r="E13" s="866"/>
      <c r="F13" s="866"/>
      <c r="G13" s="866"/>
      <c r="H13" s="2"/>
      <c r="I13" s="2"/>
      <c r="J13" s="2"/>
      <c r="K13" s="2"/>
      <c r="L13" s="2"/>
      <c r="M13" s="2"/>
      <c r="N13" s="2"/>
    </row>
    <row r="14" spans="1:14" ht="16.5" customHeight="1">
      <c r="A14" s="866"/>
      <c r="B14" s="866"/>
      <c r="C14" s="866"/>
      <c r="D14" s="866"/>
      <c r="E14" s="866"/>
      <c r="F14" s="866"/>
      <c r="G14" s="866"/>
      <c r="H14" s="2"/>
      <c r="I14" s="2"/>
      <c r="J14" s="2"/>
      <c r="K14" s="2"/>
      <c r="L14" s="2"/>
      <c r="M14" s="2"/>
      <c r="N14" s="2"/>
    </row>
    <row r="15" spans="1:14" ht="16.5" customHeight="1">
      <c r="A15" s="86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Merriam  has scheduled a public hearing and has prepared the proposed budget necessary to fund city services from January 1, 2014 until December 31, 2014.</v>
      </c>
      <c r="B15" s="866"/>
      <c r="C15" s="866"/>
      <c r="D15" s="866"/>
      <c r="E15" s="866"/>
      <c r="F15" s="866"/>
      <c r="G15" s="866"/>
      <c r="H15" s="2"/>
      <c r="I15" s="2"/>
      <c r="J15" s="2"/>
      <c r="K15" s="2"/>
      <c r="L15" s="2"/>
      <c r="M15" s="2"/>
      <c r="N15" s="2"/>
    </row>
    <row r="16" spans="1:14" ht="16.5" customHeight="1">
      <c r="A16" s="866"/>
      <c r="B16" s="866"/>
      <c r="C16" s="866"/>
      <c r="D16" s="866"/>
      <c r="E16" s="866"/>
      <c r="F16" s="866"/>
      <c r="G16" s="866"/>
      <c r="H16" s="2"/>
      <c r="I16" s="2"/>
      <c r="J16" s="2"/>
      <c r="K16" s="2"/>
      <c r="L16" s="2"/>
      <c r="M16" s="2"/>
      <c r="N16" s="2"/>
    </row>
    <row r="17" spans="1:14" ht="16.5" customHeight="1">
      <c r="A17" s="866"/>
      <c r="B17" s="866"/>
      <c r="C17" s="866"/>
      <c r="D17" s="866"/>
      <c r="E17" s="866"/>
      <c r="F17" s="866"/>
      <c r="G17" s="866"/>
      <c r="H17" s="3"/>
      <c r="I17" s="3"/>
      <c r="J17" s="3"/>
      <c r="K17" s="3"/>
      <c r="L17" s="3"/>
      <c r="M17" s="3"/>
      <c r="N17" s="3"/>
    </row>
    <row r="18" spans="1:7" ht="16.5" customHeight="1">
      <c r="A18" s="6"/>
      <c r="B18" s="6"/>
      <c r="C18" s="6"/>
      <c r="D18" s="6"/>
      <c r="E18" s="6"/>
      <c r="F18" s="6"/>
      <c r="G18" s="6"/>
    </row>
    <row r="19" spans="1:7" ht="16.5" customHeight="1">
      <c r="A19" s="868" t="s">
        <v>222</v>
      </c>
      <c r="B19" s="868"/>
      <c r="C19" s="868"/>
      <c r="D19" s="868"/>
      <c r="E19" s="868"/>
      <c r="F19" s="868"/>
      <c r="G19" s="868"/>
    </row>
    <row r="20" spans="1:7" ht="16.5" customHeight="1">
      <c r="A20" s="868" t="s">
        <v>223</v>
      </c>
      <c r="B20" s="868"/>
      <c r="C20" s="868"/>
      <c r="D20" s="868"/>
      <c r="E20" s="868"/>
      <c r="F20" s="868"/>
      <c r="G20" s="868"/>
    </row>
    <row r="21" spans="1:7" ht="16.5" customHeight="1">
      <c r="A21" s="868" t="str">
        <f>CONCATENATE("necessary to budget property tax revenues in an amount exceeding the levy in the ",(inputPrYr!C5-1),"")</f>
        <v>necessary to budget property tax revenues in an amount exceeding the levy in the 2013</v>
      </c>
      <c r="B21" s="868"/>
      <c r="C21" s="868"/>
      <c r="D21" s="868"/>
      <c r="E21" s="868"/>
      <c r="F21" s="868"/>
      <c r="G21" s="868"/>
    </row>
    <row r="22" spans="1:7" ht="16.5" customHeight="1">
      <c r="A22" s="5" t="s">
        <v>224</v>
      </c>
      <c r="B22" s="5"/>
      <c r="C22" s="5"/>
      <c r="D22" s="5"/>
      <c r="E22" s="5"/>
      <c r="F22" s="5"/>
      <c r="G22" s="5"/>
    </row>
    <row r="23" spans="1:7" ht="16.5" customHeight="1">
      <c r="A23" s="6"/>
      <c r="B23" s="6"/>
      <c r="C23" s="6"/>
      <c r="D23" s="6"/>
      <c r="E23" s="6"/>
      <c r="F23" s="6"/>
      <c r="G23" s="6"/>
    </row>
    <row r="24" spans="1:7" ht="16.5" customHeight="1">
      <c r="A24" s="866" t="s">
        <v>158</v>
      </c>
      <c r="B24" s="866"/>
      <c r="C24" s="866"/>
      <c r="D24" s="866"/>
      <c r="E24" s="866"/>
      <c r="F24" s="866"/>
      <c r="G24" s="866"/>
    </row>
    <row r="25" spans="1:7" ht="16.5" customHeight="1">
      <c r="A25" s="866"/>
      <c r="B25" s="866"/>
      <c r="C25" s="866"/>
      <c r="D25" s="866"/>
      <c r="E25" s="866"/>
      <c r="F25" s="866"/>
      <c r="G25" s="866"/>
    </row>
    <row r="26" spans="1:7" ht="16.5" customHeight="1">
      <c r="A26" s="6"/>
      <c r="B26" s="6"/>
      <c r="C26" s="6"/>
      <c r="D26" s="6"/>
      <c r="E26" s="6"/>
      <c r="F26" s="6"/>
      <c r="G26" s="6"/>
    </row>
    <row r="27" spans="1:7" ht="16.5" customHeight="1">
      <c r="A27" s="866" t="str">
        <f>CONCATENATE("Passed and approved by the Governing Body on this ______ day of __________, ",(inputPrYr!C5-1),".")</f>
        <v>Passed and approved by the Governing Body on this ______ day of __________, 2013.</v>
      </c>
      <c r="B27" s="866"/>
      <c r="C27" s="866"/>
      <c r="D27" s="866"/>
      <c r="E27" s="866"/>
      <c r="F27" s="866"/>
      <c r="G27" s="866"/>
    </row>
    <row r="28" spans="1:7" ht="16.5" customHeight="1">
      <c r="A28" s="866"/>
      <c r="B28" s="866"/>
      <c r="C28" s="866"/>
      <c r="D28" s="866"/>
      <c r="E28" s="866"/>
      <c r="F28" s="866"/>
      <c r="G28" s="866"/>
    </row>
    <row r="29" spans="1:7" ht="16.5" customHeight="1">
      <c r="A29" s="1"/>
      <c r="B29" s="1"/>
      <c r="C29" s="1"/>
      <c r="D29" s="1"/>
      <c r="E29" s="1"/>
      <c r="F29" s="1"/>
      <c r="G29" s="1"/>
    </row>
    <row r="30" spans="1:7" ht="16.5" customHeight="1">
      <c r="A30" s="867" t="s">
        <v>159</v>
      </c>
      <c r="B30" s="867"/>
      <c r="C30" s="867"/>
      <c r="D30" s="867"/>
      <c r="E30" s="867"/>
      <c r="F30" s="867"/>
      <c r="G30" s="867"/>
    </row>
    <row r="31" spans="1:7" ht="16.5" customHeight="1">
      <c r="A31" s="867" t="s">
        <v>160</v>
      </c>
      <c r="B31" s="867"/>
      <c r="C31" s="867"/>
      <c r="D31" s="867"/>
      <c r="E31" s="867"/>
      <c r="F31" s="867"/>
      <c r="G31" s="867"/>
    </row>
    <row r="32" spans="1:7" ht="16.5" customHeight="1">
      <c r="A32" s="1" t="s">
        <v>161</v>
      </c>
      <c r="B32" s="1"/>
      <c r="C32" s="1"/>
      <c r="D32" s="1"/>
      <c r="E32" s="1"/>
      <c r="F32" s="1"/>
      <c r="G32" s="1"/>
    </row>
    <row r="33" spans="1:7" ht="16.5" customHeight="1">
      <c r="A33" s="1"/>
      <c r="B33" s="1" t="s">
        <v>162</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163</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164</v>
      </c>
      <c r="B40" s="1"/>
      <c r="C40" s="1"/>
      <c r="D40" s="1"/>
      <c r="E40" s="1"/>
      <c r="F40" s="1"/>
      <c r="G40" s="1"/>
    </row>
    <row r="41" spans="1:7" ht="15.75">
      <c r="A41" s="1"/>
      <c r="B41" s="1"/>
      <c r="C41" s="1"/>
      <c r="D41" s="1"/>
      <c r="E41" s="1"/>
      <c r="F41" s="1"/>
      <c r="G41" s="1"/>
    </row>
  </sheetData>
  <sheetProtection sheet="1" objects="1" scenarios="1"/>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32" t="s">
        <v>392</v>
      </c>
      <c r="B3" s="332"/>
      <c r="C3" s="332"/>
      <c r="D3" s="332"/>
      <c r="E3" s="332"/>
      <c r="F3" s="332"/>
      <c r="G3" s="332"/>
      <c r="H3" s="332"/>
      <c r="I3" s="332"/>
      <c r="J3" s="332"/>
      <c r="K3" s="332"/>
      <c r="L3" s="332"/>
    </row>
    <row r="5" ht="15">
      <c r="A5" s="333" t="s">
        <v>393</v>
      </c>
    </row>
    <row r="6" ht="15">
      <c r="A6" s="333" t="str">
        <f>CONCATENATE(inputPrYr!C5-2," 'total expenditures' exceed your ",inputPrYr!C5-2," 'budget authority.'")</f>
        <v>2012 'total expenditures' exceed your 2012 'budget authority.'</v>
      </c>
    </row>
    <row r="7" ht="15">
      <c r="A7" s="333"/>
    </row>
    <row r="8" ht="15">
      <c r="A8" s="333" t="s">
        <v>394</v>
      </c>
    </row>
    <row r="9" ht="15">
      <c r="A9" s="333" t="s">
        <v>395</v>
      </c>
    </row>
    <row r="10" ht="15">
      <c r="A10" s="333" t="s">
        <v>396</v>
      </c>
    </row>
    <row r="11" ht="15">
      <c r="A11" s="333"/>
    </row>
    <row r="12" ht="15">
      <c r="A12" s="333"/>
    </row>
    <row r="13" ht="15">
      <c r="A13" s="334" t="s">
        <v>397</v>
      </c>
    </row>
    <row r="15" ht="15">
      <c r="A15" s="333" t="s">
        <v>398</v>
      </c>
    </row>
    <row r="16" ht="15">
      <c r="A16" s="333" t="str">
        <f>CONCATENATE("(i.e. an audit has not been completed, or the ",inputPrYr!C5," adopted")</f>
        <v>(i.e. an audit has not been completed, or the 2014 adopted</v>
      </c>
    </row>
    <row r="17" ht="15">
      <c r="A17" s="333" t="s">
        <v>399</v>
      </c>
    </row>
    <row r="18" ht="15">
      <c r="A18" s="333" t="s">
        <v>400</v>
      </c>
    </row>
    <row r="19" ht="15">
      <c r="A19" s="333" t="s">
        <v>401</v>
      </c>
    </row>
    <row r="21" ht="15">
      <c r="A21" s="334" t="s">
        <v>402</v>
      </c>
    </row>
    <row r="22" ht="15">
      <c r="A22" s="334"/>
    </row>
    <row r="23" ht="15">
      <c r="A23" s="333" t="s">
        <v>403</v>
      </c>
    </row>
    <row r="24" ht="15">
      <c r="A24" s="333" t="s">
        <v>404</v>
      </c>
    </row>
    <row r="25" ht="15">
      <c r="A25" s="333" t="str">
        <f>CONCATENATE("particular fund.  If your ",inputPrYr!C5-2," budget was amended, did you")</f>
        <v>particular fund.  If your 2012 budget was amended, did you</v>
      </c>
    </row>
    <row r="26" ht="15">
      <c r="A26" s="333" t="s">
        <v>405</v>
      </c>
    </row>
    <row r="27" ht="15">
      <c r="A27" s="333"/>
    </row>
    <row r="28" ht="15">
      <c r="A28" s="333" t="str">
        <f>CONCATENATE("Next, look to see if any of your ",inputPrYr!C5-2," expenditures can be")</f>
        <v>Next, look to see if any of your 2012 expenditures can be</v>
      </c>
    </row>
    <row r="29" ht="15">
      <c r="A29" s="333" t="s">
        <v>406</v>
      </c>
    </row>
    <row r="30" ht="15">
      <c r="A30" s="333" t="s">
        <v>407</v>
      </c>
    </row>
    <row r="31" ht="15">
      <c r="A31" s="333" t="s">
        <v>408</v>
      </c>
    </row>
    <row r="32" ht="15">
      <c r="A32" s="333"/>
    </row>
    <row r="33" ht="15">
      <c r="A33" s="333" t="str">
        <f>CONCATENATE("Additionally, do your ",inputPrYr!C5-2," receipts contain a reimbursement")</f>
        <v>Additionally, do your 2012 receipts contain a reimbursement</v>
      </c>
    </row>
    <row r="34" ht="15">
      <c r="A34" s="333" t="s">
        <v>409</v>
      </c>
    </row>
    <row r="35" ht="15">
      <c r="A35" s="333" t="s">
        <v>410</v>
      </c>
    </row>
    <row r="36" ht="15">
      <c r="A36" s="333"/>
    </row>
    <row r="37" ht="15">
      <c r="A37" s="333" t="s">
        <v>411</v>
      </c>
    </row>
    <row r="38" ht="15">
      <c r="A38" s="333" t="s">
        <v>412</v>
      </c>
    </row>
    <row r="39" ht="15">
      <c r="A39" s="333" t="s">
        <v>413</v>
      </c>
    </row>
    <row r="40" ht="15">
      <c r="A40" s="333" t="s">
        <v>414</v>
      </c>
    </row>
    <row r="41" ht="15">
      <c r="A41" s="333" t="s">
        <v>415</v>
      </c>
    </row>
    <row r="42" ht="15">
      <c r="A42" s="333" t="s">
        <v>416</v>
      </c>
    </row>
    <row r="43" ht="15">
      <c r="A43" s="333" t="s">
        <v>417</v>
      </c>
    </row>
    <row r="44" ht="15">
      <c r="A44" s="333" t="s">
        <v>418</v>
      </c>
    </row>
    <row r="45" ht="15">
      <c r="A45" s="333"/>
    </row>
    <row r="46" ht="15">
      <c r="A46" s="333" t="s">
        <v>419</v>
      </c>
    </row>
    <row r="47" ht="15">
      <c r="A47" s="333" t="s">
        <v>420</v>
      </c>
    </row>
    <row r="48" ht="15">
      <c r="A48" s="333" t="s">
        <v>421</v>
      </c>
    </row>
    <row r="49" ht="15">
      <c r="A49" s="333"/>
    </row>
    <row r="50" ht="15">
      <c r="A50" s="333" t="s">
        <v>422</v>
      </c>
    </row>
    <row r="51" ht="15">
      <c r="A51" s="333" t="s">
        <v>423</v>
      </c>
    </row>
    <row r="52" ht="15">
      <c r="A52" s="333" t="s">
        <v>424</v>
      </c>
    </row>
    <row r="53" ht="15">
      <c r="A53" s="333"/>
    </row>
    <row r="54" ht="15">
      <c r="A54" s="334" t="s">
        <v>425</v>
      </c>
    </row>
    <row r="55" ht="15">
      <c r="A55" s="333"/>
    </row>
    <row r="56" ht="15">
      <c r="A56" s="333" t="s">
        <v>426</v>
      </c>
    </row>
    <row r="57" ht="15">
      <c r="A57" s="333" t="s">
        <v>427</v>
      </c>
    </row>
    <row r="58" ht="15">
      <c r="A58" s="333" t="s">
        <v>428</v>
      </c>
    </row>
    <row r="59" ht="15">
      <c r="A59" s="333" t="s">
        <v>429</v>
      </c>
    </row>
    <row r="60" ht="15">
      <c r="A60" s="333" t="s">
        <v>430</v>
      </c>
    </row>
    <row r="61" ht="15">
      <c r="A61" s="333" t="s">
        <v>431</v>
      </c>
    </row>
    <row r="62" ht="15">
      <c r="A62" s="333" t="s">
        <v>432</v>
      </c>
    </row>
    <row r="63" ht="15">
      <c r="A63" s="333" t="s">
        <v>433</v>
      </c>
    </row>
    <row r="64" ht="15">
      <c r="A64" s="333" t="s">
        <v>434</v>
      </c>
    </row>
    <row r="65" ht="15">
      <c r="A65" s="333" t="s">
        <v>435</v>
      </c>
    </row>
    <row r="66" ht="15">
      <c r="A66" s="333" t="s">
        <v>436</v>
      </c>
    </row>
    <row r="67" ht="15">
      <c r="A67" s="333" t="s">
        <v>437</v>
      </c>
    </row>
    <row r="68" ht="15">
      <c r="A68" s="333" t="s">
        <v>438</v>
      </c>
    </row>
    <row r="69" ht="15">
      <c r="A69" s="333"/>
    </row>
    <row r="70" ht="15">
      <c r="A70" s="333" t="s">
        <v>439</v>
      </c>
    </row>
    <row r="71" ht="15">
      <c r="A71" s="333" t="s">
        <v>440</v>
      </c>
    </row>
    <row r="72" ht="15">
      <c r="A72" s="333" t="s">
        <v>441</v>
      </c>
    </row>
    <row r="73" ht="15">
      <c r="A73" s="333"/>
    </row>
    <row r="74" ht="15">
      <c r="A74" s="334" t="str">
        <f>CONCATENATE("What if the ",inputPrYr!C5-2," financial records have been closed?")</f>
        <v>What if the 2012 financial records have been closed?</v>
      </c>
    </row>
    <row r="76" ht="15">
      <c r="A76" s="333" t="s">
        <v>442</v>
      </c>
    </row>
    <row r="77" ht="15">
      <c r="A77" s="333" t="str">
        <f>CONCATENATE("(i.e. an audit for ",inputPrYr!C5-2," has been completed, or the ",inputPrYr!C5)</f>
        <v>(i.e. an audit for 2012 has been completed, or the 2014</v>
      </c>
    </row>
    <row r="78" ht="15">
      <c r="A78" s="333" t="s">
        <v>443</v>
      </c>
    </row>
    <row r="79" ht="15">
      <c r="A79" s="333" t="s">
        <v>444</v>
      </c>
    </row>
    <row r="80" ht="15">
      <c r="A80" s="333"/>
    </row>
    <row r="81" ht="15">
      <c r="A81" s="333" t="s">
        <v>445</v>
      </c>
    </row>
    <row r="82" ht="15">
      <c r="A82" s="333" t="s">
        <v>446</v>
      </c>
    </row>
    <row r="83" ht="15">
      <c r="A83" s="333" t="s">
        <v>447</v>
      </c>
    </row>
    <row r="84" ht="15">
      <c r="A84" s="333"/>
    </row>
    <row r="85" ht="15">
      <c r="A85" s="333" t="s">
        <v>448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32" t="s">
        <v>449</v>
      </c>
      <c r="B3" s="332"/>
      <c r="C3" s="332"/>
      <c r="D3" s="332"/>
      <c r="E3" s="332"/>
      <c r="F3" s="332"/>
      <c r="G3" s="332"/>
      <c r="H3" s="335"/>
      <c r="I3" s="335"/>
      <c r="J3" s="335"/>
    </row>
    <row r="5" ht="15">
      <c r="A5" s="333" t="s">
        <v>450</v>
      </c>
    </row>
    <row r="6" ht="15">
      <c r="A6" t="str">
        <f>CONCATENATE(inputPrYr!C5-2," expenditures show that you finished the year with a ")</f>
        <v>2012 expenditures show that you finished the year with a </v>
      </c>
    </row>
    <row r="7" ht="15">
      <c r="A7" t="s">
        <v>451</v>
      </c>
    </row>
    <row r="9" ht="15">
      <c r="A9" t="s">
        <v>452</v>
      </c>
    </row>
    <row r="10" ht="15">
      <c r="A10" t="s">
        <v>453</v>
      </c>
    </row>
    <row r="11" ht="15">
      <c r="A11" t="s">
        <v>454</v>
      </c>
    </row>
    <row r="13" ht="15">
      <c r="A13" s="334" t="s">
        <v>455</v>
      </c>
    </row>
    <row r="14" ht="15">
      <c r="A14" s="334"/>
    </row>
    <row r="15" ht="15">
      <c r="A15" s="333" t="s">
        <v>456</v>
      </c>
    </row>
    <row r="16" ht="15">
      <c r="A16" s="333" t="s">
        <v>457</v>
      </c>
    </row>
    <row r="17" ht="15">
      <c r="A17" s="333" t="s">
        <v>458</v>
      </c>
    </row>
    <row r="18" ht="15">
      <c r="A18" s="333"/>
    </row>
    <row r="19" ht="15">
      <c r="A19" s="334" t="s">
        <v>459</v>
      </c>
    </row>
    <row r="20" ht="15">
      <c r="A20" s="334"/>
    </row>
    <row r="21" ht="15">
      <c r="A21" s="333" t="s">
        <v>460</v>
      </c>
    </row>
    <row r="22" ht="15">
      <c r="A22" s="333" t="s">
        <v>461</v>
      </c>
    </row>
    <row r="23" ht="15">
      <c r="A23" s="333" t="s">
        <v>462</v>
      </c>
    </row>
    <row r="24" ht="15">
      <c r="A24" s="333"/>
    </row>
    <row r="25" ht="15">
      <c r="A25" s="334" t="s">
        <v>463</v>
      </c>
    </row>
    <row r="26" ht="15">
      <c r="A26" s="334"/>
    </row>
    <row r="27" ht="15">
      <c r="A27" s="333" t="s">
        <v>464</v>
      </c>
    </row>
    <row r="28" ht="15">
      <c r="A28" s="333" t="s">
        <v>465</v>
      </c>
    </row>
    <row r="29" ht="15">
      <c r="A29" s="333" t="s">
        <v>466</v>
      </c>
    </row>
    <row r="30" ht="15">
      <c r="A30" s="333"/>
    </row>
    <row r="31" ht="15">
      <c r="A31" s="334" t="s">
        <v>467</v>
      </c>
    </row>
    <row r="32" ht="15">
      <c r="A32" s="334"/>
    </row>
    <row r="33" spans="1:8" ht="15">
      <c r="A33" s="333" t="str">
        <f>CONCATENATE("If your financial records for ",inputPrYr!C5-2," are not closed")</f>
        <v>If your financial records for 2012 are not closed</v>
      </c>
      <c r="B33" s="333"/>
      <c r="C33" s="333"/>
      <c r="D33" s="333"/>
      <c r="E33" s="333"/>
      <c r="F33" s="333"/>
      <c r="G33" s="333"/>
      <c r="H33" s="333"/>
    </row>
    <row r="34" spans="1:8" ht="15">
      <c r="A34" s="333" t="str">
        <f>CONCATENATE("(i.e. an audit has not been completed, or the ",inputPrYr!C5," adopted ")</f>
        <v>(i.e. an audit has not been completed, or the 2014 adopted </v>
      </c>
      <c r="B34" s="333"/>
      <c r="C34" s="333"/>
      <c r="D34" s="333"/>
      <c r="E34" s="333"/>
      <c r="F34" s="333"/>
      <c r="G34" s="333"/>
      <c r="H34" s="333"/>
    </row>
    <row r="35" spans="1:8" ht="15">
      <c r="A35" s="333" t="s">
        <v>468</v>
      </c>
      <c r="B35" s="333"/>
      <c r="C35" s="333"/>
      <c r="D35" s="333"/>
      <c r="E35" s="333"/>
      <c r="F35" s="333"/>
      <c r="G35" s="333"/>
      <c r="H35" s="333"/>
    </row>
    <row r="36" spans="1:8" ht="15">
      <c r="A36" s="333" t="s">
        <v>469</v>
      </c>
      <c r="B36" s="333"/>
      <c r="C36" s="333"/>
      <c r="D36" s="333"/>
      <c r="E36" s="333"/>
      <c r="F36" s="333"/>
      <c r="G36" s="333"/>
      <c r="H36" s="333"/>
    </row>
    <row r="37" spans="1:8" ht="15">
      <c r="A37" s="333" t="s">
        <v>470</v>
      </c>
      <c r="B37" s="333"/>
      <c r="C37" s="333"/>
      <c r="D37" s="333"/>
      <c r="E37" s="333"/>
      <c r="F37" s="333"/>
      <c r="G37" s="333"/>
      <c r="H37" s="333"/>
    </row>
    <row r="38" spans="1:8" ht="15">
      <c r="A38" s="333" t="s">
        <v>471</v>
      </c>
      <c r="B38" s="333"/>
      <c r="C38" s="333"/>
      <c r="D38" s="333"/>
      <c r="E38" s="333"/>
      <c r="F38" s="333"/>
      <c r="G38" s="333"/>
      <c r="H38" s="333"/>
    </row>
    <row r="39" spans="1:8" ht="15">
      <c r="A39" s="333" t="s">
        <v>472</v>
      </c>
      <c r="B39" s="333"/>
      <c r="C39" s="333"/>
      <c r="D39" s="333"/>
      <c r="E39" s="333"/>
      <c r="F39" s="333"/>
      <c r="G39" s="333"/>
      <c r="H39" s="333"/>
    </row>
    <row r="40" spans="1:8" ht="15">
      <c r="A40" s="333"/>
      <c r="B40" s="333"/>
      <c r="C40" s="333"/>
      <c r="D40" s="333"/>
      <c r="E40" s="333"/>
      <c r="F40" s="333"/>
      <c r="G40" s="333"/>
      <c r="H40" s="333"/>
    </row>
    <row r="41" spans="1:8" ht="15">
      <c r="A41" s="333" t="s">
        <v>473</v>
      </c>
      <c r="B41" s="333"/>
      <c r="C41" s="333"/>
      <c r="D41" s="333"/>
      <c r="E41" s="333"/>
      <c r="F41" s="333"/>
      <c r="G41" s="333"/>
      <c r="H41" s="333"/>
    </row>
    <row r="42" spans="1:8" ht="15">
      <c r="A42" s="333" t="s">
        <v>474</v>
      </c>
      <c r="B42" s="333"/>
      <c r="C42" s="333"/>
      <c r="D42" s="333"/>
      <c r="E42" s="333"/>
      <c r="F42" s="333"/>
      <c r="G42" s="333"/>
      <c r="H42" s="333"/>
    </row>
    <row r="43" spans="1:8" ht="15">
      <c r="A43" s="333" t="s">
        <v>475</v>
      </c>
      <c r="B43" s="333"/>
      <c r="C43" s="333"/>
      <c r="D43" s="333"/>
      <c r="E43" s="333"/>
      <c r="F43" s="333"/>
      <c r="G43" s="333"/>
      <c r="H43" s="333"/>
    </row>
    <row r="44" spans="1:8" ht="15">
      <c r="A44" s="333" t="s">
        <v>476</v>
      </c>
      <c r="B44" s="333"/>
      <c r="C44" s="333"/>
      <c r="D44" s="333"/>
      <c r="E44" s="333"/>
      <c r="F44" s="333"/>
      <c r="G44" s="333"/>
      <c r="H44" s="333"/>
    </row>
    <row r="45" spans="1:8" ht="15">
      <c r="A45" s="333"/>
      <c r="B45" s="333"/>
      <c r="C45" s="333"/>
      <c r="D45" s="333"/>
      <c r="E45" s="333"/>
      <c r="F45" s="333"/>
      <c r="G45" s="333"/>
      <c r="H45" s="333"/>
    </row>
    <row r="46" spans="1:8" ht="15">
      <c r="A46" s="333" t="s">
        <v>477</v>
      </c>
      <c r="B46" s="333"/>
      <c r="C46" s="333"/>
      <c r="D46" s="333"/>
      <c r="E46" s="333"/>
      <c r="F46" s="333"/>
      <c r="G46" s="333"/>
      <c r="H46" s="333"/>
    </row>
    <row r="47" spans="1:8" ht="15">
      <c r="A47" s="333" t="s">
        <v>478</v>
      </c>
      <c r="B47" s="333"/>
      <c r="C47" s="333"/>
      <c r="D47" s="333"/>
      <c r="E47" s="333"/>
      <c r="F47" s="333"/>
      <c r="G47" s="333"/>
      <c r="H47" s="333"/>
    </row>
    <row r="48" spans="1:8" ht="15">
      <c r="A48" s="333" t="s">
        <v>479</v>
      </c>
      <c r="B48" s="333"/>
      <c r="C48" s="333"/>
      <c r="D48" s="333"/>
      <c r="E48" s="333"/>
      <c r="F48" s="333"/>
      <c r="G48" s="333"/>
      <c r="H48" s="333"/>
    </row>
    <row r="49" spans="1:8" ht="15">
      <c r="A49" s="333" t="s">
        <v>480</v>
      </c>
      <c r="B49" s="333"/>
      <c r="C49" s="333"/>
      <c r="D49" s="333"/>
      <c r="E49" s="333"/>
      <c r="F49" s="333"/>
      <c r="G49" s="333"/>
      <c r="H49" s="333"/>
    </row>
    <row r="50" spans="1:8" ht="15">
      <c r="A50" s="333" t="s">
        <v>481</v>
      </c>
      <c r="B50" s="333"/>
      <c r="C50" s="333"/>
      <c r="D50" s="333"/>
      <c r="E50" s="333"/>
      <c r="F50" s="333"/>
      <c r="G50" s="333"/>
      <c r="H50" s="333"/>
    </row>
    <row r="51" spans="1:8" ht="15">
      <c r="A51" s="333"/>
      <c r="B51" s="333"/>
      <c r="C51" s="333"/>
      <c r="D51" s="333"/>
      <c r="E51" s="333"/>
      <c r="F51" s="333"/>
      <c r="G51" s="333"/>
      <c r="H51" s="333"/>
    </row>
    <row r="52" spans="1:8" ht="15">
      <c r="A52" s="334" t="s">
        <v>482</v>
      </c>
      <c r="B52" s="334"/>
      <c r="C52" s="334"/>
      <c r="D52" s="334"/>
      <c r="E52" s="334"/>
      <c r="F52" s="334"/>
      <c r="G52" s="334"/>
      <c r="H52" s="333"/>
    </row>
    <row r="53" spans="1:8" ht="15">
      <c r="A53" s="334" t="s">
        <v>483</v>
      </c>
      <c r="B53" s="334"/>
      <c r="C53" s="334"/>
      <c r="D53" s="334"/>
      <c r="E53" s="334"/>
      <c r="F53" s="334"/>
      <c r="G53" s="334"/>
      <c r="H53" s="333"/>
    </row>
    <row r="54" spans="1:8" ht="15">
      <c r="A54" s="333"/>
      <c r="B54" s="333"/>
      <c r="C54" s="333"/>
      <c r="D54" s="333"/>
      <c r="E54" s="333"/>
      <c r="F54" s="333"/>
      <c r="G54" s="333"/>
      <c r="H54" s="333"/>
    </row>
    <row r="55" spans="1:8" ht="15">
      <c r="A55" s="333" t="s">
        <v>484</v>
      </c>
      <c r="B55" s="333"/>
      <c r="C55" s="333"/>
      <c r="D55" s="333"/>
      <c r="E55" s="333"/>
      <c r="F55" s="333"/>
      <c r="G55" s="333"/>
      <c r="H55" s="333"/>
    </row>
    <row r="56" spans="1:8" ht="15">
      <c r="A56" s="333" t="s">
        <v>485</v>
      </c>
      <c r="B56" s="333"/>
      <c r="C56" s="333"/>
      <c r="D56" s="333"/>
      <c r="E56" s="333"/>
      <c r="F56" s="333"/>
      <c r="G56" s="333"/>
      <c r="H56" s="333"/>
    </row>
    <row r="57" spans="1:8" ht="15">
      <c r="A57" s="333" t="s">
        <v>486</v>
      </c>
      <c r="B57" s="333"/>
      <c r="C57" s="333"/>
      <c r="D57" s="333"/>
      <c r="E57" s="333"/>
      <c r="F57" s="333"/>
      <c r="G57" s="333"/>
      <c r="H57" s="333"/>
    </row>
    <row r="58" spans="1:8" ht="15">
      <c r="A58" s="333" t="s">
        <v>487</v>
      </c>
      <c r="B58" s="333"/>
      <c r="C58" s="333"/>
      <c r="D58" s="333"/>
      <c r="E58" s="333"/>
      <c r="F58" s="333"/>
      <c r="G58" s="333"/>
      <c r="H58" s="333"/>
    </row>
    <row r="59" spans="1:8" ht="15">
      <c r="A59" s="333"/>
      <c r="B59" s="333"/>
      <c r="C59" s="333"/>
      <c r="D59" s="333"/>
      <c r="E59" s="333"/>
      <c r="F59" s="333"/>
      <c r="G59" s="333"/>
      <c r="H59" s="333"/>
    </row>
    <row r="60" spans="1:8" ht="15">
      <c r="A60" s="333" t="s">
        <v>488</v>
      </c>
      <c r="B60" s="333"/>
      <c r="C60" s="333"/>
      <c r="D60" s="333"/>
      <c r="E60" s="333"/>
      <c r="F60" s="333"/>
      <c r="G60" s="333"/>
      <c r="H60" s="333"/>
    </row>
    <row r="61" spans="1:8" ht="15">
      <c r="A61" s="333" t="s">
        <v>489</v>
      </c>
      <c r="B61" s="333"/>
      <c r="C61" s="333"/>
      <c r="D61" s="333"/>
      <c r="E61" s="333"/>
      <c r="F61" s="333"/>
      <c r="G61" s="333"/>
      <c r="H61" s="333"/>
    </row>
    <row r="62" spans="1:8" ht="15">
      <c r="A62" s="333" t="s">
        <v>490</v>
      </c>
      <c r="B62" s="333"/>
      <c r="C62" s="333"/>
      <c r="D62" s="333"/>
      <c r="E62" s="333"/>
      <c r="F62" s="333"/>
      <c r="G62" s="333"/>
      <c r="H62" s="333"/>
    </row>
    <row r="63" spans="1:8" ht="15">
      <c r="A63" s="333" t="s">
        <v>491</v>
      </c>
      <c r="B63" s="333"/>
      <c r="C63" s="333"/>
      <c r="D63" s="333"/>
      <c r="E63" s="333"/>
      <c r="F63" s="333"/>
      <c r="G63" s="333"/>
      <c r="H63" s="333"/>
    </row>
    <row r="64" spans="1:8" ht="15">
      <c r="A64" s="333" t="s">
        <v>492</v>
      </c>
      <c r="B64" s="333"/>
      <c r="C64" s="333"/>
      <c r="D64" s="333"/>
      <c r="E64" s="333"/>
      <c r="F64" s="333"/>
      <c r="G64" s="333"/>
      <c r="H64" s="333"/>
    </row>
    <row r="65" spans="1:8" ht="15">
      <c r="A65" s="333" t="s">
        <v>493</v>
      </c>
      <c r="B65" s="333"/>
      <c r="C65" s="333"/>
      <c r="D65" s="333"/>
      <c r="E65" s="333"/>
      <c r="F65" s="333"/>
      <c r="G65" s="333"/>
      <c r="H65" s="333"/>
    </row>
    <row r="66" spans="1:8" ht="15">
      <c r="A66" s="333"/>
      <c r="B66" s="333"/>
      <c r="C66" s="333"/>
      <c r="D66" s="333"/>
      <c r="E66" s="333"/>
      <c r="F66" s="333"/>
      <c r="G66" s="333"/>
      <c r="H66" s="333"/>
    </row>
    <row r="67" spans="1:8" ht="15">
      <c r="A67" s="333" t="s">
        <v>494</v>
      </c>
      <c r="B67" s="333"/>
      <c r="C67" s="333"/>
      <c r="D67" s="333"/>
      <c r="E67" s="333"/>
      <c r="F67" s="333"/>
      <c r="G67" s="333"/>
      <c r="H67" s="333"/>
    </row>
    <row r="68" spans="1:8" ht="15">
      <c r="A68" s="333" t="s">
        <v>495</v>
      </c>
      <c r="B68" s="333"/>
      <c r="C68" s="333"/>
      <c r="D68" s="333"/>
      <c r="E68" s="333"/>
      <c r="F68" s="333"/>
      <c r="G68" s="333"/>
      <c r="H68" s="333"/>
    </row>
    <row r="69" spans="1:8" ht="15">
      <c r="A69" s="333" t="s">
        <v>496</v>
      </c>
      <c r="B69" s="333"/>
      <c r="C69" s="333"/>
      <c r="D69" s="333"/>
      <c r="E69" s="333"/>
      <c r="F69" s="333"/>
      <c r="G69" s="333"/>
      <c r="H69" s="333"/>
    </row>
    <row r="70" spans="1:8" ht="15">
      <c r="A70" s="333" t="s">
        <v>497</v>
      </c>
      <c r="B70" s="333"/>
      <c r="C70" s="333"/>
      <c r="D70" s="333"/>
      <c r="E70" s="333"/>
      <c r="F70" s="333"/>
      <c r="G70" s="333"/>
      <c r="H70" s="333"/>
    </row>
    <row r="71" spans="1:8" ht="15">
      <c r="A71" s="333" t="s">
        <v>498</v>
      </c>
      <c r="B71" s="333"/>
      <c r="C71" s="333"/>
      <c r="D71" s="333"/>
      <c r="E71" s="333"/>
      <c r="F71" s="333"/>
      <c r="G71" s="333"/>
      <c r="H71" s="333"/>
    </row>
    <row r="72" spans="1:8" ht="15">
      <c r="A72" s="333" t="s">
        <v>499</v>
      </c>
      <c r="B72" s="333"/>
      <c r="C72" s="333"/>
      <c r="D72" s="333"/>
      <c r="E72" s="333"/>
      <c r="F72" s="333"/>
      <c r="G72" s="333"/>
      <c r="H72" s="333"/>
    </row>
    <row r="73" spans="1:8" ht="15">
      <c r="A73" s="333" t="s">
        <v>500</v>
      </c>
      <c r="B73" s="333"/>
      <c r="C73" s="333"/>
      <c r="D73" s="333"/>
      <c r="E73" s="333"/>
      <c r="F73" s="333"/>
      <c r="G73" s="333"/>
      <c r="H73" s="333"/>
    </row>
    <row r="74" spans="1:8" ht="15">
      <c r="A74" s="333"/>
      <c r="B74" s="333"/>
      <c r="C74" s="333"/>
      <c r="D74" s="333"/>
      <c r="E74" s="333"/>
      <c r="F74" s="333"/>
      <c r="G74" s="333"/>
      <c r="H74" s="333"/>
    </row>
    <row r="75" spans="1:8" ht="15">
      <c r="A75" s="333" t="s">
        <v>501</v>
      </c>
      <c r="B75" s="333"/>
      <c r="C75" s="333"/>
      <c r="D75" s="333"/>
      <c r="E75" s="333"/>
      <c r="F75" s="333"/>
      <c r="G75" s="333"/>
      <c r="H75" s="333"/>
    </row>
    <row r="76" spans="1:8" ht="15">
      <c r="A76" s="333" t="s">
        <v>502</v>
      </c>
      <c r="B76" s="333"/>
      <c r="C76" s="333"/>
      <c r="D76" s="333"/>
      <c r="E76" s="333"/>
      <c r="F76" s="333"/>
      <c r="G76" s="333"/>
      <c r="H76" s="333"/>
    </row>
    <row r="77" spans="1:8" ht="15">
      <c r="A77" s="333" t="s">
        <v>503</v>
      </c>
      <c r="B77" s="333"/>
      <c r="C77" s="333"/>
      <c r="D77" s="333"/>
      <c r="E77" s="333"/>
      <c r="F77" s="333"/>
      <c r="G77" s="333"/>
      <c r="H77" s="333"/>
    </row>
    <row r="78" spans="1:8" ht="15">
      <c r="A78" s="333"/>
      <c r="B78" s="333"/>
      <c r="C78" s="333"/>
      <c r="D78" s="333"/>
      <c r="E78" s="333"/>
      <c r="F78" s="333"/>
      <c r="G78" s="333"/>
      <c r="H78" s="333"/>
    </row>
    <row r="79" ht="15">
      <c r="A79" s="333" t="s">
        <v>448</v>
      </c>
    </row>
    <row r="80" ht="15">
      <c r="A80" s="334"/>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1" ht="15">
      <c r="A91"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3" ht="15">
      <c r="A103" s="333"/>
    </row>
    <row r="104" ht="15">
      <c r="A104" s="333"/>
    </row>
    <row r="105" ht="15">
      <c r="A105" s="333"/>
    </row>
    <row r="107" ht="15">
      <c r="A107" s="334"/>
    </row>
    <row r="108" ht="15">
      <c r="A108" s="334"/>
    </row>
    <row r="109" ht="15">
      <c r="A109" s="33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32" t="s">
        <v>504</v>
      </c>
      <c r="B3" s="332"/>
      <c r="C3" s="332"/>
      <c r="D3" s="332"/>
      <c r="E3" s="332"/>
      <c r="F3" s="332"/>
      <c r="G3" s="332"/>
      <c r="H3" s="332"/>
      <c r="I3" s="332"/>
      <c r="J3" s="332"/>
      <c r="K3" s="332"/>
      <c r="L3" s="332"/>
    </row>
    <row r="4" spans="1:12" ht="15">
      <c r="A4" s="332"/>
      <c r="B4" s="332"/>
      <c r="C4" s="332"/>
      <c r="D4" s="332"/>
      <c r="E4" s="332"/>
      <c r="F4" s="332"/>
      <c r="G4" s="332"/>
      <c r="H4" s="332"/>
      <c r="I4" s="332"/>
      <c r="J4" s="332"/>
      <c r="K4" s="332"/>
      <c r="L4" s="332"/>
    </row>
    <row r="5" spans="1:12" ht="15">
      <c r="A5" s="333" t="s">
        <v>393</v>
      </c>
      <c r="I5" s="332"/>
      <c r="J5" s="332"/>
      <c r="K5" s="332"/>
      <c r="L5" s="332"/>
    </row>
    <row r="6" spans="1:12" ht="15">
      <c r="A6" s="333" t="str">
        <f>CONCATENATE("estimated ",inputPrYr!C5-1," 'total expenditures' exceed your ",inputPrYr!C5-1,"")</f>
        <v>estimated 2013 'total expenditures' exceed your 2013</v>
      </c>
      <c r="I6" s="332"/>
      <c r="J6" s="332"/>
      <c r="K6" s="332"/>
      <c r="L6" s="332"/>
    </row>
    <row r="7" spans="1:12" ht="15">
      <c r="A7" s="336" t="s">
        <v>505</v>
      </c>
      <c r="I7" s="332"/>
      <c r="J7" s="332"/>
      <c r="K7" s="332"/>
      <c r="L7" s="332"/>
    </row>
    <row r="8" spans="1:12" ht="15">
      <c r="A8" s="333"/>
      <c r="I8" s="332"/>
      <c r="J8" s="332"/>
      <c r="K8" s="332"/>
      <c r="L8" s="332"/>
    </row>
    <row r="9" spans="1:12" ht="15">
      <c r="A9" s="333" t="s">
        <v>506</v>
      </c>
      <c r="I9" s="332"/>
      <c r="J9" s="332"/>
      <c r="K9" s="332"/>
      <c r="L9" s="332"/>
    </row>
    <row r="10" spans="1:12" ht="15">
      <c r="A10" s="333" t="s">
        <v>507</v>
      </c>
      <c r="I10" s="332"/>
      <c r="J10" s="332"/>
      <c r="K10" s="332"/>
      <c r="L10" s="332"/>
    </row>
    <row r="11" spans="1:12" ht="15">
      <c r="A11" s="333" t="s">
        <v>508</v>
      </c>
      <c r="I11" s="332"/>
      <c r="J11" s="332"/>
      <c r="K11" s="332"/>
      <c r="L11" s="332"/>
    </row>
    <row r="12" spans="1:12" ht="15">
      <c r="A12" s="333" t="s">
        <v>509</v>
      </c>
      <c r="I12" s="332"/>
      <c r="J12" s="332"/>
      <c r="K12" s="332"/>
      <c r="L12" s="332"/>
    </row>
    <row r="13" spans="1:12" ht="15">
      <c r="A13" s="333" t="s">
        <v>510</v>
      </c>
      <c r="I13" s="332"/>
      <c r="J13" s="332"/>
      <c r="K13" s="332"/>
      <c r="L13" s="332"/>
    </row>
    <row r="14" spans="1:12" ht="15">
      <c r="A14" s="332"/>
      <c r="B14" s="332"/>
      <c r="C14" s="332"/>
      <c r="D14" s="332"/>
      <c r="E14" s="332"/>
      <c r="F14" s="332"/>
      <c r="G14" s="332"/>
      <c r="H14" s="332"/>
      <c r="I14" s="332"/>
      <c r="J14" s="332"/>
      <c r="K14" s="332"/>
      <c r="L14" s="332"/>
    </row>
    <row r="15" ht="15">
      <c r="A15" s="334" t="s">
        <v>511</v>
      </c>
    </row>
    <row r="16" ht="15">
      <c r="A16" s="334" t="s">
        <v>512</v>
      </c>
    </row>
    <row r="17" ht="15">
      <c r="A17" s="334"/>
    </row>
    <row r="18" spans="1:7" ht="15">
      <c r="A18" s="333" t="s">
        <v>513</v>
      </c>
      <c r="B18" s="333"/>
      <c r="C18" s="333"/>
      <c r="D18" s="333"/>
      <c r="E18" s="333"/>
      <c r="F18" s="333"/>
      <c r="G18" s="333"/>
    </row>
    <row r="19" spans="1:7" ht="15">
      <c r="A19" s="333" t="str">
        <f>CONCATENATE("your ",inputPrYr!C5-1," numbers to see what steps might be necessary to")</f>
        <v>your 2013 numbers to see what steps might be necessary to</v>
      </c>
      <c r="B19" s="333"/>
      <c r="C19" s="333"/>
      <c r="D19" s="333"/>
      <c r="E19" s="333"/>
      <c r="F19" s="333"/>
      <c r="G19" s="333"/>
    </row>
    <row r="20" spans="1:7" ht="15">
      <c r="A20" s="333" t="s">
        <v>514</v>
      </c>
      <c r="B20" s="333"/>
      <c r="C20" s="333"/>
      <c r="D20" s="333"/>
      <c r="E20" s="333"/>
      <c r="F20" s="333"/>
      <c r="G20" s="333"/>
    </row>
    <row r="21" spans="1:7" ht="15">
      <c r="A21" s="333" t="s">
        <v>515</v>
      </c>
      <c r="B21" s="333"/>
      <c r="C21" s="333"/>
      <c r="D21" s="333"/>
      <c r="E21" s="333"/>
      <c r="F21" s="333"/>
      <c r="G21" s="333"/>
    </row>
    <row r="22" ht="15">
      <c r="A22" s="333"/>
    </row>
    <row r="23" ht="15">
      <c r="A23" s="334" t="s">
        <v>516</v>
      </c>
    </row>
    <row r="24" ht="15">
      <c r="A24" s="334"/>
    </row>
    <row r="25" ht="15">
      <c r="A25" s="333" t="s">
        <v>517</v>
      </c>
    </row>
    <row r="26" spans="1:6" ht="15">
      <c r="A26" s="333" t="s">
        <v>518</v>
      </c>
      <c r="B26" s="333"/>
      <c r="C26" s="333"/>
      <c r="D26" s="333"/>
      <c r="E26" s="333"/>
      <c r="F26" s="333"/>
    </row>
    <row r="27" spans="1:6" ht="15">
      <c r="A27" s="333" t="s">
        <v>519</v>
      </c>
      <c r="B27" s="333"/>
      <c r="C27" s="333"/>
      <c r="D27" s="333"/>
      <c r="E27" s="333"/>
      <c r="F27" s="333"/>
    </row>
    <row r="28" spans="1:6" ht="15">
      <c r="A28" s="333" t="s">
        <v>520</v>
      </c>
      <c r="B28" s="333"/>
      <c r="C28" s="333"/>
      <c r="D28" s="333"/>
      <c r="E28" s="333"/>
      <c r="F28" s="333"/>
    </row>
    <row r="29" spans="1:6" ht="15">
      <c r="A29" s="333"/>
      <c r="B29" s="333"/>
      <c r="C29" s="333"/>
      <c r="D29" s="333"/>
      <c r="E29" s="333"/>
      <c r="F29" s="333"/>
    </row>
    <row r="30" spans="1:7" ht="15">
      <c r="A30" s="334" t="s">
        <v>521</v>
      </c>
      <c r="B30" s="334"/>
      <c r="C30" s="334"/>
      <c r="D30" s="334"/>
      <c r="E30" s="334"/>
      <c r="F30" s="334"/>
      <c r="G30" s="334"/>
    </row>
    <row r="31" spans="1:7" ht="15">
      <c r="A31" s="334" t="s">
        <v>522</v>
      </c>
      <c r="B31" s="334"/>
      <c r="C31" s="334"/>
      <c r="D31" s="334"/>
      <c r="E31" s="334"/>
      <c r="F31" s="334"/>
      <c r="G31" s="334"/>
    </row>
    <row r="32" spans="1:6" ht="15">
      <c r="A32" s="333"/>
      <c r="B32" s="333"/>
      <c r="C32" s="333"/>
      <c r="D32" s="333"/>
      <c r="E32" s="333"/>
      <c r="F32" s="333"/>
    </row>
    <row r="33" spans="1:6" ht="15">
      <c r="A33" s="337" t="str">
        <f>CONCATENATE("Well, let's look to see if any of your ",inputPrYr!C5-1," expenditures can")</f>
        <v>Well, let's look to see if any of your 2013 expenditures can</v>
      </c>
      <c r="B33" s="333"/>
      <c r="C33" s="333"/>
      <c r="D33" s="333"/>
      <c r="E33" s="333"/>
      <c r="F33" s="333"/>
    </row>
    <row r="34" spans="1:6" ht="15">
      <c r="A34" s="337" t="s">
        <v>523</v>
      </c>
      <c r="B34" s="333"/>
      <c r="C34" s="333"/>
      <c r="D34" s="333"/>
      <c r="E34" s="333"/>
      <c r="F34" s="333"/>
    </row>
    <row r="35" spans="1:6" ht="15">
      <c r="A35" s="337" t="s">
        <v>407</v>
      </c>
      <c r="B35" s="333"/>
      <c r="C35" s="333"/>
      <c r="D35" s="333"/>
      <c r="E35" s="333"/>
      <c r="F35" s="333"/>
    </row>
    <row r="36" spans="1:6" ht="15">
      <c r="A36" s="337" t="s">
        <v>408</v>
      </c>
      <c r="B36" s="333"/>
      <c r="C36" s="333"/>
      <c r="D36" s="333"/>
      <c r="E36" s="333"/>
      <c r="F36" s="333"/>
    </row>
    <row r="37" spans="1:6" ht="15">
      <c r="A37" s="337"/>
      <c r="B37" s="333"/>
      <c r="C37" s="333"/>
      <c r="D37" s="333"/>
      <c r="E37" s="333"/>
      <c r="F37" s="333"/>
    </row>
    <row r="38" spans="1:6" ht="15">
      <c r="A38" s="337" t="str">
        <f>CONCATENATE("Additionally, do your ",inputPrYr!C5-1," receipts contain a reimbursement")</f>
        <v>Additionally, do your 2013 receipts contain a reimbursement</v>
      </c>
      <c r="B38" s="333"/>
      <c r="C38" s="333"/>
      <c r="D38" s="333"/>
      <c r="E38" s="333"/>
      <c r="F38" s="333"/>
    </row>
    <row r="39" spans="1:6" ht="15">
      <c r="A39" s="337" t="s">
        <v>409</v>
      </c>
      <c r="B39" s="333"/>
      <c r="C39" s="333"/>
      <c r="D39" s="333"/>
      <c r="E39" s="333"/>
      <c r="F39" s="333"/>
    </row>
    <row r="40" spans="1:6" ht="15">
      <c r="A40" s="337" t="s">
        <v>410</v>
      </c>
      <c r="B40" s="333"/>
      <c r="C40" s="333"/>
      <c r="D40" s="333"/>
      <c r="E40" s="333"/>
      <c r="F40" s="333"/>
    </row>
    <row r="41" spans="1:6" ht="15">
      <c r="A41" s="337"/>
      <c r="B41" s="333"/>
      <c r="C41" s="333"/>
      <c r="D41" s="333"/>
      <c r="E41" s="333"/>
      <c r="F41" s="333"/>
    </row>
    <row r="42" spans="1:6" ht="15">
      <c r="A42" s="337" t="s">
        <v>411</v>
      </c>
      <c r="B42" s="333"/>
      <c r="C42" s="333"/>
      <c r="D42" s="333"/>
      <c r="E42" s="333"/>
      <c r="F42" s="333"/>
    </row>
    <row r="43" spans="1:6" ht="15">
      <c r="A43" s="337" t="s">
        <v>412</v>
      </c>
      <c r="B43" s="333"/>
      <c r="C43" s="333"/>
      <c r="D43" s="333"/>
      <c r="E43" s="333"/>
      <c r="F43" s="333"/>
    </row>
    <row r="44" spans="1:6" ht="15">
      <c r="A44" s="337" t="s">
        <v>413</v>
      </c>
      <c r="B44" s="333"/>
      <c r="C44" s="333"/>
      <c r="D44" s="333"/>
      <c r="E44" s="333"/>
      <c r="F44" s="333"/>
    </row>
    <row r="45" spans="1:6" ht="15">
      <c r="A45" s="337" t="s">
        <v>524</v>
      </c>
      <c r="B45" s="333"/>
      <c r="C45" s="333"/>
      <c r="D45" s="333"/>
      <c r="E45" s="333"/>
      <c r="F45" s="333"/>
    </row>
    <row r="46" spans="1:6" ht="15">
      <c r="A46" s="337" t="s">
        <v>415</v>
      </c>
      <c r="B46" s="333"/>
      <c r="C46" s="333"/>
      <c r="D46" s="333"/>
      <c r="E46" s="333"/>
      <c r="F46" s="333"/>
    </row>
    <row r="47" spans="1:6" ht="15">
      <c r="A47" s="337" t="s">
        <v>525</v>
      </c>
      <c r="B47" s="333"/>
      <c r="C47" s="333"/>
      <c r="D47" s="333"/>
      <c r="E47" s="333"/>
      <c r="F47" s="333"/>
    </row>
    <row r="48" spans="1:6" ht="15">
      <c r="A48" s="337" t="s">
        <v>526</v>
      </c>
      <c r="B48" s="333"/>
      <c r="C48" s="333"/>
      <c r="D48" s="333"/>
      <c r="E48" s="333"/>
      <c r="F48" s="333"/>
    </row>
    <row r="49" spans="1:6" ht="15">
      <c r="A49" s="337" t="s">
        <v>418</v>
      </c>
      <c r="B49" s="333"/>
      <c r="C49" s="333"/>
      <c r="D49" s="333"/>
      <c r="E49" s="333"/>
      <c r="F49" s="333"/>
    </row>
    <row r="50" spans="1:6" ht="15">
      <c r="A50" s="337"/>
      <c r="B50" s="333"/>
      <c r="C50" s="333"/>
      <c r="D50" s="333"/>
      <c r="E50" s="333"/>
      <c r="F50" s="333"/>
    </row>
    <row r="51" spans="1:6" ht="15">
      <c r="A51" s="337" t="s">
        <v>419</v>
      </c>
      <c r="B51" s="333"/>
      <c r="C51" s="333"/>
      <c r="D51" s="333"/>
      <c r="E51" s="333"/>
      <c r="F51" s="333"/>
    </row>
    <row r="52" spans="1:6" ht="15">
      <c r="A52" s="337" t="s">
        <v>420</v>
      </c>
      <c r="B52" s="333"/>
      <c r="C52" s="333"/>
      <c r="D52" s="333"/>
      <c r="E52" s="333"/>
      <c r="F52" s="333"/>
    </row>
    <row r="53" spans="1:6" ht="15">
      <c r="A53" s="337" t="s">
        <v>421</v>
      </c>
      <c r="B53" s="333"/>
      <c r="C53" s="333"/>
      <c r="D53" s="333"/>
      <c r="E53" s="333"/>
      <c r="F53" s="333"/>
    </row>
    <row r="54" spans="1:6" ht="15">
      <c r="A54" s="337"/>
      <c r="B54" s="333"/>
      <c r="C54" s="333"/>
      <c r="D54" s="333"/>
      <c r="E54" s="333"/>
      <c r="F54" s="333"/>
    </row>
    <row r="55" spans="1:6" ht="15">
      <c r="A55" s="337" t="s">
        <v>527</v>
      </c>
      <c r="B55" s="333"/>
      <c r="C55" s="333"/>
      <c r="D55" s="333"/>
      <c r="E55" s="333"/>
      <c r="F55" s="333"/>
    </row>
    <row r="56" spans="1:6" ht="15">
      <c r="A56" s="337" t="s">
        <v>528</v>
      </c>
      <c r="B56" s="333"/>
      <c r="C56" s="333"/>
      <c r="D56" s="333"/>
      <c r="E56" s="333"/>
      <c r="F56" s="333"/>
    </row>
    <row r="57" spans="1:6" ht="15">
      <c r="A57" s="337" t="s">
        <v>529</v>
      </c>
      <c r="B57" s="333"/>
      <c r="C57" s="333"/>
      <c r="D57" s="333"/>
      <c r="E57" s="333"/>
      <c r="F57" s="333"/>
    </row>
    <row r="58" spans="1:6" ht="15">
      <c r="A58" s="337" t="s">
        <v>530</v>
      </c>
      <c r="B58" s="333"/>
      <c r="C58" s="333"/>
      <c r="D58" s="333"/>
      <c r="E58" s="333"/>
      <c r="F58" s="333"/>
    </row>
    <row r="59" spans="1:6" ht="15">
      <c r="A59" s="337" t="s">
        <v>531</v>
      </c>
      <c r="B59" s="333"/>
      <c r="C59" s="333"/>
      <c r="D59" s="333"/>
      <c r="E59" s="333"/>
      <c r="F59" s="333"/>
    </row>
    <row r="60" spans="1:6" ht="15">
      <c r="A60" s="337"/>
      <c r="B60" s="333"/>
      <c r="C60" s="333"/>
      <c r="D60" s="333"/>
      <c r="E60" s="333"/>
      <c r="F60" s="333"/>
    </row>
    <row r="61" spans="1:6" ht="15">
      <c r="A61" s="338" t="s">
        <v>532</v>
      </c>
      <c r="B61" s="333"/>
      <c r="C61" s="333"/>
      <c r="D61" s="333"/>
      <c r="E61" s="333"/>
      <c r="F61" s="333"/>
    </row>
    <row r="62" spans="1:6" ht="15">
      <c r="A62" s="338" t="s">
        <v>533</v>
      </c>
      <c r="B62" s="333"/>
      <c r="C62" s="333"/>
      <c r="D62" s="333"/>
      <c r="E62" s="333"/>
      <c r="F62" s="333"/>
    </row>
    <row r="63" spans="1:6" ht="15">
      <c r="A63" s="338" t="s">
        <v>534</v>
      </c>
      <c r="B63" s="333"/>
      <c r="C63" s="333"/>
      <c r="D63" s="333"/>
      <c r="E63" s="333"/>
      <c r="F63" s="333"/>
    </row>
    <row r="64" ht="15">
      <c r="A64" s="338" t="s">
        <v>535</v>
      </c>
    </row>
    <row r="65" ht="15">
      <c r="A65" s="338" t="s">
        <v>536</v>
      </c>
    </row>
    <row r="66" ht="15">
      <c r="A66" s="338" t="s">
        <v>537</v>
      </c>
    </row>
    <row r="68" ht="15">
      <c r="A68" s="333" t="s">
        <v>538</v>
      </c>
    </row>
    <row r="69" ht="15">
      <c r="A69" s="333" t="s">
        <v>539</v>
      </c>
    </row>
    <row r="70" ht="15">
      <c r="A70" s="333" t="s">
        <v>540</v>
      </c>
    </row>
    <row r="71" ht="15">
      <c r="A71" s="333" t="s">
        <v>541</v>
      </c>
    </row>
    <row r="72" ht="15">
      <c r="A72" s="333" t="s">
        <v>542</v>
      </c>
    </row>
    <row r="73" ht="15">
      <c r="A73" s="333" t="s">
        <v>543</v>
      </c>
    </row>
    <row r="75" ht="15">
      <c r="A75" s="333" t="s">
        <v>448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32" t="s">
        <v>544</v>
      </c>
      <c r="B3" s="332"/>
      <c r="C3" s="332"/>
      <c r="D3" s="332"/>
      <c r="E3" s="332"/>
      <c r="F3" s="332"/>
      <c r="G3" s="332"/>
    </row>
    <row r="4" spans="1:7" ht="15">
      <c r="A4" s="332"/>
      <c r="B4" s="332"/>
      <c r="C4" s="332"/>
      <c r="D4" s="332"/>
      <c r="E4" s="332"/>
      <c r="F4" s="332"/>
      <c r="G4" s="332"/>
    </row>
    <row r="5" ht="15">
      <c r="A5" s="333" t="s">
        <v>450</v>
      </c>
    </row>
    <row r="6" ht="15">
      <c r="A6" s="333" t="str">
        <f>CONCATENATE(inputPrYr!C5," estimated expenditures show that at the end of this year")</f>
        <v>2014 estimated expenditures show that at the end of this year</v>
      </c>
    </row>
    <row r="7" ht="15">
      <c r="A7" s="333" t="s">
        <v>545</v>
      </c>
    </row>
    <row r="8" ht="15">
      <c r="A8" s="333" t="s">
        <v>546</v>
      </c>
    </row>
    <row r="10" ht="15">
      <c r="A10" t="s">
        <v>452</v>
      </c>
    </row>
    <row r="11" ht="15">
      <c r="A11" t="s">
        <v>453</v>
      </c>
    </row>
    <row r="12" ht="15">
      <c r="A12" t="s">
        <v>454</v>
      </c>
    </row>
    <row r="13" spans="1:7" ht="15">
      <c r="A13" s="332"/>
      <c r="B13" s="332"/>
      <c r="C13" s="332"/>
      <c r="D13" s="332"/>
      <c r="E13" s="332"/>
      <c r="F13" s="332"/>
      <c r="G13" s="332"/>
    </row>
    <row r="14" ht="15">
      <c r="A14" s="334" t="s">
        <v>547</v>
      </c>
    </row>
    <row r="15" ht="15">
      <c r="A15" s="333"/>
    </row>
    <row r="16" ht="15">
      <c r="A16" s="333" t="s">
        <v>548</v>
      </c>
    </row>
    <row r="17" ht="15">
      <c r="A17" s="333" t="s">
        <v>549</v>
      </c>
    </row>
    <row r="18" ht="15">
      <c r="A18" s="333" t="s">
        <v>550</v>
      </c>
    </row>
    <row r="19" ht="15">
      <c r="A19" s="333"/>
    </row>
    <row r="20" ht="15">
      <c r="A20" s="333" t="s">
        <v>551</v>
      </c>
    </row>
    <row r="21" ht="15">
      <c r="A21" s="333" t="s">
        <v>552</v>
      </c>
    </row>
    <row r="22" ht="15">
      <c r="A22" s="333" t="s">
        <v>553</v>
      </c>
    </row>
    <row r="23" ht="15">
      <c r="A23" s="333" t="s">
        <v>554</v>
      </c>
    </row>
    <row r="24" ht="15">
      <c r="A24" s="333"/>
    </row>
    <row r="25" ht="15">
      <c r="A25" s="334" t="s">
        <v>516</v>
      </c>
    </row>
    <row r="26" ht="15">
      <c r="A26" s="334"/>
    </row>
    <row r="27" ht="15">
      <c r="A27" s="333" t="s">
        <v>517</v>
      </c>
    </row>
    <row r="28" spans="1:6" ht="15">
      <c r="A28" s="333" t="s">
        <v>518</v>
      </c>
      <c r="B28" s="333"/>
      <c r="C28" s="333"/>
      <c r="D28" s="333"/>
      <c r="E28" s="333"/>
      <c r="F28" s="333"/>
    </row>
    <row r="29" spans="1:6" ht="15">
      <c r="A29" s="333" t="s">
        <v>519</v>
      </c>
      <c r="B29" s="333"/>
      <c r="C29" s="333"/>
      <c r="D29" s="333"/>
      <c r="E29" s="333"/>
      <c r="F29" s="333"/>
    </row>
    <row r="30" spans="1:6" ht="15">
      <c r="A30" s="333" t="s">
        <v>520</v>
      </c>
      <c r="B30" s="333"/>
      <c r="C30" s="333"/>
      <c r="D30" s="333"/>
      <c r="E30" s="333"/>
      <c r="F30" s="333"/>
    </row>
    <row r="31" ht="15">
      <c r="A31" s="333"/>
    </row>
    <row r="32" spans="1:7" ht="15">
      <c r="A32" s="334" t="s">
        <v>521</v>
      </c>
      <c r="B32" s="334"/>
      <c r="C32" s="334"/>
      <c r="D32" s="334"/>
      <c r="E32" s="334"/>
      <c r="F32" s="334"/>
      <c r="G32" s="334"/>
    </row>
    <row r="33" spans="1:7" ht="15">
      <c r="A33" s="334" t="s">
        <v>522</v>
      </c>
      <c r="B33" s="334"/>
      <c r="C33" s="334"/>
      <c r="D33" s="334"/>
      <c r="E33" s="334"/>
      <c r="F33" s="334"/>
      <c r="G33" s="334"/>
    </row>
    <row r="34" spans="1:7" ht="15">
      <c r="A34" s="334"/>
      <c r="B34" s="334"/>
      <c r="C34" s="334"/>
      <c r="D34" s="334"/>
      <c r="E34" s="334"/>
      <c r="F34" s="334"/>
      <c r="G34" s="334"/>
    </row>
    <row r="35" spans="1:7" ht="15">
      <c r="A35" s="333" t="s">
        <v>555</v>
      </c>
      <c r="B35" s="333"/>
      <c r="C35" s="333"/>
      <c r="D35" s="333"/>
      <c r="E35" s="333"/>
      <c r="F35" s="333"/>
      <c r="G35" s="333"/>
    </row>
    <row r="36" spans="1:7" ht="15">
      <c r="A36" s="333" t="s">
        <v>556</v>
      </c>
      <c r="B36" s="333"/>
      <c r="C36" s="333"/>
      <c r="D36" s="333"/>
      <c r="E36" s="333"/>
      <c r="F36" s="333"/>
      <c r="G36" s="333"/>
    </row>
    <row r="37" spans="1:7" ht="15">
      <c r="A37" s="333" t="s">
        <v>557</v>
      </c>
      <c r="B37" s="333"/>
      <c r="C37" s="333"/>
      <c r="D37" s="333"/>
      <c r="E37" s="333"/>
      <c r="F37" s="333"/>
      <c r="G37" s="333"/>
    </row>
    <row r="38" spans="1:7" ht="15">
      <c r="A38" s="333" t="s">
        <v>558</v>
      </c>
      <c r="B38" s="333"/>
      <c r="C38" s="333"/>
      <c r="D38" s="333"/>
      <c r="E38" s="333"/>
      <c r="F38" s="333"/>
      <c r="G38" s="333"/>
    </row>
    <row r="39" spans="1:7" ht="15">
      <c r="A39" s="333" t="s">
        <v>559</v>
      </c>
      <c r="B39" s="333"/>
      <c r="C39" s="333"/>
      <c r="D39" s="333"/>
      <c r="E39" s="333"/>
      <c r="F39" s="333"/>
      <c r="G39" s="333"/>
    </row>
    <row r="40" spans="1:7" ht="15">
      <c r="A40" s="334"/>
      <c r="B40" s="334"/>
      <c r="C40" s="334"/>
      <c r="D40" s="334"/>
      <c r="E40" s="334"/>
      <c r="F40" s="334"/>
      <c r="G40" s="334"/>
    </row>
    <row r="41" spans="1:6" ht="15">
      <c r="A41" s="337" t="str">
        <f>CONCATENATE("So, let's look to see if any of your ",inputPrYr!C5-1," expenditures can")</f>
        <v>So, let's look to see if any of your 2013 expenditures can</v>
      </c>
      <c r="B41" s="333"/>
      <c r="C41" s="333"/>
      <c r="D41" s="333"/>
      <c r="E41" s="333"/>
      <c r="F41" s="333"/>
    </row>
    <row r="42" spans="1:6" ht="15">
      <c r="A42" s="337" t="s">
        <v>523</v>
      </c>
      <c r="B42" s="333"/>
      <c r="C42" s="333"/>
      <c r="D42" s="333"/>
      <c r="E42" s="333"/>
      <c r="F42" s="333"/>
    </row>
    <row r="43" spans="1:6" ht="15">
      <c r="A43" s="337" t="s">
        <v>407</v>
      </c>
      <c r="B43" s="333"/>
      <c r="C43" s="333"/>
      <c r="D43" s="333"/>
      <c r="E43" s="333"/>
      <c r="F43" s="333"/>
    </row>
    <row r="44" spans="1:6" ht="15">
      <c r="A44" s="337" t="s">
        <v>408</v>
      </c>
      <c r="B44" s="333"/>
      <c r="C44" s="333"/>
      <c r="D44" s="333"/>
      <c r="E44" s="333"/>
      <c r="F44" s="333"/>
    </row>
    <row r="45" ht="15">
      <c r="A45" s="333"/>
    </row>
    <row r="46" spans="1:6" ht="15">
      <c r="A46" s="337" t="str">
        <f>CONCATENATE("Additionally, do your ",inputPrYr!C5-1," receipts contain a reimbursement")</f>
        <v>Additionally, do your 2013 receipts contain a reimbursement</v>
      </c>
      <c r="B46" s="333"/>
      <c r="C46" s="333"/>
      <c r="D46" s="333"/>
      <c r="E46" s="333"/>
      <c r="F46" s="333"/>
    </row>
    <row r="47" spans="1:6" ht="15">
      <c r="A47" s="337" t="s">
        <v>409</v>
      </c>
      <c r="B47" s="333"/>
      <c r="C47" s="333"/>
      <c r="D47" s="333"/>
      <c r="E47" s="333"/>
      <c r="F47" s="333"/>
    </row>
    <row r="48" spans="1:6" ht="15">
      <c r="A48" s="337" t="s">
        <v>410</v>
      </c>
      <c r="B48" s="333"/>
      <c r="C48" s="333"/>
      <c r="D48" s="333"/>
      <c r="E48" s="333"/>
      <c r="F48" s="333"/>
    </row>
    <row r="49" spans="1:7" ht="15">
      <c r="A49" s="333"/>
      <c r="B49" s="333"/>
      <c r="C49" s="333"/>
      <c r="D49" s="333"/>
      <c r="E49" s="333"/>
      <c r="F49" s="333"/>
      <c r="G49" s="333"/>
    </row>
    <row r="50" spans="1:7" ht="15">
      <c r="A50" s="333" t="s">
        <v>477</v>
      </c>
      <c r="B50" s="333"/>
      <c r="C50" s="333"/>
      <c r="D50" s="333"/>
      <c r="E50" s="333"/>
      <c r="F50" s="333"/>
      <c r="G50" s="333"/>
    </row>
    <row r="51" spans="1:7" ht="15">
      <c r="A51" s="333" t="s">
        <v>478</v>
      </c>
      <c r="B51" s="333"/>
      <c r="C51" s="333"/>
      <c r="D51" s="333"/>
      <c r="E51" s="333"/>
      <c r="F51" s="333"/>
      <c r="G51" s="333"/>
    </row>
    <row r="52" spans="1:7" ht="15">
      <c r="A52" s="333" t="s">
        <v>479</v>
      </c>
      <c r="B52" s="333"/>
      <c r="C52" s="333"/>
      <c r="D52" s="333"/>
      <c r="E52" s="333"/>
      <c r="F52" s="333"/>
      <c r="G52" s="333"/>
    </row>
    <row r="53" spans="1:7" ht="15">
      <c r="A53" s="333" t="s">
        <v>480</v>
      </c>
      <c r="B53" s="333"/>
      <c r="C53" s="333"/>
      <c r="D53" s="333"/>
      <c r="E53" s="333"/>
      <c r="F53" s="333"/>
      <c r="G53" s="333"/>
    </row>
    <row r="54" spans="1:7" ht="15">
      <c r="A54" s="333" t="s">
        <v>481</v>
      </c>
      <c r="B54" s="333"/>
      <c r="C54" s="333"/>
      <c r="D54" s="333"/>
      <c r="E54" s="333"/>
      <c r="F54" s="333"/>
      <c r="G54" s="333"/>
    </row>
    <row r="55" spans="1:7" ht="15">
      <c r="A55" s="333"/>
      <c r="B55" s="333"/>
      <c r="C55" s="333"/>
      <c r="D55" s="333"/>
      <c r="E55" s="333"/>
      <c r="F55" s="333"/>
      <c r="G55" s="333"/>
    </row>
    <row r="56" spans="1:6" ht="15">
      <c r="A56" s="337" t="s">
        <v>419</v>
      </c>
      <c r="B56" s="333"/>
      <c r="C56" s="333"/>
      <c r="D56" s="333"/>
      <c r="E56" s="333"/>
      <c r="F56" s="333"/>
    </row>
    <row r="57" spans="1:6" ht="15">
      <c r="A57" s="337" t="s">
        <v>420</v>
      </c>
      <c r="B57" s="333"/>
      <c r="C57" s="333"/>
      <c r="D57" s="333"/>
      <c r="E57" s="333"/>
      <c r="F57" s="333"/>
    </row>
    <row r="58" spans="1:6" ht="15">
      <c r="A58" s="337" t="s">
        <v>421</v>
      </c>
      <c r="B58" s="333"/>
      <c r="C58" s="333"/>
      <c r="D58" s="333"/>
      <c r="E58" s="333"/>
      <c r="F58" s="333"/>
    </row>
    <row r="59" spans="1:6" ht="15">
      <c r="A59" s="337"/>
      <c r="B59" s="333"/>
      <c r="C59" s="333"/>
      <c r="D59" s="333"/>
      <c r="E59" s="333"/>
      <c r="F59" s="333"/>
    </row>
    <row r="60" spans="1:7" ht="15">
      <c r="A60" s="333" t="s">
        <v>560</v>
      </c>
      <c r="B60" s="333"/>
      <c r="C60" s="333"/>
      <c r="D60" s="333"/>
      <c r="E60" s="333"/>
      <c r="F60" s="333"/>
      <c r="G60" s="333"/>
    </row>
    <row r="61" spans="1:7" ht="15">
      <c r="A61" s="333" t="s">
        <v>561</v>
      </c>
      <c r="B61" s="333"/>
      <c r="C61" s="333"/>
      <c r="D61" s="333"/>
      <c r="E61" s="333"/>
      <c r="F61" s="333"/>
      <c r="G61" s="333"/>
    </row>
    <row r="62" spans="1:7" ht="15">
      <c r="A62" s="333" t="s">
        <v>562</v>
      </c>
      <c r="B62" s="333"/>
      <c r="C62" s="333"/>
      <c r="D62" s="333"/>
      <c r="E62" s="333"/>
      <c r="F62" s="333"/>
      <c r="G62" s="333"/>
    </row>
    <row r="63" spans="1:7" ht="15">
      <c r="A63" s="333" t="s">
        <v>563</v>
      </c>
      <c r="B63" s="333"/>
      <c r="C63" s="333"/>
      <c r="D63" s="333"/>
      <c r="E63" s="333"/>
      <c r="F63" s="333"/>
      <c r="G63" s="333"/>
    </row>
    <row r="64" spans="1:7" ht="15">
      <c r="A64" s="333" t="s">
        <v>564</v>
      </c>
      <c r="B64" s="333"/>
      <c r="C64" s="333"/>
      <c r="D64" s="333"/>
      <c r="E64" s="333"/>
      <c r="F64" s="333"/>
      <c r="G64" s="333"/>
    </row>
    <row r="66" spans="1:6" ht="15">
      <c r="A66" s="337" t="s">
        <v>527</v>
      </c>
      <c r="B66" s="333"/>
      <c r="C66" s="333"/>
      <c r="D66" s="333"/>
      <c r="E66" s="333"/>
      <c r="F66" s="333"/>
    </row>
    <row r="67" spans="1:6" ht="15">
      <c r="A67" s="337" t="s">
        <v>528</v>
      </c>
      <c r="B67" s="333"/>
      <c r="C67" s="333"/>
      <c r="D67" s="333"/>
      <c r="E67" s="333"/>
      <c r="F67" s="333"/>
    </row>
    <row r="68" spans="1:6" ht="15">
      <c r="A68" s="337" t="s">
        <v>529</v>
      </c>
      <c r="B68" s="333"/>
      <c r="C68" s="333"/>
      <c r="D68" s="333"/>
      <c r="E68" s="333"/>
      <c r="F68" s="333"/>
    </row>
    <row r="69" spans="1:6" ht="15">
      <c r="A69" s="337" t="s">
        <v>530</v>
      </c>
      <c r="B69" s="333"/>
      <c r="C69" s="333"/>
      <c r="D69" s="333"/>
      <c r="E69" s="333"/>
      <c r="F69" s="333"/>
    </row>
    <row r="70" spans="1:6" ht="15">
      <c r="A70" s="337" t="s">
        <v>531</v>
      </c>
      <c r="B70" s="333"/>
      <c r="C70" s="333"/>
      <c r="D70" s="333"/>
      <c r="E70" s="333"/>
      <c r="F70" s="333"/>
    </row>
    <row r="71" ht="15">
      <c r="A71" s="333"/>
    </row>
    <row r="72" ht="15">
      <c r="A72" s="333" t="s">
        <v>448</v>
      </c>
    </row>
    <row r="73" ht="15">
      <c r="A73" s="333"/>
    </row>
    <row r="74" ht="15">
      <c r="A74" s="333"/>
    </row>
    <row r="75" ht="15">
      <c r="A75" s="333"/>
    </row>
    <row r="78" ht="15">
      <c r="A78" s="334"/>
    </row>
    <row r="80" ht="15">
      <c r="A80" s="333"/>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2" ht="15">
      <c r="A102" s="333"/>
    </row>
    <row r="103" ht="15">
      <c r="A103" s="333"/>
    </row>
    <row r="104" ht="15">
      <c r="A104" s="333"/>
    </row>
    <row r="105" ht="15">
      <c r="A105" s="333"/>
    </row>
    <row r="106" ht="15">
      <c r="A106" s="33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32" t="s">
        <v>565</v>
      </c>
      <c r="B3" s="332"/>
      <c r="C3" s="332"/>
      <c r="D3" s="332"/>
      <c r="E3" s="332"/>
      <c r="F3" s="332"/>
      <c r="G3" s="332"/>
    </row>
    <row r="4" spans="1:7" ht="15">
      <c r="A4" s="332" t="s">
        <v>566</v>
      </c>
      <c r="B4" s="332"/>
      <c r="C4" s="332"/>
      <c r="D4" s="332"/>
      <c r="E4" s="332"/>
      <c r="F4" s="332"/>
      <c r="G4" s="332"/>
    </row>
    <row r="5" spans="1:7" ht="15">
      <c r="A5" s="332"/>
      <c r="B5" s="332"/>
      <c r="C5" s="332"/>
      <c r="D5" s="332"/>
      <c r="E5" s="332"/>
      <c r="F5" s="332"/>
      <c r="G5" s="332"/>
    </row>
    <row r="6" spans="1:7" ht="15">
      <c r="A6" s="332"/>
      <c r="B6" s="332"/>
      <c r="C6" s="332"/>
      <c r="D6" s="332"/>
      <c r="E6" s="332"/>
      <c r="F6" s="332"/>
      <c r="G6" s="332"/>
    </row>
    <row r="7" ht="15">
      <c r="A7" s="333" t="s">
        <v>393</v>
      </c>
    </row>
    <row r="8" ht="15">
      <c r="A8" s="333" t="str">
        <f>CONCATENATE("estimated ",inputPrYr!C5," 'total expenditures' exceed your ",inputPrYr!C5,"")</f>
        <v>estimated 2014 'total expenditures' exceed your 2014</v>
      </c>
    </row>
    <row r="9" ht="15">
      <c r="A9" s="336" t="s">
        <v>567</v>
      </c>
    </row>
    <row r="10" ht="15">
      <c r="A10" s="333"/>
    </row>
    <row r="11" ht="15">
      <c r="A11" s="333" t="s">
        <v>568</v>
      </c>
    </row>
    <row r="12" ht="15">
      <c r="A12" s="333" t="s">
        <v>569</v>
      </c>
    </row>
    <row r="13" ht="15">
      <c r="A13" s="333" t="s">
        <v>570</v>
      </c>
    </row>
    <row r="14" ht="15">
      <c r="A14" s="333"/>
    </row>
    <row r="15" ht="15">
      <c r="A15" s="334" t="s">
        <v>571</v>
      </c>
    </row>
    <row r="16" spans="1:7" ht="15">
      <c r="A16" s="332"/>
      <c r="B16" s="332"/>
      <c r="C16" s="332"/>
      <c r="D16" s="332"/>
      <c r="E16" s="332"/>
      <c r="F16" s="332"/>
      <c r="G16" s="332"/>
    </row>
    <row r="17" spans="1:8" ht="15">
      <c r="A17" s="339" t="s">
        <v>572</v>
      </c>
      <c r="B17" s="340"/>
      <c r="C17" s="340"/>
      <c r="D17" s="340"/>
      <c r="E17" s="340"/>
      <c r="F17" s="340"/>
      <c r="G17" s="340"/>
      <c r="H17" s="340"/>
    </row>
    <row r="18" spans="1:7" ht="15">
      <c r="A18" s="333" t="s">
        <v>573</v>
      </c>
      <c r="B18" s="341"/>
      <c r="C18" s="341"/>
      <c r="D18" s="341"/>
      <c r="E18" s="341"/>
      <c r="F18" s="341"/>
      <c r="G18" s="341"/>
    </row>
    <row r="19" ht="15">
      <c r="A19" s="333" t="s">
        <v>574</v>
      </c>
    </row>
    <row r="20" ht="15">
      <c r="A20" s="333" t="s">
        <v>575</v>
      </c>
    </row>
    <row r="22" ht="15">
      <c r="A22" s="334" t="s">
        <v>576</v>
      </c>
    </row>
    <row r="24" ht="15">
      <c r="A24" s="333" t="s">
        <v>577</v>
      </c>
    </row>
    <row r="25" ht="15">
      <c r="A25" s="333" t="s">
        <v>578</v>
      </c>
    </row>
    <row r="26" ht="15">
      <c r="A26" s="333" t="s">
        <v>579</v>
      </c>
    </row>
    <row r="28" ht="15">
      <c r="A28" s="334" t="s">
        <v>580</v>
      </c>
    </row>
    <row r="30" ht="15">
      <c r="A30" t="s">
        <v>581</v>
      </c>
    </row>
    <row r="31" ht="15">
      <c r="A31" t="s">
        <v>582</v>
      </c>
    </row>
    <row r="32" ht="15">
      <c r="A32" t="s">
        <v>583</v>
      </c>
    </row>
    <row r="33" ht="15">
      <c r="A33" s="333" t="s">
        <v>584</v>
      </c>
    </row>
    <row r="35" ht="15">
      <c r="A35" t="s">
        <v>585</v>
      </c>
    </row>
    <row r="36" ht="15">
      <c r="A36" t="s">
        <v>586</v>
      </c>
    </row>
    <row r="37" ht="15">
      <c r="A37" t="s">
        <v>587</v>
      </c>
    </row>
    <row r="38" ht="15">
      <c r="A38" t="s">
        <v>588</v>
      </c>
    </row>
    <row r="40" ht="15">
      <c r="A40" t="s">
        <v>589</v>
      </c>
    </row>
    <row r="41" ht="15">
      <c r="A41" t="s">
        <v>590</v>
      </c>
    </row>
    <row r="42" ht="15">
      <c r="A42" t="s">
        <v>591</v>
      </c>
    </row>
    <row r="43" ht="15">
      <c r="A43" t="s">
        <v>592</v>
      </c>
    </row>
    <row r="44" ht="15">
      <c r="A44" t="s">
        <v>593</v>
      </c>
    </row>
    <row r="45" ht="15">
      <c r="A45" t="s">
        <v>594</v>
      </c>
    </row>
    <row r="47" ht="15">
      <c r="A47" t="s">
        <v>595</v>
      </c>
    </row>
    <row r="48" ht="15">
      <c r="A48" t="s">
        <v>596</v>
      </c>
    </row>
    <row r="49" ht="15">
      <c r="A49" s="333" t="s">
        <v>597</v>
      </c>
    </row>
    <row r="50" ht="15">
      <c r="A50" s="333" t="s">
        <v>598</v>
      </c>
    </row>
    <row r="52" ht="15">
      <c r="A52" t="s">
        <v>448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E7" sqref="E7"/>
    </sheetView>
  </sheetViews>
  <sheetFormatPr defaultColWidth="8.796875" defaultRowHeight="15"/>
  <cols>
    <col min="1" max="1" width="13.796875" style="677" customWidth="1"/>
    <col min="2" max="2" width="16.09765625" style="677" customWidth="1"/>
    <col min="3" max="16384" width="8.8984375" style="677" customWidth="1"/>
  </cols>
  <sheetData>
    <row r="1" ht="15">
      <c r="J1" s="676" t="s">
        <v>873</v>
      </c>
    </row>
    <row r="2" spans="1:10" ht="54" customHeight="1">
      <c r="A2" s="797" t="s">
        <v>383</v>
      </c>
      <c r="B2" s="798"/>
      <c r="C2" s="798"/>
      <c r="D2" s="798"/>
      <c r="E2" s="798"/>
      <c r="F2" s="798"/>
      <c r="J2" s="676" t="s">
        <v>874</v>
      </c>
    </row>
    <row r="3" spans="1:10" ht="15.75">
      <c r="A3" s="675" t="s">
        <v>875</v>
      </c>
      <c r="B3" s="710" t="s">
        <v>997</v>
      </c>
      <c r="C3" s="710"/>
      <c r="J3" s="676" t="s">
        <v>876</v>
      </c>
    </row>
    <row r="4" spans="1:10" ht="15.75">
      <c r="A4" s="675"/>
      <c r="B4" s="717"/>
      <c r="J4" s="676" t="s">
        <v>877</v>
      </c>
    </row>
    <row r="5" spans="1:10" ht="15.75">
      <c r="A5" s="675" t="s">
        <v>636</v>
      </c>
      <c r="B5" s="710" t="s">
        <v>162</v>
      </c>
      <c r="J5" s="676" t="s">
        <v>878</v>
      </c>
    </row>
    <row r="6" spans="1:10" ht="15.75">
      <c r="A6" s="682"/>
      <c r="B6" s="682"/>
      <c r="C6" s="682"/>
      <c r="D6" s="709" t="s">
        <v>879</v>
      </c>
      <c r="E6" s="682"/>
      <c r="F6" s="682"/>
      <c r="J6" s="676" t="s">
        <v>880</v>
      </c>
    </row>
    <row r="7" spans="1:10" ht="15.75">
      <c r="A7" s="709" t="s">
        <v>384</v>
      </c>
      <c r="B7" s="710" t="s">
        <v>998</v>
      </c>
      <c r="C7" s="683"/>
      <c r="D7" s="674" t="str">
        <f>IF(B7="","",CONCATENATE("Latest date for notice to be published in your newspaper: ",G18," ",G22,", ",G23))</f>
        <v>Latest date for notice to be published in your newspaper: July 12, 2013</v>
      </c>
      <c r="E7" s="682"/>
      <c r="F7" s="682"/>
      <c r="J7" s="676" t="s">
        <v>881</v>
      </c>
    </row>
    <row r="8" spans="1:10" ht="15.75">
      <c r="A8" s="709"/>
      <c r="B8" s="684"/>
      <c r="C8" s="685"/>
      <c r="D8" s="709"/>
      <c r="E8" s="682"/>
      <c r="F8" s="682"/>
      <c r="J8" s="676" t="s">
        <v>882</v>
      </c>
    </row>
    <row r="9" spans="1:10" ht="15.75">
      <c r="A9" s="709" t="s">
        <v>385</v>
      </c>
      <c r="B9" s="710" t="s">
        <v>999</v>
      </c>
      <c r="C9" s="686"/>
      <c r="D9" s="709"/>
      <c r="E9" s="682"/>
      <c r="F9" s="682"/>
      <c r="J9" s="676" t="s">
        <v>883</v>
      </c>
    </row>
    <row r="10" spans="1:10" ht="15.75">
      <c r="A10" s="709"/>
      <c r="B10" s="709"/>
      <c r="C10" s="709"/>
      <c r="D10" s="709"/>
      <c r="E10" s="682"/>
      <c r="F10" s="682"/>
      <c r="J10" s="676" t="s">
        <v>884</v>
      </c>
    </row>
    <row r="11" spans="1:10" ht="15.75">
      <c r="A11" s="709" t="s">
        <v>386</v>
      </c>
      <c r="B11" s="711" t="s">
        <v>391</v>
      </c>
      <c r="C11" s="711"/>
      <c r="D11" s="711"/>
      <c r="E11" s="687"/>
      <c r="F11" s="682"/>
      <c r="J11" s="676" t="s">
        <v>885</v>
      </c>
    </row>
    <row r="12" spans="1:10" ht="15.75">
      <c r="A12" s="709"/>
      <c r="B12" s="709"/>
      <c r="C12" s="709"/>
      <c r="D12" s="709"/>
      <c r="E12" s="682"/>
      <c r="F12" s="682"/>
      <c r="J12" s="676" t="s">
        <v>886</v>
      </c>
    </row>
    <row r="13" spans="1:6" ht="15.75">
      <c r="A13" s="709"/>
      <c r="B13" s="709"/>
      <c r="C13" s="709"/>
      <c r="D13" s="709"/>
      <c r="E13" s="682"/>
      <c r="F13" s="682"/>
    </row>
    <row r="14" spans="1:6" ht="15.75">
      <c r="A14" s="709" t="s">
        <v>387</v>
      </c>
      <c r="B14" s="711" t="s">
        <v>391</v>
      </c>
      <c r="C14" s="711"/>
      <c r="D14" s="711"/>
      <c r="E14" s="687"/>
      <c r="F14" s="682"/>
    </row>
    <row r="17" spans="1:6" ht="15.75">
      <c r="A17" s="799" t="s">
        <v>388</v>
      </c>
      <c r="B17" s="799"/>
      <c r="C17" s="709"/>
      <c r="D17" s="709"/>
      <c r="E17" s="709"/>
      <c r="F17" s="682"/>
    </row>
    <row r="18" spans="1:7" ht="15.75">
      <c r="A18" s="709"/>
      <c r="B18" s="709"/>
      <c r="C18" s="709"/>
      <c r="D18" s="709"/>
      <c r="E18" s="709"/>
      <c r="F18" s="682"/>
      <c r="G18" s="676" t="str">
        <f ca="1">IF(B7="","",INDIRECT(G19))</f>
        <v>July</v>
      </c>
    </row>
    <row r="19" spans="1:7" ht="15.75">
      <c r="A19" s="709" t="s">
        <v>636</v>
      </c>
      <c r="B19" s="709" t="s">
        <v>640</v>
      </c>
      <c r="C19" s="709"/>
      <c r="D19" s="709"/>
      <c r="E19" s="709"/>
      <c r="F19" s="682"/>
      <c r="G19" s="712" t="str">
        <f>IF(B7="","",CONCATENATE("J",G21))</f>
        <v>J7</v>
      </c>
    </row>
    <row r="20" spans="1:7" ht="15.75">
      <c r="A20" s="709"/>
      <c r="B20" s="709"/>
      <c r="C20" s="709"/>
      <c r="D20" s="709"/>
      <c r="E20" s="709"/>
      <c r="F20" s="682"/>
      <c r="G20" s="713">
        <f>B7-10</f>
        <v>41467</v>
      </c>
    </row>
    <row r="21" spans="1:7" ht="15.75">
      <c r="A21" s="709" t="s">
        <v>384</v>
      </c>
      <c r="B21" s="684" t="s">
        <v>389</v>
      </c>
      <c r="C21" s="709"/>
      <c r="D21" s="709"/>
      <c r="E21" s="709"/>
      <c r="G21" s="714">
        <f>IF(B7="","",MONTH(G20))</f>
        <v>7</v>
      </c>
    </row>
    <row r="22" spans="1:7" ht="15.75">
      <c r="A22" s="709"/>
      <c r="B22" s="709"/>
      <c r="C22" s="709"/>
      <c r="D22" s="709"/>
      <c r="E22" s="709"/>
      <c r="G22" s="715">
        <f>IF(B7="","",DAY(G20))</f>
        <v>12</v>
      </c>
    </row>
    <row r="23" spans="1:7" ht="15.75">
      <c r="A23" s="709" t="s">
        <v>385</v>
      </c>
      <c r="B23" s="709" t="s">
        <v>390</v>
      </c>
      <c r="C23" s="709"/>
      <c r="D23" s="709"/>
      <c r="E23" s="709"/>
      <c r="G23" s="716">
        <f>IF(B7="","",YEAR(G20))</f>
        <v>2013</v>
      </c>
    </row>
    <row r="24" spans="1:5" ht="15.75">
      <c r="A24" s="709"/>
      <c r="B24" s="709"/>
      <c r="C24" s="709"/>
      <c r="D24" s="709"/>
      <c r="E24" s="709"/>
    </row>
    <row r="25" spans="1:5" ht="15.75">
      <c r="A25" s="709" t="s">
        <v>386</v>
      </c>
      <c r="B25" s="709" t="s">
        <v>391</v>
      </c>
      <c r="C25" s="709"/>
      <c r="D25" s="709"/>
      <c r="E25" s="709"/>
    </row>
    <row r="26" spans="1:5" ht="15.75">
      <c r="A26" s="709"/>
      <c r="B26" s="709"/>
      <c r="C26" s="709"/>
      <c r="D26" s="709"/>
      <c r="E26" s="709"/>
    </row>
    <row r="27" spans="1:5" ht="15.75">
      <c r="A27" s="709" t="s">
        <v>387</v>
      </c>
      <c r="B27" s="709" t="s">
        <v>391</v>
      </c>
      <c r="C27" s="709"/>
      <c r="D27" s="709"/>
      <c r="E27" s="709"/>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4" r:id="rId1"/>
</worksheet>
</file>

<file path=xl/worksheets/sheet40.xml><?xml version="1.0" encoding="utf-8"?>
<worksheet xmlns="http://schemas.openxmlformats.org/spreadsheetml/2006/main" xmlns:r="http://schemas.openxmlformats.org/officeDocument/2006/relationships">
  <dimension ref="A1:X354"/>
  <sheetViews>
    <sheetView zoomScalePageLayoutView="0" workbookViewId="0" topLeftCell="A1">
      <selection activeCell="M19" sqref="M19"/>
    </sheetView>
  </sheetViews>
  <sheetFormatPr defaultColWidth="8.796875" defaultRowHeight="15"/>
  <cols>
    <col min="1" max="1" width="7.59765625" style="486" customWidth="1"/>
    <col min="2" max="2" width="11.19921875" style="418" customWidth="1"/>
    <col min="3" max="3" width="7.3984375" style="418" customWidth="1"/>
    <col min="4" max="4" width="8.8984375" style="418" customWidth="1"/>
    <col min="5" max="5" width="1.59765625" style="418" customWidth="1"/>
    <col min="6" max="6" width="14.296875" style="418" customWidth="1"/>
    <col min="7" max="7" width="2.59765625" style="418" customWidth="1"/>
    <col min="8" max="8" width="9.796875" style="418" customWidth="1"/>
    <col min="9" max="9" width="2" style="418" customWidth="1"/>
    <col min="10" max="10" width="8.59765625" style="418" customWidth="1"/>
    <col min="11" max="11" width="11.69921875" style="418" customWidth="1"/>
    <col min="12" max="12" width="7.59765625" style="486" customWidth="1"/>
    <col min="13" max="14" width="8.8984375" style="486" customWidth="1"/>
    <col min="15" max="15" width="9.8984375" style="486" bestFit="1" customWidth="1"/>
    <col min="16" max="16384" width="8.8984375" style="486" customWidth="1"/>
  </cols>
  <sheetData>
    <row r="1" spans="1:12" ht="14.25">
      <c r="A1" s="417"/>
      <c r="B1" s="417"/>
      <c r="C1" s="417"/>
      <c r="D1" s="417"/>
      <c r="E1" s="417"/>
      <c r="F1" s="417"/>
      <c r="G1" s="417"/>
      <c r="H1" s="417"/>
      <c r="I1" s="417"/>
      <c r="J1" s="417"/>
      <c r="K1" s="417"/>
      <c r="L1" s="417"/>
    </row>
    <row r="2" spans="1:12" ht="14.25">
      <c r="A2" s="417"/>
      <c r="B2" s="417"/>
      <c r="C2" s="417"/>
      <c r="D2" s="417"/>
      <c r="E2" s="417"/>
      <c r="F2" s="417"/>
      <c r="G2" s="417"/>
      <c r="H2" s="417"/>
      <c r="I2" s="417"/>
      <c r="J2" s="417"/>
      <c r="K2" s="417"/>
      <c r="L2" s="417"/>
    </row>
    <row r="3" spans="1:12" ht="14.25">
      <c r="A3" s="417"/>
      <c r="B3" s="417"/>
      <c r="C3" s="417"/>
      <c r="D3" s="417"/>
      <c r="E3" s="417"/>
      <c r="F3" s="417"/>
      <c r="G3" s="417"/>
      <c r="H3" s="417"/>
      <c r="I3" s="417"/>
      <c r="J3" s="417"/>
      <c r="K3" s="417"/>
      <c r="L3" s="417"/>
    </row>
    <row r="4" spans="1:12" ht="14.25">
      <c r="A4" s="417"/>
      <c r="L4" s="417"/>
    </row>
    <row r="5" spans="1:12" ht="15" customHeight="1">
      <c r="A5" s="417"/>
      <c r="L5" s="417"/>
    </row>
    <row r="6" spans="1:12" ht="33" customHeight="1">
      <c r="A6" s="417"/>
      <c r="B6" s="877" t="s">
        <v>668</v>
      </c>
      <c r="C6" s="875"/>
      <c r="D6" s="875"/>
      <c r="E6" s="875"/>
      <c r="F6" s="875"/>
      <c r="G6" s="875"/>
      <c r="H6" s="875"/>
      <c r="I6" s="875"/>
      <c r="J6" s="875"/>
      <c r="K6" s="875"/>
      <c r="L6" s="419"/>
    </row>
    <row r="7" spans="1:12" ht="40.5" customHeight="1">
      <c r="A7" s="417"/>
      <c r="B7" s="878" t="s">
        <v>669</v>
      </c>
      <c r="C7" s="879"/>
      <c r="D7" s="879"/>
      <c r="E7" s="879"/>
      <c r="F7" s="879"/>
      <c r="G7" s="879"/>
      <c r="H7" s="879"/>
      <c r="I7" s="879"/>
      <c r="J7" s="879"/>
      <c r="K7" s="879"/>
      <c r="L7" s="417"/>
    </row>
    <row r="8" spans="1:12" ht="14.25">
      <c r="A8" s="417"/>
      <c r="B8" s="880" t="s">
        <v>670</v>
      </c>
      <c r="C8" s="880"/>
      <c r="D8" s="880"/>
      <c r="E8" s="880"/>
      <c r="F8" s="880"/>
      <c r="G8" s="880"/>
      <c r="H8" s="880"/>
      <c r="I8" s="880"/>
      <c r="J8" s="880"/>
      <c r="K8" s="880"/>
      <c r="L8" s="417"/>
    </row>
    <row r="9" spans="1:12" ht="14.25">
      <c r="A9" s="417"/>
      <c r="L9" s="417"/>
    </row>
    <row r="10" spans="1:12" ht="14.25">
      <c r="A10" s="417"/>
      <c r="B10" s="880" t="s">
        <v>671</v>
      </c>
      <c r="C10" s="880"/>
      <c r="D10" s="880"/>
      <c r="E10" s="880"/>
      <c r="F10" s="880"/>
      <c r="G10" s="880"/>
      <c r="H10" s="880"/>
      <c r="I10" s="880"/>
      <c r="J10" s="880"/>
      <c r="K10" s="880"/>
      <c r="L10" s="417"/>
    </row>
    <row r="11" spans="1:12" ht="14.25">
      <c r="A11" s="417"/>
      <c r="B11" s="658"/>
      <c r="C11" s="658"/>
      <c r="D11" s="658"/>
      <c r="E11" s="658"/>
      <c r="F11" s="658"/>
      <c r="G11" s="658"/>
      <c r="H11" s="658"/>
      <c r="I11" s="658"/>
      <c r="J11" s="658"/>
      <c r="K11" s="658"/>
      <c r="L11" s="417"/>
    </row>
    <row r="12" spans="1:12" ht="32.25" customHeight="1">
      <c r="A12" s="417"/>
      <c r="B12" s="881" t="s">
        <v>672</v>
      </c>
      <c r="C12" s="881"/>
      <c r="D12" s="881"/>
      <c r="E12" s="881"/>
      <c r="F12" s="881"/>
      <c r="G12" s="881"/>
      <c r="H12" s="881"/>
      <c r="I12" s="881"/>
      <c r="J12" s="881"/>
      <c r="K12" s="881"/>
      <c r="L12" s="417"/>
    </row>
    <row r="13" spans="1:12" ht="14.25">
      <c r="A13" s="417"/>
      <c r="L13" s="417"/>
    </row>
    <row r="14" spans="1:12" ht="14.25">
      <c r="A14" s="417"/>
      <c r="B14" s="420" t="s">
        <v>673</v>
      </c>
      <c r="L14" s="417"/>
    </row>
    <row r="15" spans="1:12" ht="14.25">
      <c r="A15" s="417"/>
      <c r="L15" s="417"/>
    </row>
    <row r="16" spans="1:12" ht="14.25">
      <c r="A16" s="417"/>
      <c r="B16" s="418" t="s">
        <v>674</v>
      </c>
      <c r="L16" s="417"/>
    </row>
    <row r="17" spans="1:12" ht="14.25">
      <c r="A17" s="417"/>
      <c r="B17" s="418" t="s">
        <v>675</v>
      </c>
      <c r="L17" s="417"/>
    </row>
    <row r="18" spans="1:12" ht="14.25">
      <c r="A18" s="417"/>
      <c r="L18" s="417"/>
    </row>
    <row r="19" spans="1:12" ht="14.25">
      <c r="A19" s="417"/>
      <c r="B19" s="420" t="s">
        <v>889</v>
      </c>
      <c r="L19" s="417"/>
    </row>
    <row r="20" spans="1:12" ht="14.25">
      <c r="A20" s="417"/>
      <c r="B20" s="420"/>
      <c r="L20" s="417"/>
    </row>
    <row r="21" spans="1:12" ht="14.25">
      <c r="A21" s="417"/>
      <c r="B21" s="418" t="s">
        <v>890</v>
      </c>
      <c r="L21" s="417"/>
    </row>
    <row r="22" spans="1:12" ht="14.25">
      <c r="A22" s="417"/>
      <c r="L22" s="417"/>
    </row>
    <row r="23" spans="1:12" ht="14.25">
      <c r="A23" s="417"/>
      <c r="B23" s="418" t="s">
        <v>676</v>
      </c>
      <c r="E23" s="418" t="s">
        <v>677</v>
      </c>
      <c r="F23" s="873">
        <v>312000000</v>
      </c>
      <c r="G23" s="873"/>
      <c r="L23" s="417"/>
    </row>
    <row r="24" spans="1:12" ht="14.25">
      <c r="A24" s="417"/>
      <c r="L24" s="417"/>
    </row>
    <row r="25" spans="1:12" ht="14.25">
      <c r="A25" s="417"/>
      <c r="C25" s="882">
        <f>F23</f>
        <v>312000000</v>
      </c>
      <c r="D25" s="882"/>
      <c r="E25" s="418" t="s">
        <v>678</v>
      </c>
      <c r="F25" s="421">
        <v>1000</v>
      </c>
      <c r="G25" s="421" t="s">
        <v>677</v>
      </c>
      <c r="H25" s="659">
        <f>F23/F25</f>
        <v>312000</v>
      </c>
      <c r="L25" s="417"/>
    </row>
    <row r="26" spans="1:12" ht="15" thickBot="1">
      <c r="A26" s="417"/>
      <c r="L26" s="417"/>
    </row>
    <row r="27" spans="1:12" ht="14.25">
      <c r="A27" s="417"/>
      <c r="B27" s="422" t="s">
        <v>673</v>
      </c>
      <c r="C27" s="423"/>
      <c r="D27" s="423"/>
      <c r="E27" s="423"/>
      <c r="F27" s="423"/>
      <c r="G27" s="423"/>
      <c r="H27" s="423"/>
      <c r="I27" s="423"/>
      <c r="J27" s="423"/>
      <c r="K27" s="424"/>
      <c r="L27" s="417"/>
    </row>
    <row r="28" spans="1:12" ht="14.25">
      <c r="A28" s="417"/>
      <c r="B28" s="425">
        <f>F23</f>
        <v>312000000</v>
      </c>
      <c r="C28" s="426" t="s">
        <v>679</v>
      </c>
      <c r="D28" s="426"/>
      <c r="E28" s="426" t="s">
        <v>678</v>
      </c>
      <c r="F28" s="652">
        <v>1000</v>
      </c>
      <c r="G28" s="652" t="s">
        <v>677</v>
      </c>
      <c r="H28" s="427">
        <f>B28/F28</f>
        <v>312000</v>
      </c>
      <c r="I28" s="426" t="s">
        <v>680</v>
      </c>
      <c r="J28" s="426"/>
      <c r="K28" s="428"/>
      <c r="L28" s="417"/>
    </row>
    <row r="29" spans="1:12" ht="15" thickBot="1">
      <c r="A29" s="417"/>
      <c r="B29" s="429"/>
      <c r="C29" s="430"/>
      <c r="D29" s="430"/>
      <c r="E29" s="430"/>
      <c r="F29" s="430"/>
      <c r="G29" s="430"/>
      <c r="H29" s="430"/>
      <c r="I29" s="430"/>
      <c r="J29" s="430"/>
      <c r="K29" s="431"/>
      <c r="L29" s="417"/>
    </row>
    <row r="30" spans="1:12" ht="40.5" customHeight="1">
      <c r="A30" s="417"/>
      <c r="B30" s="883" t="s">
        <v>669</v>
      </c>
      <c r="C30" s="883"/>
      <c r="D30" s="883"/>
      <c r="E30" s="883"/>
      <c r="F30" s="883"/>
      <c r="G30" s="883"/>
      <c r="H30" s="883"/>
      <c r="I30" s="883"/>
      <c r="J30" s="883"/>
      <c r="K30" s="883"/>
      <c r="L30" s="417"/>
    </row>
    <row r="31" spans="1:12" ht="14.25">
      <c r="A31" s="417"/>
      <c r="B31" s="880" t="s">
        <v>681</v>
      </c>
      <c r="C31" s="880"/>
      <c r="D31" s="880"/>
      <c r="E31" s="880"/>
      <c r="F31" s="880"/>
      <c r="G31" s="880"/>
      <c r="H31" s="880"/>
      <c r="I31" s="880"/>
      <c r="J31" s="880"/>
      <c r="K31" s="880"/>
      <c r="L31" s="417"/>
    </row>
    <row r="32" spans="1:12" ht="14.25">
      <c r="A32" s="417"/>
      <c r="L32" s="417"/>
    </row>
    <row r="33" spans="1:12" ht="14.25">
      <c r="A33" s="417"/>
      <c r="B33" s="880" t="s">
        <v>682</v>
      </c>
      <c r="C33" s="880"/>
      <c r="D33" s="880"/>
      <c r="E33" s="880"/>
      <c r="F33" s="880"/>
      <c r="G33" s="880"/>
      <c r="H33" s="880"/>
      <c r="I33" s="880"/>
      <c r="J33" s="880"/>
      <c r="K33" s="880"/>
      <c r="L33" s="417"/>
    </row>
    <row r="34" spans="1:12" ht="14.25">
      <c r="A34" s="417"/>
      <c r="L34" s="417"/>
    </row>
    <row r="35" spans="1:12" ht="89.25" customHeight="1">
      <c r="A35" s="417"/>
      <c r="B35" s="881" t="s">
        <v>683</v>
      </c>
      <c r="C35" s="872"/>
      <c r="D35" s="872"/>
      <c r="E35" s="872"/>
      <c r="F35" s="872"/>
      <c r="G35" s="872"/>
      <c r="H35" s="872"/>
      <c r="I35" s="872"/>
      <c r="J35" s="872"/>
      <c r="K35" s="872"/>
      <c r="L35" s="417"/>
    </row>
    <row r="36" spans="1:12" ht="14.25">
      <c r="A36" s="417"/>
      <c r="L36" s="417"/>
    </row>
    <row r="37" spans="1:12" ht="14.25">
      <c r="A37" s="417"/>
      <c r="B37" s="420" t="s">
        <v>684</v>
      </c>
      <c r="L37" s="417"/>
    </row>
    <row r="38" spans="1:12" ht="14.25">
      <c r="A38" s="417"/>
      <c r="L38" s="417"/>
    </row>
    <row r="39" spans="1:12" ht="14.25">
      <c r="A39" s="417"/>
      <c r="B39" s="418" t="s">
        <v>685</v>
      </c>
      <c r="L39" s="417"/>
    </row>
    <row r="40" spans="1:12" ht="14.25">
      <c r="A40" s="417"/>
      <c r="L40" s="417"/>
    </row>
    <row r="41" spans="1:12" ht="14.25">
      <c r="A41" s="417"/>
      <c r="C41" s="884">
        <v>312000000</v>
      </c>
      <c r="D41" s="884"/>
      <c r="E41" s="418" t="s">
        <v>678</v>
      </c>
      <c r="F41" s="421">
        <v>1000</v>
      </c>
      <c r="G41" s="421" t="s">
        <v>677</v>
      </c>
      <c r="H41" s="432">
        <f>C41/F41</f>
        <v>312000</v>
      </c>
      <c r="L41" s="417"/>
    </row>
    <row r="42" spans="1:12" ht="14.25">
      <c r="A42" s="417"/>
      <c r="L42" s="417"/>
    </row>
    <row r="43" spans="1:12" ht="14.25">
      <c r="A43" s="417"/>
      <c r="B43" s="418" t="s">
        <v>686</v>
      </c>
      <c r="L43" s="417"/>
    </row>
    <row r="44" spans="1:12" ht="14.25">
      <c r="A44" s="417"/>
      <c r="L44" s="417"/>
    </row>
    <row r="45" spans="1:12" ht="14.25">
      <c r="A45" s="417"/>
      <c r="B45" s="418" t="s">
        <v>687</v>
      </c>
      <c r="L45" s="417"/>
    </row>
    <row r="46" spans="1:12" ht="15" thickBot="1">
      <c r="A46" s="417"/>
      <c r="L46" s="417"/>
    </row>
    <row r="47" spans="1:12" ht="14.25">
      <c r="A47" s="417"/>
      <c r="B47" s="433" t="s">
        <v>673</v>
      </c>
      <c r="C47" s="423"/>
      <c r="D47" s="423"/>
      <c r="E47" s="423"/>
      <c r="F47" s="423"/>
      <c r="G47" s="423"/>
      <c r="H47" s="423"/>
      <c r="I47" s="423"/>
      <c r="J47" s="423"/>
      <c r="K47" s="424"/>
      <c r="L47" s="417"/>
    </row>
    <row r="48" spans="1:12" ht="14.25">
      <c r="A48" s="417"/>
      <c r="B48" s="885">
        <v>312000000</v>
      </c>
      <c r="C48" s="873"/>
      <c r="D48" s="426" t="s">
        <v>688</v>
      </c>
      <c r="E48" s="426" t="s">
        <v>678</v>
      </c>
      <c r="F48" s="652">
        <v>1000</v>
      </c>
      <c r="G48" s="652" t="s">
        <v>677</v>
      </c>
      <c r="H48" s="427">
        <f>B48/F48</f>
        <v>312000</v>
      </c>
      <c r="I48" s="426" t="s">
        <v>689</v>
      </c>
      <c r="J48" s="426"/>
      <c r="K48" s="428"/>
      <c r="L48" s="417"/>
    </row>
    <row r="49" spans="1:12" ht="14.25">
      <c r="A49" s="417"/>
      <c r="B49" s="434"/>
      <c r="C49" s="426"/>
      <c r="D49" s="426"/>
      <c r="E49" s="426"/>
      <c r="F49" s="426"/>
      <c r="G49" s="426"/>
      <c r="H49" s="426"/>
      <c r="I49" s="426"/>
      <c r="J49" s="426"/>
      <c r="K49" s="428"/>
      <c r="L49" s="417"/>
    </row>
    <row r="50" spans="1:12" ht="14.25">
      <c r="A50" s="417"/>
      <c r="B50" s="435">
        <v>50000</v>
      </c>
      <c r="C50" s="426" t="s">
        <v>690</v>
      </c>
      <c r="D50" s="426"/>
      <c r="E50" s="426" t="s">
        <v>678</v>
      </c>
      <c r="F50" s="427">
        <f>H48</f>
        <v>312000</v>
      </c>
      <c r="G50" s="886" t="s">
        <v>691</v>
      </c>
      <c r="H50" s="887"/>
      <c r="I50" s="652" t="s">
        <v>677</v>
      </c>
      <c r="J50" s="436">
        <f>B50/F50</f>
        <v>0.16025641025641027</v>
      </c>
      <c r="K50" s="428"/>
      <c r="L50" s="417"/>
    </row>
    <row r="51" spans="1:15" ht="15" thickBot="1">
      <c r="A51" s="417"/>
      <c r="B51" s="429"/>
      <c r="C51" s="430"/>
      <c r="D51" s="430"/>
      <c r="E51" s="430"/>
      <c r="F51" s="430"/>
      <c r="G51" s="430"/>
      <c r="H51" s="430"/>
      <c r="I51" s="888" t="s">
        <v>692</v>
      </c>
      <c r="J51" s="888"/>
      <c r="K51" s="889"/>
      <c r="L51" s="417"/>
      <c r="O51" s="536"/>
    </row>
    <row r="52" spans="1:12" ht="40.5" customHeight="1">
      <c r="A52" s="417"/>
      <c r="B52" s="883" t="s">
        <v>669</v>
      </c>
      <c r="C52" s="883"/>
      <c r="D52" s="883"/>
      <c r="E52" s="883"/>
      <c r="F52" s="883"/>
      <c r="G52" s="883"/>
      <c r="H52" s="883"/>
      <c r="I52" s="883"/>
      <c r="J52" s="883"/>
      <c r="K52" s="883"/>
      <c r="L52" s="417"/>
    </row>
    <row r="53" spans="1:12" ht="14.25">
      <c r="A53" s="417"/>
      <c r="B53" s="880" t="s">
        <v>693</v>
      </c>
      <c r="C53" s="880"/>
      <c r="D53" s="880"/>
      <c r="E53" s="880"/>
      <c r="F53" s="880"/>
      <c r="G53" s="880"/>
      <c r="H53" s="880"/>
      <c r="I53" s="880"/>
      <c r="J53" s="880"/>
      <c r="K53" s="880"/>
      <c r="L53" s="417"/>
    </row>
    <row r="54" spans="1:12" ht="14.25">
      <c r="A54" s="417"/>
      <c r="B54" s="658"/>
      <c r="C54" s="658"/>
      <c r="D54" s="658"/>
      <c r="E54" s="658"/>
      <c r="F54" s="658"/>
      <c r="G54" s="658"/>
      <c r="H54" s="658"/>
      <c r="I54" s="658"/>
      <c r="J54" s="658"/>
      <c r="K54" s="658"/>
      <c r="L54" s="417"/>
    </row>
    <row r="55" spans="1:12" ht="14.25">
      <c r="A55" s="417"/>
      <c r="B55" s="877" t="s">
        <v>694</v>
      </c>
      <c r="C55" s="877"/>
      <c r="D55" s="877"/>
      <c r="E55" s="877"/>
      <c r="F55" s="877"/>
      <c r="G55" s="877"/>
      <c r="H55" s="877"/>
      <c r="I55" s="877"/>
      <c r="J55" s="877"/>
      <c r="K55" s="877"/>
      <c r="L55" s="417"/>
    </row>
    <row r="56" spans="1:12" ht="15" customHeight="1">
      <c r="A56" s="417"/>
      <c r="L56" s="417"/>
    </row>
    <row r="57" spans="1:24" ht="74.25" customHeight="1">
      <c r="A57" s="417"/>
      <c r="B57" s="881" t="s">
        <v>695</v>
      </c>
      <c r="C57" s="872"/>
      <c r="D57" s="872"/>
      <c r="E57" s="872"/>
      <c r="F57" s="872"/>
      <c r="G57" s="872"/>
      <c r="H57" s="872"/>
      <c r="I57" s="872"/>
      <c r="J57" s="872"/>
      <c r="K57" s="872"/>
      <c r="L57" s="417"/>
      <c r="M57" s="437"/>
      <c r="N57" s="438"/>
      <c r="O57" s="438"/>
      <c r="P57" s="438"/>
      <c r="Q57" s="438"/>
      <c r="R57" s="438"/>
      <c r="S57" s="438"/>
      <c r="T57" s="438"/>
      <c r="U57" s="438"/>
      <c r="V57" s="438"/>
      <c r="W57" s="438"/>
      <c r="X57" s="438"/>
    </row>
    <row r="58" spans="1:24" ht="15" customHeight="1">
      <c r="A58" s="417"/>
      <c r="B58" s="881"/>
      <c r="C58" s="872"/>
      <c r="D58" s="872"/>
      <c r="E58" s="872"/>
      <c r="F58" s="872"/>
      <c r="G58" s="872"/>
      <c r="H58" s="872"/>
      <c r="I58" s="872"/>
      <c r="J58" s="872"/>
      <c r="K58" s="872"/>
      <c r="L58" s="417"/>
      <c r="M58" s="437"/>
      <c r="N58" s="438"/>
      <c r="O58" s="438"/>
      <c r="P58" s="438"/>
      <c r="Q58" s="438"/>
      <c r="R58" s="438"/>
      <c r="S58" s="438"/>
      <c r="T58" s="438"/>
      <c r="U58" s="438"/>
      <c r="V58" s="438"/>
      <c r="W58" s="438"/>
      <c r="X58" s="438"/>
    </row>
    <row r="59" spans="1:24" ht="14.25">
      <c r="A59" s="417"/>
      <c r="B59" s="420" t="s">
        <v>684</v>
      </c>
      <c r="L59" s="417"/>
      <c r="M59" s="438"/>
      <c r="N59" s="438"/>
      <c r="O59" s="438"/>
      <c r="P59" s="438"/>
      <c r="Q59" s="438"/>
      <c r="R59" s="438"/>
      <c r="S59" s="438"/>
      <c r="T59" s="438"/>
      <c r="U59" s="438"/>
      <c r="V59" s="438"/>
      <c r="W59" s="438"/>
      <c r="X59" s="438"/>
    </row>
    <row r="60" spans="1:24" ht="14.25">
      <c r="A60" s="417"/>
      <c r="L60" s="417"/>
      <c r="M60" s="438"/>
      <c r="N60" s="438"/>
      <c r="O60" s="438"/>
      <c r="P60" s="438"/>
      <c r="Q60" s="438"/>
      <c r="R60" s="438"/>
      <c r="S60" s="438"/>
      <c r="T60" s="438"/>
      <c r="U60" s="438"/>
      <c r="V60" s="438"/>
      <c r="W60" s="438"/>
      <c r="X60" s="438"/>
    </row>
    <row r="61" spans="1:24" ht="14.25">
      <c r="A61" s="417"/>
      <c r="B61" s="418" t="s">
        <v>696</v>
      </c>
      <c r="L61" s="417"/>
      <c r="M61" s="438"/>
      <c r="N61" s="438"/>
      <c r="O61" s="438"/>
      <c r="P61" s="438"/>
      <c r="Q61" s="438"/>
      <c r="R61" s="438"/>
      <c r="S61" s="438"/>
      <c r="T61" s="438"/>
      <c r="U61" s="438"/>
      <c r="V61" s="438"/>
      <c r="W61" s="438"/>
      <c r="X61" s="438"/>
    </row>
    <row r="62" spans="1:24" ht="14.25">
      <c r="A62" s="417"/>
      <c r="B62" s="418" t="s">
        <v>891</v>
      </c>
      <c r="L62" s="417"/>
      <c r="M62" s="438"/>
      <c r="N62" s="438"/>
      <c r="O62" s="438"/>
      <c r="P62" s="438"/>
      <c r="Q62" s="438"/>
      <c r="R62" s="438"/>
      <c r="S62" s="438"/>
      <c r="T62" s="438"/>
      <c r="U62" s="438"/>
      <c r="V62" s="438"/>
      <c r="W62" s="438"/>
      <c r="X62" s="438"/>
    </row>
    <row r="63" spans="1:24" ht="14.25">
      <c r="A63" s="417"/>
      <c r="B63" s="418" t="s">
        <v>892</v>
      </c>
      <c r="L63" s="417"/>
      <c r="M63" s="438"/>
      <c r="N63" s="438"/>
      <c r="O63" s="438"/>
      <c r="P63" s="438"/>
      <c r="Q63" s="438"/>
      <c r="R63" s="438"/>
      <c r="S63" s="438"/>
      <c r="T63" s="438"/>
      <c r="U63" s="438"/>
      <c r="V63" s="438"/>
      <c r="W63" s="438"/>
      <c r="X63" s="438"/>
    </row>
    <row r="64" spans="1:24" ht="14.25">
      <c r="A64" s="417"/>
      <c r="L64" s="417"/>
      <c r="M64" s="438"/>
      <c r="N64" s="438"/>
      <c r="O64" s="438"/>
      <c r="P64" s="438"/>
      <c r="Q64" s="438"/>
      <c r="R64" s="438"/>
      <c r="S64" s="438"/>
      <c r="T64" s="438"/>
      <c r="U64" s="438"/>
      <c r="V64" s="438"/>
      <c r="W64" s="438"/>
      <c r="X64" s="438"/>
    </row>
    <row r="65" spans="1:24" ht="14.25">
      <c r="A65" s="417"/>
      <c r="B65" s="418" t="s">
        <v>697</v>
      </c>
      <c r="L65" s="417"/>
      <c r="M65" s="438"/>
      <c r="N65" s="438"/>
      <c r="O65" s="438"/>
      <c r="P65" s="438"/>
      <c r="Q65" s="438"/>
      <c r="R65" s="438"/>
      <c r="S65" s="438"/>
      <c r="T65" s="438"/>
      <c r="U65" s="438"/>
      <c r="V65" s="438"/>
      <c r="W65" s="438"/>
      <c r="X65" s="438"/>
    </row>
    <row r="66" spans="1:24" ht="14.25">
      <c r="A66" s="417"/>
      <c r="B66" s="418" t="s">
        <v>698</v>
      </c>
      <c r="L66" s="417"/>
      <c r="M66" s="438"/>
      <c r="N66" s="438"/>
      <c r="O66" s="438"/>
      <c r="P66" s="438"/>
      <c r="Q66" s="438"/>
      <c r="R66" s="438"/>
      <c r="S66" s="438"/>
      <c r="T66" s="438"/>
      <c r="U66" s="438"/>
      <c r="V66" s="438"/>
      <c r="W66" s="438"/>
      <c r="X66" s="438"/>
    </row>
    <row r="67" spans="1:24" ht="14.25">
      <c r="A67" s="417"/>
      <c r="L67" s="417"/>
      <c r="M67" s="438"/>
      <c r="N67" s="438"/>
      <c r="O67" s="438"/>
      <c r="P67" s="438"/>
      <c r="Q67" s="438"/>
      <c r="R67" s="438"/>
      <c r="S67" s="438"/>
      <c r="T67" s="438"/>
      <c r="U67" s="438"/>
      <c r="V67" s="438"/>
      <c r="W67" s="438"/>
      <c r="X67" s="438"/>
    </row>
    <row r="68" spans="1:24" ht="14.25">
      <c r="A68" s="417"/>
      <c r="B68" s="418" t="s">
        <v>699</v>
      </c>
      <c r="L68" s="417"/>
      <c r="M68" s="439"/>
      <c r="N68" s="440"/>
      <c r="O68" s="440"/>
      <c r="P68" s="440"/>
      <c r="Q68" s="440"/>
      <c r="R68" s="440"/>
      <c r="S68" s="440"/>
      <c r="T68" s="440"/>
      <c r="U68" s="440"/>
      <c r="V68" s="440"/>
      <c r="W68" s="440"/>
      <c r="X68" s="438"/>
    </row>
    <row r="69" spans="1:24" ht="14.25">
      <c r="A69" s="417"/>
      <c r="B69" s="418" t="s">
        <v>893</v>
      </c>
      <c r="L69" s="417"/>
      <c r="M69" s="438"/>
      <c r="N69" s="438"/>
      <c r="O69" s="438"/>
      <c r="P69" s="438"/>
      <c r="Q69" s="438"/>
      <c r="R69" s="438"/>
      <c r="S69" s="438"/>
      <c r="T69" s="438"/>
      <c r="U69" s="438"/>
      <c r="V69" s="438"/>
      <c r="W69" s="438"/>
      <c r="X69" s="438"/>
    </row>
    <row r="70" spans="1:24" ht="14.25">
      <c r="A70" s="417"/>
      <c r="B70" s="418" t="s">
        <v>894</v>
      </c>
      <c r="L70" s="417"/>
      <c r="M70" s="438"/>
      <c r="N70" s="438"/>
      <c r="O70" s="438"/>
      <c r="P70" s="438"/>
      <c r="Q70" s="438"/>
      <c r="R70" s="438"/>
      <c r="S70" s="438"/>
      <c r="T70" s="438"/>
      <c r="U70" s="438"/>
      <c r="V70" s="438"/>
      <c r="W70" s="438"/>
      <c r="X70" s="438"/>
    </row>
    <row r="71" spans="1:12" ht="15" thickBot="1">
      <c r="A71" s="417"/>
      <c r="B71" s="426"/>
      <c r="C71" s="426"/>
      <c r="D71" s="426"/>
      <c r="E71" s="426"/>
      <c r="F71" s="426"/>
      <c r="G71" s="426"/>
      <c r="H71" s="426"/>
      <c r="I71" s="426"/>
      <c r="J71" s="426"/>
      <c r="K71" s="426"/>
      <c r="L71" s="417"/>
    </row>
    <row r="72" spans="1:12" ht="14.25">
      <c r="A72" s="417"/>
      <c r="B72" s="422" t="s">
        <v>673</v>
      </c>
      <c r="C72" s="423"/>
      <c r="D72" s="423"/>
      <c r="E72" s="423"/>
      <c r="F72" s="423"/>
      <c r="G72" s="423"/>
      <c r="H72" s="423"/>
      <c r="I72" s="423"/>
      <c r="J72" s="423"/>
      <c r="K72" s="424"/>
      <c r="L72" s="441"/>
    </row>
    <row r="73" spans="1:12" ht="14.25">
      <c r="A73" s="417"/>
      <c r="B73" s="434"/>
      <c r="C73" s="426" t="s">
        <v>679</v>
      </c>
      <c r="D73" s="426"/>
      <c r="E73" s="426"/>
      <c r="F73" s="426"/>
      <c r="G73" s="426"/>
      <c r="H73" s="426"/>
      <c r="I73" s="426"/>
      <c r="J73" s="426"/>
      <c r="K73" s="428"/>
      <c r="L73" s="441"/>
    </row>
    <row r="74" spans="1:12" ht="14.25">
      <c r="A74" s="417"/>
      <c r="B74" s="434" t="s">
        <v>700</v>
      </c>
      <c r="C74" s="873">
        <v>312000000</v>
      </c>
      <c r="D74" s="873"/>
      <c r="E74" s="652" t="s">
        <v>678</v>
      </c>
      <c r="F74" s="652">
        <v>1000</v>
      </c>
      <c r="G74" s="652" t="s">
        <v>677</v>
      </c>
      <c r="H74" s="650">
        <f>C74/F74</f>
        <v>312000</v>
      </c>
      <c r="I74" s="426" t="s">
        <v>701</v>
      </c>
      <c r="J74" s="426"/>
      <c r="K74" s="428"/>
      <c r="L74" s="441"/>
    </row>
    <row r="75" spans="1:12" ht="14.25">
      <c r="A75" s="417"/>
      <c r="B75" s="434"/>
      <c r="C75" s="426"/>
      <c r="D75" s="426"/>
      <c r="E75" s="652"/>
      <c r="F75" s="426"/>
      <c r="G75" s="426"/>
      <c r="H75" s="426"/>
      <c r="I75" s="426"/>
      <c r="J75" s="426"/>
      <c r="K75" s="428"/>
      <c r="L75" s="441"/>
    </row>
    <row r="76" spans="1:12" ht="14.25">
      <c r="A76" s="417"/>
      <c r="B76" s="434"/>
      <c r="C76" s="426" t="s">
        <v>702</v>
      </c>
      <c r="D76" s="426"/>
      <c r="E76" s="652"/>
      <c r="F76" s="426" t="s">
        <v>701</v>
      </c>
      <c r="G76" s="426"/>
      <c r="H76" s="426"/>
      <c r="I76" s="426"/>
      <c r="J76" s="426"/>
      <c r="K76" s="428"/>
      <c r="L76" s="441"/>
    </row>
    <row r="77" spans="1:12" ht="14.25">
      <c r="A77" s="417"/>
      <c r="B77" s="434" t="s">
        <v>705</v>
      </c>
      <c r="C77" s="873">
        <v>50000</v>
      </c>
      <c r="D77" s="873"/>
      <c r="E77" s="652" t="s">
        <v>678</v>
      </c>
      <c r="F77" s="650">
        <f>H74</f>
        <v>312000</v>
      </c>
      <c r="G77" s="652" t="s">
        <v>677</v>
      </c>
      <c r="H77" s="436">
        <f>C77/F77</f>
        <v>0.16025641025641027</v>
      </c>
      <c r="I77" s="426" t="s">
        <v>703</v>
      </c>
      <c r="J77" s="426"/>
      <c r="K77" s="428"/>
      <c r="L77" s="441"/>
    </row>
    <row r="78" spans="1:12" ht="14.25">
      <c r="A78" s="417"/>
      <c r="B78" s="434"/>
      <c r="C78" s="426"/>
      <c r="D78" s="426"/>
      <c r="E78" s="652"/>
      <c r="F78" s="426"/>
      <c r="G78" s="426"/>
      <c r="H78" s="426"/>
      <c r="I78" s="426"/>
      <c r="J78" s="426"/>
      <c r="K78" s="428"/>
      <c r="L78" s="441"/>
    </row>
    <row r="79" spans="1:12" ht="14.25">
      <c r="A79" s="417"/>
      <c r="B79" s="442"/>
      <c r="C79" s="443" t="s">
        <v>704</v>
      </c>
      <c r="D79" s="443"/>
      <c r="E79" s="654"/>
      <c r="F79" s="443"/>
      <c r="G79" s="443"/>
      <c r="H79" s="443"/>
      <c r="I79" s="443"/>
      <c r="J79" s="443"/>
      <c r="K79" s="444"/>
      <c r="L79" s="441"/>
    </row>
    <row r="80" spans="1:12" ht="14.25">
      <c r="A80" s="417"/>
      <c r="B80" s="434" t="s">
        <v>785</v>
      </c>
      <c r="C80" s="873">
        <v>100000</v>
      </c>
      <c r="D80" s="873"/>
      <c r="E80" s="652" t="s">
        <v>13</v>
      </c>
      <c r="F80" s="652">
        <v>0.115</v>
      </c>
      <c r="G80" s="652" t="s">
        <v>677</v>
      </c>
      <c r="H80" s="650">
        <f>C80*F80</f>
        <v>11500</v>
      </c>
      <c r="I80" s="426" t="s">
        <v>706</v>
      </c>
      <c r="J80" s="426"/>
      <c r="K80" s="428"/>
      <c r="L80" s="441"/>
    </row>
    <row r="81" spans="1:12" ht="14.25">
      <c r="A81" s="417"/>
      <c r="B81" s="434"/>
      <c r="C81" s="426"/>
      <c r="D81" s="426"/>
      <c r="E81" s="652"/>
      <c r="F81" s="426"/>
      <c r="G81" s="426"/>
      <c r="H81" s="426"/>
      <c r="I81" s="426"/>
      <c r="J81" s="426"/>
      <c r="K81" s="428"/>
      <c r="L81" s="441"/>
    </row>
    <row r="82" spans="1:12" ht="14.25">
      <c r="A82" s="417"/>
      <c r="B82" s="442"/>
      <c r="C82" s="443" t="s">
        <v>707</v>
      </c>
      <c r="D82" s="443"/>
      <c r="E82" s="654"/>
      <c r="F82" s="443" t="s">
        <v>703</v>
      </c>
      <c r="G82" s="443"/>
      <c r="H82" s="443"/>
      <c r="I82" s="443"/>
      <c r="J82" s="443" t="s">
        <v>708</v>
      </c>
      <c r="K82" s="444"/>
      <c r="L82" s="441"/>
    </row>
    <row r="83" spans="1:12" ht="14.25">
      <c r="A83" s="417"/>
      <c r="B83" s="434" t="s">
        <v>786</v>
      </c>
      <c r="C83" s="890">
        <f>H80</f>
        <v>11500</v>
      </c>
      <c r="D83" s="890"/>
      <c r="E83" s="652" t="s">
        <v>13</v>
      </c>
      <c r="F83" s="436">
        <f>H77</f>
        <v>0.16025641025641027</v>
      </c>
      <c r="G83" s="652" t="s">
        <v>678</v>
      </c>
      <c r="H83" s="652">
        <v>1000</v>
      </c>
      <c r="I83" s="652" t="s">
        <v>677</v>
      </c>
      <c r="J83" s="651">
        <f>C83*F83/H83</f>
        <v>1.842948717948718</v>
      </c>
      <c r="K83" s="428"/>
      <c r="L83" s="441"/>
    </row>
    <row r="84" spans="1:12" ht="15" thickBot="1">
      <c r="A84" s="417"/>
      <c r="B84" s="429"/>
      <c r="C84" s="445"/>
      <c r="D84" s="445"/>
      <c r="E84" s="446"/>
      <c r="F84" s="447"/>
      <c r="G84" s="446"/>
      <c r="H84" s="446"/>
      <c r="I84" s="446"/>
      <c r="J84" s="448"/>
      <c r="K84" s="431"/>
      <c r="L84" s="441"/>
    </row>
    <row r="85" spans="1:12" ht="40.5" customHeight="1">
      <c r="A85" s="417"/>
      <c r="B85" s="883" t="s">
        <v>669</v>
      </c>
      <c r="C85" s="883"/>
      <c r="D85" s="883"/>
      <c r="E85" s="883"/>
      <c r="F85" s="883"/>
      <c r="G85" s="883"/>
      <c r="H85" s="883"/>
      <c r="I85" s="883"/>
      <c r="J85" s="883"/>
      <c r="K85" s="883"/>
      <c r="L85" s="417"/>
    </row>
    <row r="86" spans="1:12" ht="14.25">
      <c r="A86" s="417"/>
      <c r="B86" s="877" t="s">
        <v>709</v>
      </c>
      <c r="C86" s="877"/>
      <c r="D86" s="877"/>
      <c r="E86" s="877"/>
      <c r="F86" s="877"/>
      <c r="G86" s="877"/>
      <c r="H86" s="877"/>
      <c r="I86" s="877"/>
      <c r="J86" s="877"/>
      <c r="K86" s="877"/>
      <c r="L86" s="417"/>
    </row>
    <row r="87" spans="1:12" ht="14.25">
      <c r="A87" s="417"/>
      <c r="B87" s="449"/>
      <c r="C87" s="449"/>
      <c r="D87" s="449"/>
      <c r="E87" s="449"/>
      <c r="F87" s="449"/>
      <c r="G87" s="449"/>
      <c r="H87" s="449"/>
      <c r="I87" s="449"/>
      <c r="J87" s="449"/>
      <c r="K87" s="449"/>
      <c r="L87" s="417"/>
    </row>
    <row r="88" spans="1:12" ht="14.25">
      <c r="A88" s="417"/>
      <c r="B88" s="877" t="s">
        <v>710</v>
      </c>
      <c r="C88" s="877"/>
      <c r="D88" s="877"/>
      <c r="E88" s="877"/>
      <c r="F88" s="877"/>
      <c r="G88" s="877"/>
      <c r="H88" s="877"/>
      <c r="I88" s="877"/>
      <c r="J88" s="877"/>
      <c r="K88" s="877"/>
      <c r="L88" s="417"/>
    </row>
    <row r="89" spans="1:12" ht="14.25">
      <c r="A89" s="417"/>
      <c r="B89" s="655"/>
      <c r="C89" s="655"/>
      <c r="D89" s="655"/>
      <c r="E89" s="655"/>
      <c r="F89" s="655"/>
      <c r="G89" s="655"/>
      <c r="H89" s="655"/>
      <c r="I89" s="655"/>
      <c r="J89" s="655"/>
      <c r="K89" s="655"/>
      <c r="L89" s="417"/>
    </row>
    <row r="90" spans="1:12" ht="45" customHeight="1">
      <c r="A90" s="417"/>
      <c r="B90" s="881" t="s">
        <v>711</v>
      </c>
      <c r="C90" s="881"/>
      <c r="D90" s="881"/>
      <c r="E90" s="881"/>
      <c r="F90" s="881"/>
      <c r="G90" s="881"/>
      <c r="H90" s="881"/>
      <c r="I90" s="881"/>
      <c r="J90" s="881"/>
      <c r="K90" s="881"/>
      <c r="L90" s="417"/>
    </row>
    <row r="91" spans="1:12" ht="15" customHeight="1" thickBot="1">
      <c r="A91" s="417"/>
      <c r="L91" s="417"/>
    </row>
    <row r="92" spans="1:12" ht="15" customHeight="1">
      <c r="A92" s="417"/>
      <c r="B92" s="450" t="s">
        <v>673</v>
      </c>
      <c r="C92" s="451"/>
      <c r="D92" s="451"/>
      <c r="E92" s="451"/>
      <c r="F92" s="451"/>
      <c r="G92" s="451"/>
      <c r="H92" s="451"/>
      <c r="I92" s="451"/>
      <c r="J92" s="451"/>
      <c r="K92" s="452"/>
      <c r="L92" s="417"/>
    </row>
    <row r="93" spans="1:12" ht="15" customHeight="1">
      <c r="A93" s="417"/>
      <c r="B93" s="453"/>
      <c r="C93" s="656" t="s">
        <v>679</v>
      </c>
      <c r="D93" s="656"/>
      <c r="E93" s="656"/>
      <c r="F93" s="656"/>
      <c r="G93" s="656"/>
      <c r="H93" s="656"/>
      <c r="I93" s="656"/>
      <c r="J93" s="656"/>
      <c r="K93" s="454"/>
      <c r="L93" s="417"/>
    </row>
    <row r="94" spans="1:12" ht="15" customHeight="1">
      <c r="A94" s="417"/>
      <c r="B94" s="453" t="s">
        <v>700</v>
      </c>
      <c r="C94" s="873">
        <v>312000000</v>
      </c>
      <c r="D94" s="873"/>
      <c r="E94" s="652" t="s">
        <v>678</v>
      </c>
      <c r="F94" s="652">
        <v>1000</v>
      </c>
      <c r="G94" s="652" t="s">
        <v>677</v>
      </c>
      <c r="H94" s="650">
        <f>C94/F94</f>
        <v>312000</v>
      </c>
      <c r="I94" s="656" t="s">
        <v>701</v>
      </c>
      <c r="J94" s="656"/>
      <c r="K94" s="454"/>
      <c r="L94" s="417"/>
    </row>
    <row r="95" spans="1:12" ht="15" customHeight="1">
      <c r="A95" s="417"/>
      <c r="B95" s="453"/>
      <c r="C95" s="656"/>
      <c r="D95" s="656"/>
      <c r="E95" s="652"/>
      <c r="F95" s="656"/>
      <c r="G95" s="656"/>
      <c r="H95" s="656"/>
      <c r="I95" s="656"/>
      <c r="J95" s="656"/>
      <c r="K95" s="454"/>
      <c r="L95" s="417"/>
    </row>
    <row r="96" spans="1:12" ht="15" customHeight="1">
      <c r="A96" s="417"/>
      <c r="B96" s="453"/>
      <c r="C96" s="656" t="s">
        <v>702</v>
      </c>
      <c r="D96" s="656"/>
      <c r="E96" s="652"/>
      <c r="F96" s="656" t="s">
        <v>701</v>
      </c>
      <c r="G96" s="656"/>
      <c r="H96" s="656"/>
      <c r="I96" s="656"/>
      <c r="J96" s="656"/>
      <c r="K96" s="454"/>
      <c r="L96" s="417"/>
    </row>
    <row r="97" spans="1:12" ht="15" customHeight="1">
      <c r="A97" s="417"/>
      <c r="B97" s="453" t="s">
        <v>705</v>
      </c>
      <c r="C97" s="873">
        <v>50000</v>
      </c>
      <c r="D97" s="873"/>
      <c r="E97" s="652" t="s">
        <v>678</v>
      </c>
      <c r="F97" s="650">
        <f>H94</f>
        <v>312000</v>
      </c>
      <c r="G97" s="652" t="s">
        <v>677</v>
      </c>
      <c r="H97" s="436">
        <f>C97/F97</f>
        <v>0.16025641025641027</v>
      </c>
      <c r="I97" s="656" t="s">
        <v>703</v>
      </c>
      <c r="J97" s="656"/>
      <c r="K97" s="454"/>
      <c r="L97" s="417"/>
    </row>
    <row r="98" spans="1:12" ht="15" customHeight="1">
      <c r="A98" s="417"/>
      <c r="B98" s="453"/>
      <c r="C98" s="656"/>
      <c r="D98" s="656"/>
      <c r="E98" s="652"/>
      <c r="F98" s="656"/>
      <c r="G98" s="656"/>
      <c r="H98" s="656"/>
      <c r="I98" s="656"/>
      <c r="J98" s="656"/>
      <c r="K98" s="454"/>
      <c r="L98" s="417"/>
    </row>
    <row r="99" spans="1:12" ht="15" customHeight="1">
      <c r="A99" s="417"/>
      <c r="B99" s="455"/>
      <c r="C99" s="456" t="s">
        <v>712</v>
      </c>
      <c r="D99" s="456"/>
      <c r="E99" s="654"/>
      <c r="F99" s="456"/>
      <c r="G99" s="456"/>
      <c r="H99" s="456"/>
      <c r="I99" s="456"/>
      <c r="J99" s="456"/>
      <c r="K99" s="457"/>
      <c r="L99" s="417"/>
    </row>
    <row r="100" spans="1:12" ht="15" customHeight="1">
      <c r="A100" s="417"/>
      <c r="B100" s="453" t="s">
        <v>785</v>
      </c>
      <c r="C100" s="873">
        <v>2500000</v>
      </c>
      <c r="D100" s="873"/>
      <c r="E100" s="652" t="s">
        <v>13</v>
      </c>
      <c r="F100" s="458">
        <v>0.3</v>
      </c>
      <c r="G100" s="652" t="s">
        <v>677</v>
      </c>
      <c r="H100" s="650">
        <f>C100*F100</f>
        <v>750000</v>
      </c>
      <c r="I100" s="656" t="s">
        <v>706</v>
      </c>
      <c r="J100" s="656"/>
      <c r="K100" s="454"/>
      <c r="L100" s="417"/>
    </row>
    <row r="101" spans="1:12" ht="15" customHeight="1">
      <c r="A101" s="417"/>
      <c r="B101" s="453"/>
      <c r="C101" s="656"/>
      <c r="D101" s="656"/>
      <c r="E101" s="652"/>
      <c r="F101" s="656"/>
      <c r="G101" s="656"/>
      <c r="H101" s="656"/>
      <c r="I101" s="656"/>
      <c r="J101" s="656"/>
      <c r="K101" s="454"/>
      <c r="L101" s="417"/>
    </row>
    <row r="102" spans="1:12" ht="15" customHeight="1">
      <c r="A102" s="417"/>
      <c r="B102" s="455"/>
      <c r="C102" s="456" t="s">
        <v>707</v>
      </c>
      <c r="D102" s="456"/>
      <c r="E102" s="654"/>
      <c r="F102" s="456" t="s">
        <v>703</v>
      </c>
      <c r="G102" s="456"/>
      <c r="H102" s="456"/>
      <c r="I102" s="456"/>
      <c r="J102" s="456" t="s">
        <v>708</v>
      </c>
      <c r="K102" s="457"/>
      <c r="L102" s="417"/>
    </row>
    <row r="103" spans="1:12" ht="15" customHeight="1">
      <c r="A103" s="417"/>
      <c r="B103" s="453" t="s">
        <v>786</v>
      </c>
      <c r="C103" s="890">
        <f>H100</f>
        <v>750000</v>
      </c>
      <c r="D103" s="890"/>
      <c r="E103" s="652" t="s">
        <v>13</v>
      </c>
      <c r="F103" s="436">
        <f>H97</f>
        <v>0.16025641025641027</v>
      </c>
      <c r="G103" s="652" t="s">
        <v>678</v>
      </c>
      <c r="H103" s="652">
        <v>1000</v>
      </c>
      <c r="I103" s="652" t="s">
        <v>677</v>
      </c>
      <c r="J103" s="651">
        <f>C103*F103/H103</f>
        <v>120.19230769230771</v>
      </c>
      <c r="K103" s="454"/>
      <c r="L103" s="417"/>
    </row>
    <row r="104" spans="1:12" ht="15" customHeight="1" thickBot="1">
      <c r="A104" s="417"/>
      <c r="B104" s="459"/>
      <c r="C104" s="445"/>
      <c r="D104" s="445"/>
      <c r="E104" s="446"/>
      <c r="F104" s="447"/>
      <c r="G104" s="446"/>
      <c r="H104" s="446"/>
      <c r="I104" s="446"/>
      <c r="J104" s="448"/>
      <c r="K104" s="657"/>
      <c r="L104" s="417"/>
    </row>
    <row r="105" spans="1:12" ht="40.5" customHeight="1">
      <c r="A105" s="417"/>
      <c r="B105" s="883" t="s">
        <v>669</v>
      </c>
      <c r="C105" s="891"/>
      <c r="D105" s="891"/>
      <c r="E105" s="891"/>
      <c r="F105" s="891"/>
      <c r="G105" s="891"/>
      <c r="H105" s="891"/>
      <c r="I105" s="891"/>
      <c r="J105" s="891"/>
      <c r="K105" s="891"/>
      <c r="L105" s="417"/>
    </row>
    <row r="106" spans="1:12" ht="15" customHeight="1">
      <c r="A106" s="417"/>
      <c r="B106" s="874" t="s">
        <v>713</v>
      </c>
      <c r="C106" s="875"/>
      <c r="D106" s="875"/>
      <c r="E106" s="875"/>
      <c r="F106" s="875"/>
      <c r="G106" s="875"/>
      <c r="H106" s="875"/>
      <c r="I106" s="875"/>
      <c r="J106" s="875"/>
      <c r="K106" s="875"/>
      <c r="L106" s="417"/>
    </row>
    <row r="107" spans="1:12" ht="15" customHeight="1">
      <c r="A107" s="417"/>
      <c r="B107" s="656"/>
      <c r="C107" s="460"/>
      <c r="D107" s="460"/>
      <c r="E107" s="652"/>
      <c r="F107" s="436"/>
      <c r="G107" s="652"/>
      <c r="H107" s="652"/>
      <c r="I107" s="652"/>
      <c r="J107" s="651"/>
      <c r="K107" s="656"/>
      <c r="L107" s="417"/>
    </row>
    <row r="108" spans="1:12" ht="15" customHeight="1">
      <c r="A108" s="417"/>
      <c r="B108" s="874" t="s">
        <v>714</v>
      </c>
      <c r="C108" s="876"/>
      <c r="D108" s="876"/>
      <c r="E108" s="876"/>
      <c r="F108" s="876"/>
      <c r="G108" s="876"/>
      <c r="H108" s="876"/>
      <c r="I108" s="876"/>
      <c r="J108" s="876"/>
      <c r="K108" s="876"/>
      <c r="L108" s="417"/>
    </row>
    <row r="109" spans="1:12" ht="15" customHeight="1">
      <c r="A109" s="417"/>
      <c r="B109" s="656"/>
      <c r="C109" s="460"/>
      <c r="D109" s="460"/>
      <c r="E109" s="652"/>
      <c r="F109" s="436"/>
      <c r="G109" s="652"/>
      <c r="H109" s="652"/>
      <c r="I109" s="652"/>
      <c r="J109" s="651"/>
      <c r="K109" s="656"/>
      <c r="L109" s="417"/>
    </row>
    <row r="110" spans="1:12" ht="59.25" customHeight="1">
      <c r="A110" s="417"/>
      <c r="B110" s="871" t="s">
        <v>715</v>
      </c>
      <c r="C110" s="872"/>
      <c r="D110" s="872"/>
      <c r="E110" s="872"/>
      <c r="F110" s="872"/>
      <c r="G110" s="872"/>
      <c r="H110" s="872"/>
      <c r="I110" s="872"/>
      <c r="J110" s="872"/>
      <c r="K110" s="872"/>
      <c r="L110" s="417"/>
    </row>
    <row r="111" spans="1:12" ht="15" thickBot="1">
      <c r="A111" s="417"/>
      <c r="B111" s="658"/>
      <c r="C111" s="658"/>
      <c r="D111" s="658"/>
      <c r="E111" s="658"/>
      <c r="F111" s="658"/>
      <c r="G111" s="658"/>
      <c r="H111" s="658"/>
      <c r="I111" s="658"/>
      <c r="J111" s="658"/>
      <c r="K111" s="658"/>
      <c r="L111" s="461"/>
    </row>
    <row r="112" spans="1:12" ht="14.25">
      <c r="A112" s="417"/>
      <c r="B112" s="422" t="s">
        <v>673</v>
      </c>
      <c r="C112" s="423"/>
      <c r="D112" s="423"/>
      <c r="E112" s="423"/>
      <c r="F112" s="423"/>
      <c r="G112" s="423"/>
      <c r="H112" s="423"/>
      <c r="I112" s="423"/>
      <c r="J112" s="423"/>
      <c r="K112" s="424"/>
      <c r="L112" s="417"/>
    </row>
    <row r="113" spans="1:12" ht="14.25">
      <c r="A113" s="417"/>
      <c r="B113" s="434"/>
      <c r="C113" s="426" t="s">
        <v>679</v>
      </c>
      <c r="D113" s="426"/>
      <c r="E113" s="426"/>
      <c r="F113" s="426"/>
      <c r="G113" s="426"/>
      <c r="H113" s="426"/>
      <c r="I113" s="426"/>
      <c r="J113" s="426"/>
      <c r="K113" s="428"/>
      <c r="L113" s="417"/>
    </row>
    <row r="114" spans="1:12" ht="14.25">
      <c r="A114" s="417"/>
      <c r="B114" s="434" t="s">
        <v>700</v>
      </c>
      <c r="C114" s="873">
        <v>312000000</v>
      </c>
      <c r="D114" s="873"/>
      <c r="E114" s="652" t="s">
        <v>678</v>
      </c>
      <c r="F114" s="652">
        <v>1000</v>
      </c>
      <c r="G114" s="652" t="s">
        <v>677</v>
      </c>
      <c r="H114" s="650">
        <f>C114/F114</f>
        <v>312000</v>
      </c>
      <c r="I114" s="426" t="s">
        <v>701</v>
      </c>
      <c r="J114" s="426"/>
      <c r="K114" s="428"/>
      <c r="L114" s="417"/>
    </row>
    <row r="115" spans="1:12" ht="14.25">
      <c r="A115" s="417"/>
      <c r="B115" s="434"/>
      <c r="C115" s="426"/>
      <c r="D115" s="426"/>
      <c r="E115" s="652"/>
      <c r="F115" s="426"/>
      <c r="G115" s="426"/>
      <c r="H115" s="426"/>
      <c r="I115" s="426"/>
      <c r="J115" s="426"/>
      <c r="K115" s="428"/>
      <c r="L115" s="417"/>
    </row>
    <row r="116" spans="1:12" ht="14.25">
      <c r="A116" s="417"/>
      <c r="B116" s="434"/>
      <c r="C116" s="426" t="s">
        <v>702</v>
      </c>
      <c r="D116" s="426"/>
      <c r="E116" s="652"/>
      <c r="F116" s="426" t="s">
        <v>701</v>
      </c>
      <c r="G116" s="426"/>
      <c r="H116" s="426"/>
      <c r="I116" s="426"/>
      <c r="J116" s="426"/>
      <c r="K116" s="428"/>
      <c r="L116" s="417"/>
    </row>
    <row r="117" spans="1:12" ht="14.25">
      <c r="A117" s="417"/>
      <c r="B117" s="434" t="s">
        <v>705</v>
      </c>
      <c r="C117" s="873">
        <v>50000</v>
      </c>
      <c r="D117" s="873"/>
      <c r="E117" s="652" t="s">
        <v>678</v>
      </c>
      <c r="F117" s="650">
        <f>H114</f>
        <v>312000</v>
      </c>
      <c r="G117" s="652" t="s">
        <v>677</v>
      </c>
      <c r="H117" s="436">
        <f>C117/F117</f>
        <v>0.16025641025641027</v>
      </c>
      <c r="I117" s="426" t="s">
        <v>703</v>
      </c>
      <c r="J117" s="426"/>
      <c r="K117" s="428"/>
      <c r="L117" s="417"/>
    </row>
    <row r="118" spans="1:12" ht="14.25">
      <c r="A118" s="417"/>
      <c r="B118" s="434"/>
      <c r="C118" s="426"/>
      <c r="D118" s="426"/>
      <c r="E118" s="652"/>
      <c r="F118" s="426"/>
      <c r="G118" s="426"/>
      <c r="H118" s="426"/>
      <c r="I118" s="426"/>
      <c r="J118" s="426"/>
      <c r="K118" s="428"/>
      <c r="L118" s="417"/>
    </row>
    <row r="119" spans="1:12" ht="14.25">
      <c r="A119" s="417"/>
      <c r="B119" s="442"/>
      <c r="C119" s="443" t="s">
        <v>712</v>
      </c>
      <c r="D119" s="443"/>
      <c r="E119" s="654"/>
      <c r="F119" s="443"/>
      <c r="G119" s="443"/>
      <c r="H119" s="443"/>
      <c r="I119" s="443"/>
      <c r="J119" s="443"/>
      <c r="K119" s="444"/>
      <c r="L119" s="417"/>
    </row>
    <row r="120" spans="1:12" ht="14.25">
      <c r="A120" s="417"/>
      <c r="B120" s="434" t="s">
        <v>785</v>
      </c>
      <c r="C120" s="873">
        <v>2500000</v>
      </c>
      <c r="D120" s="873"/>
      <c r="E120" s="652" t="s">
        <v>13</v>
      </c>
      <c r="F120" s="458">
        <v>0.25</v>
      </c>
      <c r="G120" s="652" t="s">
        <v>677</v>
      </c>
      <c r="H120" s="650">
        <f>C120*F120</f>
        <v>625000</v>
      </c>
      <c r="I120" s="426" t="s">
        <v>706</v>
      </c>
      <c r="J120" s="426"/>
      <c r="K120" s="428"/>
      <c r="L120" s="417"/>
    </row>
    <row r="121" spans="1:12" ht="14.25">
      <c r="A121" s="417"/>
      <c r="B121" s="434"/>
      <c r="C121" s="426"/>
      <c r="D121" s="426"/>
      <c r="E121" s="652"/>
      <c r="F121" s="426"/>
      <c r="G121" s="426"/>
      <c r="H121" s="426"/>
      <c r="I121" s="426"/>
      <c r="J121" s="426"/>
      <c r="K121" s="428"/>
      <c r="L121" s="417"/>
    </row>
    <row r="122" spans="1:12" ht="14.25">
      <c r="A122" s="417"/>
      <c r="B122" s="442"/>
      <c r="C122" s="443" t="s">
        <v>707</v>
      </c>
      <c r="D122" s="443"/>
      <c r="E122" s="654"/>
      <c r="F122" s="443" t="s">
        <v>703</v>
      </c>
      <c r="G122" s="443"/>
      <c r="H122" s="443"/>
      <c r="I122" s="443"/>
      <c r="J122" s="443" t="s">
        <v>708</v>
      </c>
      <c r="K122" s="444"/>
      <c r="L122" s="417"/>
    </row>
    <row r="123" spans="1:12" ht="14.25">
      <c r="A123" s="417"/>
      <c r="B123" s="434" t="s">
        <v>786</v>
      </c>
      <c r="C123" s="890">
        <f>H120</f>
        <v>625000</v>
      </c>
      <c r="D123" s="890"/>
      <c r="E123" s="652" t="s">
        <v>13</v>
      </c>
      <c r="F123" s="436">
        <f>H117</f>
        <v>0.16025641025641027</v>
      </c>
      <c r="G123" s="652" t="s">
        <v>678</v>
      </c>
      <c r="H123" s="652">
        <v>1000</v>
      </c>
      <c r="I123" s="652" t="s">
        <v>677</v>
      </c>
      <c r="J123" s="651">
        <f>C123*F123/H123</f>
        <v>100.16025641025642</v>
      </c>
      <c r="K123" s="428"/>
      <c r="L123" s="417"/>
    </row>
    <row r="124" spans="1:12" ht="15" thickBot="1">
      <c r="A124" s="417"/>
      <c r="B124" s="429"/>
      <c r="C124" s="445"/>
      <c r="D124" s="445"/>
      <c r="E124" s="446"/>
      <c r="F124" s="447"/>
      <c r="G124" s="446"/>
      <c r="H124" s="446"/>
      <c r="I124" s="446"/>
      <c r="J124" s="448"/>
      <c r="K124" s="431"/>
      <c r="L124" s="417"/>
    </row>
    <row r="125" spans="1:12" ht="40.5" customHeight="1">
      <c r="A125" s="417"/>
      <c r="B125" s="883" t="s">
        <v>669</v>
      </c>
      <c r="C125" s="883"/>
      <c r="D125" s="883"/>
      <c r="E125" s="883"/>
      <c r="F125" s="883"/>
      <c r="G125" s="883"/>
      <c r="H125" s="883"/>
      <c r="I125" s="883"/>
      <c r="J125" s="883"/>
      <c r="K125" s="883"/>
      <c r="L125" s="461"/>
    </row>
    <row r="126" spans="1:12" ht="14.25">
      <c r="A126" s="417"/>
      <c r="B126" s="877" t="s">
        <v>716</v>
      </c>
      <c r="C126" s="877"/>
      <c r="D126" s="877"/>
      <c r="E126" s="877"/>
      <c r="F126" s="877"/>
      <c r="G126" s="877"/>
      <c r="H126" s="877"/>
      <c r="I126" s="877"/>
      <c r="J126" s="877"/>
      <c r="K126" s="877"/>
      <c r="L126" s="461"/>
    </row>
    <row r="127" spans="1:12" ht="14.25">
      <c r="A127" s="417"/>
      <c r="B127" s="658"/>
      <c r="C127" s="658"/>
      <c r="D127" s="658"/>
      <c r="E127" s="658"/>
      <c r="F127" s="658"/>
      <c r="G127" s="658"/>
      <c r="H127" s="658"/>
      <c r="I127" s="658"/>
      <c r="J127" s="658"/>
      <c r="K127" s="658"/>
      <c r="L127" s="461"/>
    </row>
    <row r="128" spans="1:12" ht="14.25">
      <c r="A128" s="417"/>
      <c r="B128" s="877" t="s">
        <v>717</v>
      </c>
      <c r="C128" s="877"/>
      <c r="D128" s="877"/>
      <c r="E128" s="877"/>
      <c r="F128" s="877"/>
      <c r="G128" s="877"/>
      <c r="H128" s="877"/>
      <c r="I128" s="877"/>
      <c r="J128" s="877"/>
      <c r="K128" s="877"/>
      <c r="L128" s="461"/>
    </row>
    <row r="129" spans="1:12" ht="14.25">
      <c r="A129" s="417"/>
      <c r="B129" s="655"/>
      <c r="C129" s="655"/>
      <c r="D129" s="655"/>
      <c r="E129" s="655"/>
      <c r="F129" s="655"/>
      <c r="G129" s="655"/>
      <c r="H129" s="655"/>
      <c r="I129" s="655"/>
      <c r="J129" s="655"/>
      <c r="K129" s="655"/>
      <c r="L129" s="461"/>
    </row>
    <row r="130" spans="1:12" ht="74.25" customHeight="1">
      <c r="A130" s="417"/>
      <c r="B130" s="881" t="s">
        <v>787</v>
      </c>
      <c r="C130" s="881"/>
      <c r="D130" s="881"/>
      <c r="E130" s="881"/>
      <c r="F130" s="881"/>
      <c r="G130" s="881"/>
      <c r="H130" s="881"/>
      <c r="I130" s="881"/>
      <c r="J130" s="881"/>
      <c r="K130" s="881"/>
      <c r="L130" s="461"/>
    </row>
    <row r="131" spans="1:12" ht="15" thickBot="1">
      <c r="A131" s="417"/>
      <c r="L131" s="417"/>
    </row>
    <row r="132" spans="1:12" ht="14.25">
      <c r="A132" s="417"/>
      <c r="B132" s="422" t="s">
        <v>673</v>
      </c>
      <c r="C132" s="423"/>
      <c r="D132" s="423"/>
      <c r="E132" s="423"/>
      <c r="F132" s="423"/>
      <c r="G132" s="423"/>
      <c r="H132" s="423"/>
      <c r="I132" s="423"/>
      <c r="J132" s="423"/>
      <c r="K132" s="424"/>
      <c r="L132" s="417"/>
    </row>
    <row r="133" spans="1:12" ht="14.25">
      <c r="A133" s="417"/>
      <c r="B133" s="434"/>
      <c r="C133" s="901" t="s">
        <v>718</v>
      </c>
      <c r="D133" s="901"/>
      <c r="E133" s="426"/>
      <c r="F133" s="652" t="s">
        <v>719</v>
      </c>
      <c r="G133" s="426"/>
      <c r="H133" s="901" t="s">
        <v>706</v>
      </c>
      <c r="I133" s="901"/>
      <c r="J133" s="426"/>
      <c r="K133" s="428"/>
      <c r="L133" s="417"/>
    </row>
    <row r="134" spans="1:12" ht="14.25">
      <c r="A134" s="417"/>
      <c r="B134" s="434" t="s">
        <v>700</v>
      </c>
      <c r="C134" s="873">
        <v>100000</v>
      </c>
      <c r="D134" s="873"/>
      <c r="E134" s="652" t="s">
        <v>13</v>
      </c>
      <c r="F134" s="652">
        <v>0.115</v>
      </c>
      <c r="G134" s="652" t="s">
        <v>677</v>
      </c>
      <c r="H134" s="893">
        <f>C134*F134</f>
        <v>11500</v>
      </c>
      <c r="I134" s="893"/>
      <c r="J134" s="426"/>
      <c r="K134" s="428"/>
      <c r="L134" s="417"/>
    </row>
    <row r="135" spans="1:12" ht="14.25">
      <c r="A135" s="417"/>
      <c r="B135" s="434"/>
      <c r="C135" s="426"/>
      <c r="D135" s="426"/>
      <c r="E135" s="426"/>
      <c r="F135" s="426"/>
      <c r="G135" s="426"/>
      <c r="H135" s="426"/>
      <c r="I135" s="426"/>
      <c r="J135" s="426"/>
      <c r="K135" s="428"/>
      <c r="L135" s="417"/>
    </row>
    <row r="136" spans="1:12" ht="14.25">
      <c r="A136" s="417"/>
      <c r="B136" s="442"/>
      <c r="C136" s="892" t="s">
        <v>706</v>
      </c>
      <c r="D136" s="892"/>
      <c r="E136" s="443"/>
      <c r="F136" s="654" t="s">
        <v>720</v>
      </c>
      <c r="G136" s="654"/>
      <c r="H136" s="443"/>
      <c r="I136" s="443"/>
      <c r="J136" s="443" t="s">
        <v>721</v>
      </c>
      <c r="K136" s="444"/>
      <c r="L136" s="417"/>
    </row>
    <row r="137" spans="1:12" ht="14.25">
      <c r="A137" s="417"/>
      <c r="B137" s="434" t="s">
        <v>705</v>
      </c>
      <c r="C137" s="893">
        <f>H134</f>
        <v>11500</v>
      </c>
      <c r="D137" s="893"/>
      <c r="E137" s="652" t="s">
        <v>13</v>
      </c>
      <c r="F137" s="462">
        <v>52.869</v>
      </c>
      <c r="G137" s="652" t="s">
        <v>678</v>
      </c>
      <c r="H137" s="652">
        <v>1000</v>
      </c>
      <c r="I137" s="652" t="s">
        <v>677</v>
      </c>
      <c r="J137" s="463">
        <f>C137*F137/H137</f>
        <v>607.9935</v>
      </c>
      <c r="K137" s="428"/>
      <c r="L137" s="417"/>
    </row>
    <row r="138" spans="1:12" ht="15" thickBot="1">
      <c r="A138" s="417"/>
      <c r="B138" s="429"/>
      <c r="C138" s="537"/>
      <c r="D138" s="537"/>
      <c r="E138" s="446"/>
      <c r="F138" s="538"/>
      <c r="G138" s="446"/>
      <c r="H138" s="446"/>
      <c r="I138" s="446"/>
      <c r="J138" s="539"/>
      <c r="K138" s="431"/>
      <c r="L138" s="417"/>
    </row>
    <row r="139" spans="1:12" ht="40.5" customHeight="1">
      <c r="A139" s="417"/>
      <c r="B139" s="524" t="s">
        <v>669</v>
      </c>
      <c r="C139" s="525"/>
      <c r="D139" s="525"/>
      <c r="E139" s="526"/>
      <c r="F139" s="527"/>
      <c r="G139" s="526"/>
      <c r="H139" s="526"/>
      <c r="I139" s="526"/>
      <c r="J139" s="528"/>
      <c r="K139" s="529"/>
      <c r="L139" s="417"/>
    </row>
    <row r="140" spans="1:12" ht="14.25">
      <c r="A140" s="417"/>
      <c r="B140" s="530" t="s">
        <v>788</v>
      </c>
      <c r="C140" s="531"/>
      <c r="D140" s="531"/>
      <c r="E140" s="532"/>
      <c r="F140" s="533"/>
      <c r="G140" s="532"/>
      <c r="H140" s="532"/>
      <c r="I140" s="532"/>
      <c r="J140" s="534"/>
      <c r="K140" s="535"/>
      <c r="L140" s="417"/>
    </row>
    <row r="141" spans="1:12" ht="14.25">
      <c r="A141" s="417"/>
      <c r="B141" s="434"/>
      <c r="C141" s="650"/>
      <c r="D141" s="650"/>
      <c r="E141" s="652"/>
      <c r="F141" s="540"/>
      <c r="G141" s="652"/>
      <c r="H141" s="652"/>
      <c r="I141" s="652"/>
      <c r="J141" s="463"/>
      <c r="K141" s="428"/>
      <c r="L141" s="417"/>
    </row>
    <row r="142" spans="1:12" ht="14.25">
      <c r="A142" s="417"/>
      <c r="B142" s="530" t="s">
        <v>789</v>
      </c>
      <c r="C142" s="531"/>
      <c r="D142" s="531"/>
      <c r="E142" s="532"/>
      <c r="F142" s="533"/>
      <c r="G142" s="532"/>
      <c r="H142" s="532"/>
      <c r="I142" s="532"/>
      <c r="J142" s="534"/>
      <c r="K142" s="535"/>
      <c r="L142" s="417"/>
    </row>
    <row r="143" spans="1:12" ht="14.25">
      <c r="A143" s="417"/>
      <c r="B143" s="434"/>
      <c r="C143" s="650"/>
      <c r="D143" s="650"/>
      <c r="E143" s="652"/>
      <c r="F143" s="540"/>
      <c r="G143" s="652"/>
      <c r="H143" s="652"/>
      <c r="I143" s="652"/>
      <c r="J143" s="463"/>
      <c r="K143" s="428"/>
      <c r="L143" s="417"/>
    </row>
    <row r="144" spans="1:12" ht="76.5" customHeight="1">
      <c r="A144" s="417"/>
      <c r="B144" s="894" t="s">
        <v>790</v>
      </c>
      <c r="C144" s="895"/>
      <c r="D144" s="895"/>
      <c r="E144" s="895"/>
      <c r="F144" s="895"/>
      <c r="G144" s="895"/>
      <c r="H144" s="895"/>
      <c r="I144" s="895"/>
      <c r="J144" s="895"/>
      <c r="K144" s="896"/>
      <c r="L144" s="417"/>
    </row>
    <row r="145" spans="1:12" ht="15" thickBot="1">
      <c r="A145" s="417"/>
      <c r="B145" s="434"/>
      <c r="C145" s="650"/>
      <c r="D145" s="650"/>
      <c r="E145" s="652"/>
      <c r="F145" s="540"/>
      <c r="G145" s="652"/>
      <c r="H145" s="652"/>
      <c r="I145" s="652"/>
      <c r="J145" s="463"/>
      <c r="K145" s="428"/>
      <c r="L145" s="417"/>
    </row>
    <row r="146" spans="1:12" ht="14.25">
      <c r="A146" s="417"/>
      <c r="B146" s="422" t="s">
        <v>673</v>
      </c>
      <c r="C146" s="541"/>
      <c r="D146" s="541"/>
      <c r="E146" s="542"/>
      <c r="F146" s="543"/>
      <c r="G146" s="542"/>
      <c r="H146" s="542"/>
      <c r="I146" s="542"/>
      <c r="J146" s="544"/>
      <c r="K146" s="424"/>
      <c r="L146" s="417"/>
    </row>
    <row r="147" spans="1:12" ht="14.25">
      <c r="A147" s="417"/>
      <c r="B147" s="434"/>
      <c r="C147" s="893" t="s">
        <v>791</v>
      </c>
      <c r="D147" s="893"/>
      <c r="E147" s="652"/>
      <c r="F147" s="540" t="s">
        <v>792</v>
      </c>
      <c r="G147" s="652"/>
      <c r="H147" s="652"/>
      <c r="I147" s="652"/>
      <c r="J147" s="897" t="s">
        <v>793</v>
      </c>
      <c r="K147" s="898"/>
      <c r="L147" s="417"/>
    </row>
    <row r="148" spans="1:12" ht="14.25">
      <c r="A148" s="417"/>
      <c r="B148" s="434"/>
      <c r="C148" s="899">
        <v>52.869</v>
      </c>
      <c r="D148" s="899"/>
      <c r="E148" s="652" t="s">
        <v>13</v>
      </c>
      <c r="F148" s="653">
        <v>312000000</v>
      </c>
      <c r="G148" s="545" t="s">
        <v>678</v>
      </c>
      <c r="H148" s="652">
        <v>1000</v>
      </c>
      <c r="I148" s="652" t="s">
        <v>677</v>
      </c>
      <c r="J148" s="897">
        <f>C148*(F148/1000)</f>
        <v>16495128</v>
      </c>
      <c r="K148" s="900"/>
      <c r="L148" s="417"/>
    </row>
    <row r="149" spans="1:12" ht="15" thickBot="1">
      <c r="A149" s="417"/>
      <c r="B149" s="429"/>
      <c r="C149" s="537"/>
      <c r="D149" s="537"/>
      <c r="E149" s="446"/>
      <c r="F149" s="538"/>
      <c r="G149" s="446"/>
      <c r="H149" s="446"/>
      <c r="I149" s="446"/>
      <c r="J149" s="539"/>
      <c r="K149" s="431"/>
      <c r="L149" s="417"/>
    </row>
    <row r="150" spans="1:12" ht="15" thickBot="1">
      <c r="A150" s="417"/>
      <c r="B150" s="429"/>
      <c r="C150" s="430"/>
      <c r="D150" s="430"/>
      <c r="E150" s="430"/>
      <c r="F150" s="430"/>
      <c r="G150" s="430"/>
      <c r="H150" s="430"/>
      <c r="I150" s="430"/>
      <c r="J150" s="430"/>
      <c r="K150" s="431"/>
      <c r="L150" s="417"/>
    </row>
    <row r="151" spans="1:12" ht="14.25">
      <c r="A151" s="417"/>
      <c r="B151" s="417"/>
      <c r="C151" s="417"/>
      <c r="D151" s="417"/>
      <c r="E151" s="417"/>
      <c r="F151" s="417"/>
      <c r="G151" s="417"/>
      <c r="H151" s="417"/>
      <c r="I151" s="417"/>
      <c r="J151" s="417"/>
      <c r="K151" s="417"/>
      <c r="L151" s="417"/>
    </row>
    <row r="152" spans="1:12" ht="14.25">
      <c r="A152" s="417"/>
      <c r="B152" s="417"/>
      <c r="C152" s="417"/>
      <c r="D152" s="417"/>
      <c r="E152" s="417"/>
      <c r="F152" s="417"/>
      <c r="G152" s="417"/>
      <c r="H152" s="417"/>
      <c r="I152" s="417"/>
      <c r="J152" s="417"/>
      <c r="K152" s="417"/>
      <c r="L152" s="417"/>
    </row>
    <row r="153" spans="1:12" ht="14.25">
      <c r="A153" s="417"/>
      <c r="B153" s="417"/>
      <c r="C153" s="417"/>
      <c r="D153" s="417"/>
      <c r="E153" s="417"/>
      <c r="F153" s="417"/>
      <c r="G153" s="417"/>
      <c r="H153" s="417"/>
      <c r="I153" s="417"/>
      <c r="J153" s="417"/>
      <c r="K153" s="417"/>
      <c r="L153" s="417"/>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objects="1" scenarios="1"/>
  <mergeCells count="55">
    <mergeCell ref="B144:K144"/>
    <mergeCell ref="C147:D147"/>
    <mergeCell ref="J147:K147"/>
    <mergeCell ref="C148:D148"/>
    <mergeCell ref="J148:K148"/>
    <mergeCell ref="C103:D103"/>
    <mergeCell ref="C133:D133"/>
    <mergeCell ref="H133:I133"/>
    <mergeCell ref="C134:D134"/>
    <mergeCell ref="H134:I134"/>
    <mergeCell ref="C136:D136"/>
    <mergeCell ref="C137:D137"/>
    <mergeCell ref="C114:D114"/>
    <mergeCell ref="C117:D117"/>
    <mergeCell ref="B125:K125"/>
    <mergeCell ref="B126:K126"/>
    <mergeCell ref="B128:K128"/>
    <mergeCell ref="B130:K130"/>
    <mergeCell ref="C123:D123"/>
    <mergeCell ref="B88:K88"/>
    <mergeCell ref="B90:K90"/>
    <mergeCell ref="C94:D94"/>
    <mergeCell ref="C97:D97"/>
    <mergeCell ref="C100:D100"/>
    <mergeCell ref="B105:K105"/>
    <mergeCell ref="C74:D74"/>
    <mergeCell ref="C77:D77"/>
    <mergeCell ref="C80:D80"/>
    <mergeCell ref="C83:D83"/>
    <mergeCell ref="B85:K85"/>
    <mergeCell ref="B86:K86"/>
    <mergeCell ref="B48:C48"/>
    <mergeCell ref="G50:H50"/>
    <mergeCell ref="I51:K51"/>
    <mergeCell ref="B52:K52"/>
    <mergeCell ref="B53:K53"/>
    <mergeCell ref="B58:K58"/>
    <mergeCell ref="B55:K55"/>
    <mergeCell ref="B57:K57"/>
    <mergeCell ref="F23:G23"/>
    <mergeCell ref="B30:K30"/>
    <mergeCell ref="B31:K31"/>
    <mergeCell ref="B33:K33"/>
    <mergeCell ref="B35:K35"/>
    <mergeCell ref="C41:D41"/>
    <mergeCell ref="B110:K110"/>
    <mergeCell ref="C120:D120"/>
    <mergeCell ref="B106:K106"/>
    <mergeCell ref="B108:K108"/>
    <mergeCell ref="B6:K6"/>
    <mergeCell ref="B7:K7"/>
    <mergeCell ref="B8:K8"/>
    <mergeCell ref="B10:K10"/>
    <mergeCell ref="B12:K12"/>
    <mergeCell ref="C25:D25"/>
  </mergeCells>
  <printOptions/>
  <pageMargins left="0.7" right="0.7" top="0.75" bottom="0.75" header="0.3" footer="0.3"/>
  <pageSetup blackAndWhite="1" horizontalDpi="600" verticalDpi="600" orientation="portrait" scale="71" r:id="rId1"/>
</worksheet>
</file>

<file path=xl/worksheets/sheet41.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487" t="s">
        <v>647</v>
      </c>
    </row>
    <row r="3" ht="31.5">
      <c r="A3" s="488" t="s">
        <v>648</v>
      </c>
    </row>
    <row r="4" ht="15.75">
      <c r="A4" s="489" t="s">
        <v>649</v>
      </c>
    </row>
    <row r="7" ht="31.5">
      <c r="A7" s="488" t="s">
        <v>650</v>
      </c>
    </row>
    <row r="8" ht="15.75">
      <c r="A8" s="489" t="s">
        <v>651</v>
      </c>
    </row>
    <row r="11" ht="15.75">
      <c r="A11" s="389" t="s">
        <v>652</v>
      </c>
    </row>
    <row r="12" ht="15.75">
      <c r="A12" s="489" t="s">
        <v>653</v>
      </c>
    </row>
    <row r="15" ht="15.75">
      <c r="A15" s="389" t="s">
        <v>654</v>
      </c>
    </row>
    <row r="16" ht="15.75">
      <c r="A16" s="489" t="s">
        <v>655</v>
      </c>
    </row>
    <row r="19" ht="15.75">
      <c r="A19" s="389" t="s">
        <v>656</v>
      </c>
    </row>
    <row r="20" ht="15.75">
      <c r="A20" s="489" t="s">
        <v>657</v>
      </c>
    </row>
    <row r="23" ht="15.75">
      <c r="A23" s="389" t="s">
        <v>658</v>
      </c>
    </row>
    <row r="24" ht="15.75">
      <c r="A24" s="489" t="s">
        <v>659</v>
      </c>
    </row>
    <row r="27" ht="15.75">
      <c r="A27" s="389" t="s">
        <v>660</v>
      </c>
    </row>
    <row r="28" ht="15.75">
      <c r="A28" s="489" t="s">
        <v>661</v>
      </c>
    </row>
    <row r="31" ht="15.75">
      <c r="A31" s="389" t="s">
        <v>662</v>
      </c>
    </row>
    <row r="32" ht="15.75">
      <c r="A32" s="489" t="s">
        <v>663</v>
      </c>
    </row>
    <row r="35" ht="15.75">
      <c r="A35" s="389" t="s">
        <v>664</v>
      </c>
    </row>
    <row r="36" ht="15.75">
      <c r="A36" s="489" t="s">
        <v>665</v>
      </c>
    </row>
    <row r="39" ht="15.75">
      <c r="A39" s="389" t="s">
        <v>666</v>
      </c>
    </row>
    <row r="40" ht="15.75">
      <c r="A40" s="489" t="s">
        <v>667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207"/>
  <sheetViews>
    <sheetView zoomScalePageLayoutView="0" workbookViewId="0" topLeftCell="A1">
      <selection activeCell="F8" sqref="F8"/>
    </sheetView>
  </sheetViews>
  <sheetFormatPr defaultColWidth="8.796875" defaultRowHeight="15"/>
  <cols>
    <col min="1" max="1" width="82.8984375" style="8" customWidth="1"/>
    <col min="2" max="16384" width="8.8984375" style="8" customWidth="1"/>
  </cols>
  <sheetData>
    <row r="1" ht="15.75">
      <c r="A1" s="408" t="s">
        <v>984</v>
      </c>
    </row>
    <row r="2" ht="15.75">
      <c r="A2" s="8" t="s">
        <v>985</v>
      </c>
    </row>
    <row r="4" ht="15.75">
      <c r="A4" s="408" t="s">
        <v>981</v>
      </c>
    </row>
    <row r="5" ht="15.75">
      <c r="A5" s="8" t="s">
        <v>982</v>
      </c>
    </row>
    <row r="7" ht="15.75">
      <c r="A7" s="408" t="s">
        <v>979</v>
      </c>
    </row>
    <row r="8" ht="15.75">
      <c r="A8" s="742" t="s">
        <v>980</v>
      </c>
    </row>
    <row r="10" ht="15.75">
      <c r="A10" s="408" t="s">
        <v>976</v>
      </c>
    </row>
    <row r="11" ht="15.75">
      <c r="A11" s="8" t="s">
        <v>977</v>
      </c>
    </row>
    <row r="13" ht="15.75">
      <c r="A13" s="408" t="s">
        <v>973</v>
      </c>
    </row>
    <row r="14" ht="15.75">
      <c r="A14" s="8" t="s">
        <v>974</v>
      </c>
    </row>
    <row r="16" ht="15.75">
      <c r="A16" s="408" t="s">
        <v>970</v>
      </c>
    </row>
    <row r="17" ht="15.75">
      <c r="A17" s="8" t="s">
        <v>971</v>
      </c>
    </row>
    <row r="18" ht="15.75">
      <c r="A18" s="8" t="s">
        <v>972</v>
      </c>
    </row>
    <row r="20" ht="15.75">
      <c r="A20" s="408" t="s">
        <v>895</v>
      </c>
    </row>
    <row r="21" ht="15.75">
      <c r="A21" s="742" t="s">
        <v>896</v>
      </c>
    </row>
    <row r="22" ht="15.75">
      <c r="A22" s="8" t="s">
        <v>897</v>
      </c>
    </row>
    <row r="23" ht="15.75">
      <c r="A23" s="8" t="s">
        <v>898</v>
      </c>
    </row>
    <row r="24" ht="15.75">
      <c r="A24" s="8" t="s">
        <v>899</v>
      </c>
    </row>
    <row r="25" ht="15.75">
      <c r="A25" s="8" t="s">
        <v>900</v>
      </c>
    </row>
    <row r="26" ht="15.75">
      <c r="A26" s="8" t="s">
        <v>901</v>
      </c>
    </row>
    <row r="27" ht="15.75">
      <c r="A27" s="8" t="s">
        <v>902</v>
      </c>
    </row>
    <row r="28" ht="15.75">
      <c r="A28" s="8" t="s">
        <v>903</v>
      </c>
    </row>
    <row r="29" ht="15.75">
      <c r="A29" s="8" t="s">
        <v>904</v>
      </c>
    </row>
    <row r="30" ht="15.75">
      <c r="A30" s="8" t="s">
        <v>905</v>
      </c>
    </row>
    <row r="31" ht="15.75">
      <c r="A31" s="8" t="s">
        <v>906</v>
      </c>
    </row>
    <row r="32" ht="15.75">
      <c r="A32" s="8" t="s">
        <v>907</v>
      </c>
    </row>
    <row r="33" ht="15.75">
      <c r="A33" s="8" t="s">
        <v>908</v>
      </c>
    </row>
    <row r="34" ht="15.75">
      <c r="A34" s="8" t="s">
        <v>909</v>
      </c>
    </row>
    <row r="35" ht="15.75">
      <c r="A35" s="8" t="s">
        <v>910</v>
      </c>
    </row>
    <row r="36" ht="15.75">
      <c r="A36" s="8" t="s">
        <v>911</v>
      </c>
    </row>
    <row r="37" ht="47.25">
      <c r="A37" s="10" t="s">
        <v>912</v>
      </c>
    </row>
    <row r="38" ht="15.75">
      <c r="A38" s="9" t="s">
        <v>913</v>
      </c>
    </row>
    <row r="39" ht="31.5">
      <c r="A39" s="10" t="s">
        <v>914</v>
      </c>
    </row>
    <row r="40" ht="15.75">
      <c r="A40" s="8" t="s">
        <v>915</v>
      </c>
    </row>
    <row r="41" ht="15.75">
      <c r="A41" s="8" t="s">
        <v>916</v>
      </c>
    </row>
    <row r="42" ht="15.75">
      <c r="A42" s="8" t="s">
        <v>917</v>
      </c>
    </row>
    <row r="43" ht="15.75">
      <c r="A43" s="8" t="s">
        <v>918</v>
      </c>
    </row>
    <row r="44" ht="15.75">
      <c r="A44" s="8" t="s">
        <v>919</v>
      </c>
    </row>
    <row r="45" ht="15.75">
      <c r="A45" s="8" t="s">
        <v>920</v>
      </c>
    </row>
    <row r="46" ht="15.75">
      <c r="A46" s="8" t="s">
        <v>921</v>
      </c>
    </row>
    <row r="47" ht="15.75">
      <c r="A47" s="8" t="s">
        <v>922</v>
      </c>
    </row>
    <row r="48" ht="15.75">
      <c r="A48" s="8" t="s">
        <v>923</v>
      </c>
    </row>
    <row r="49" ht="15.75">
      <c r="A49" s="8" t="s">
        <v>924</v>
      </c>
    </row>
    <row r="50" ht="15.75">
      <c r="A50" s="8" t="s">
        <v>925</v>
      </c>
    </row>
    <row r="51" ht="15.75">
      <c r="A51" s="8" t="s">
        <v>926</v>
      </c>
    </row>
    <row r="52" ht="15.75">
      <c r="A52" s="8" t="s">
        <v>927</v>
      </c>
    </row>
    <row r="53" ht="15.75">
      <c r="A53" s="8" t="s">
        <v>928</v>
      </c>
    </row>
    <row r="54" ht="15.75">
      <c r="A54" s="8" t="s">
        <v>929</v>
      </c>
    </row>
    <row r="55" ht="15.75">
      <c r="A55" s="8" t="s">
        <v>930</v>
      </c>
    </row>
    <row r="57" ht="15.75">
      <c r="A57" s="408" t="s">
        <v>802</v>
      </c>
    </row>
    <row r="58" ht="15.75">
      <c r="A58" s="8" t="s">
        <v>803</v>
      </c>
    </row>
    <row r="59" ht="15.75">
      <c r="A59" s="8" t="s">
        <v>804</v>
      </c>
    </row>
    <row r="61" ht="15.75">
      <c r="A61" s="408" t="s">
        <v>800</v>
      </c>
    </row>
    <row r="62" ht="15.75">
      <c r="A62" s="8" t="s">
        <v>801</v>
      </c>
    </row>
    <row r="64" ht="15.75">
      <c r="A64" s="408" t="s">
        <v>798</v>
      </c>
    </row>
    <row r="65" ht="15.75">
      <c r="A65" s="8" t="s">
        <v>799</v>
      </c>
    </row>
    <row r="67" ht="15.75">
      <c r="A67" s="408" t="s">
        <v>797</v>
      </c>
    </row>
    <row r="68" ht="15.75">
      <c r="A68" s="410" t="s">
        <v>796</v>
      </c>
    </row>
    <row r="70" ht="15.75">
      <c r="A70" s="408" t="s">
        <v>644</v>
      </c>
    </row>
    <row r="71" ht="15.75">
      <c r="A71" s="410" t="s">
        <v>641</v>
      </c>
    </row>
    <row r="72" ht="15.75">
      <c r="A72" s="410" t="s">
        <v>642</v>
      </c>
    </row>
    <row r="73" ht="31.5">
      <c r="A73" s="409" t="s">
        <v>643</v>
      </c>
    </row>
    <row r="74" ht="15.75">
      <c r="A74" s="410" t="s">
        <v>760</v>
      </c>
    </row>
    <row r="75" ht="15.75">
      <c r="A75" s="410" t="s">
        <v>761</v>
      </c>
    </row>
    <row r="76" ht="15.75">
      <c r="A76" s="410" t="s">
        <v>762</v>
      </c>
    </row>
    <row r="77" ht="15.75">
      <c r="A77" s="410" t="s">
        <v>763</v>
      </c>
    </row>
    <row r="78" ht="15.75">
      <c r="A78" s="410" t="s">
        <v>764</v>
      </c>
    </row>
    <row r="79" ht="15.75">
      <c r="A79" s="410" t="s">
        <v>765</v>
      </c>
    </row>
    <row r="80" ht="15.75">
      <c r="A80" s="410" t="s">
        <v>766</v>
      </c>
    </row>
    <row r="81" ht="15.75">
      <c r="A81" s="410" t="s">
        <v>767</v>
      </c>
    </row>
    <row r="82" ht="15.75">
      <c r="A82" s="410" t="s">
        <v>768</v>
      </c>
    </row>
    <row r="83" ht="15.75">
      <c r="A83" s="410" t="s">
        <v>769</v>
      </c>
    </row>
    <row r="84" ht="15.75">
      <c r="A84" s="410" t="s">
        <v>770</v>
      </c>
    </row>
    <row r="85" ht="15.75">
      <c r="A85" s="410" t="s">
        <v>771</v>
      </c>
    </row>
    <row r="86" ht="15.75">
      <c r="A86" s="410" t="s">
        <v>772</v>
      </c>
    </row>
    <row r="87" ht="15.75">
      <c r="A87" s="410" t="s">
        <v>773</v>
      </c>
    </row>
    <row r="88" ht="15.75">
      <c r="A88" s="410" t="s">
        <v>774</v>
      </c>
    </row>
    <row r="89" ht="15.75">
      <c r="A89" s="410" t="s">
        <v>775</v>
      </c>
    </row>
    <row r="90" ht="15.75">
      <c r="A90" s="410" t="s">
        <v>776</v>
      </c>
    </row>
    <row r="91" ht="15.75">
      <c r="A91" s="410" t="s">
        <v>777</v>
      </c>
    </row>
    <row r="92" ht="15.75">
      <c r="A92" s="410" t="s">
        <v>778</v>
      </c>
    </row>
    <row r="93" ht="15.75">
      <c r="A93" s="410" t="s">
        <v>779</v>
      </c>
    </row>
    <row r="94" ht="15.75">
      <c r="A94" s="410" t="s">
        <v>780</v>
      </c>
    </row>
    <row r="95" ht="15.75">
      <c r="A95" s="410" t="s">
        <v>781</v>
      </c>
    </row>
    <row r="96" ht="15.75">
      <c r="A96" s="410" t="s">
        <v>782</v>
      </c>
    </row>
    <row r="97" ht="15.75">
      <c r="A97" s="410" t="s">
        <v>783</v>
      </c>
    </row>
    <row r="98" ht="15.75">
      <c r="A98" s="410" t="s">
        <v>784</v>
      </c>
    </row>
    <row r="101" ht="15.75">
      <c r="A101" s="344" t="s">
        <v>625</v>
      </c>
    </row>
    <row r="102" ht="15.75">
      <c r="A102" s="8" t="s">
        <v>626</v>
      </c>
    </row>
    <row r="103" ht="15.75">
      <c r="A103" s="8" t="s">
        <v>627</v>
      </c>
    </row>
    <row r="104" ht="15.75">
      <c r="A104" s="8" t="s">
        <v>628</v>
      </c>
    </row>
    <row r="106" ht="15.75">
      <c r="A106" s="344" t="s">
        <v>615</v>
      </c>
    </row>
    <row r="107" ht="15.75">
      <c r="A107" s="8" t="s">
        <v>624</v>
      </c>
    </row>
    <row r="109" ht="15.75">
      <c r="A109" s="344" t="s">
        <v>599</v>
      </c>
    </row>
    <row r="110" ht="15.75">
      <c r="A110" s="342" t="s">
        <v>600</v>
      </c>
    </row>
    <row r="111" ht="15.75">
      <c r="A111" s="342" t="s">
        <v>601</v>
      </c>
    </row>
    <row r="112" ht="15.75">
      <c r="A112" s="342" t="s">
        <v>602</v>
      </c>
    </row>
    <row r="114" ht="15.75">
      <c r="A114" s="320" t="s">
        <v>372</v>
      </c>
    </row>
    <row r="115" ht="15.75">
      <c r="A115" s="329" t="s">
        <v>374</v>
      </c>
    </row>
    <row r="116" ht="15.75">
      <c r="A116" s="327" t="s">
        <v>375</v>
      </c>
    </row>
    <row r="117" ht="15.75">
      <c r="A117" s="327" t="s">
        <v>376</v>
      </c>
    </row>
    <row r="118" ht="21" customHeight="1">
      <c r="A118" s="328" t="s">
        <v>377</v>
      </c>
    </row>
    <row r="119" ht="15.75">
      <c r="A119" s="327" t="s">
        <v>378</v>
      </c>
    </row>
    <row r="120" ht="15.75">
      <c r="A120" s="327" t="s">
        <v>379</v>
      </c>
    </row>
    <row r="121" ht="15.75">
      <c r="A121" s="327" t="s">
        <v>380</v>
      </c>
    </row>
    <row r="122" ht="15.75">
      <c r="A122" s="327" t="s">
        <v>381</v>
      </c>
    </row>
    <row r="123" ht="15.75">
      <c r="A123" s="8" t="s">
        <v>382</v>
      </c>
    </row>
    <row r="125" ht="15.75">
      <c r="A125" s="320" t="s">
        <v>343</v>
      </c>
    </row>
    <row r="126" ht="15.75">
      <c r="A126" s="8" t="s">
        <v>344</v>
      </c>
    </row>
    <row r="127" ht="15.75">
      <c r="A127" s="8" t="s">
        <v>345</v>
      </c>
    </row>
    <row r="128" ht="15.75">
      <c r="A128" s="8" t="s">
        <v>346</v>
      </c>
    </row>
    <row r="129" ht="15.75">
      <c r="A129" s="8" t="s">
        <v>347</v>
      </c>
    </row>
    <row r="131" ht="15.75">
      <c r="A131" s="320" t="s">
        <v>340</v>
      </c>
    </row>
    <row r="132" ht="15.75">
      <c r="A132" s="8" t="s">
        <v>341</v>
      </c>
    </row>
    <row r="133" ht="15.75">
      <c r="A133" s="8" t="s">
        <v>342</v>
      </c>
    </row>
    <row r="135" ht="15.75">
      <c r="A135" s="320" t="s">
        <v>322</v>
      </c>
    </row>
    <row r="136" ht="15.75">
      <c r="A136" s="8" t="s">
        <v>310</v>
      </c>
    </row>
    <row r="137" ht="15.75">
      <c r="A137" s="8" t="s">
        <v>311</v>
      </c>
    </row>
    <row r="138" ht="15.75">
      <c r="A138" s="8" t="s">
        <v>312</v>
      </c>
    </row>
    <row r="139" ht="15.75">
      <c r="A139" s="8" t="s">
        <v>305</v>
      </c>
    </row>
    <row r="140" ht="15.75">
      <c r="A140" s="8" t="s">
        <v>313</v>
      </c>
    </row>
    <row r="141" ht="15.75">
      <c r="A141" s="8" t="s">
        <v>314</v>
      </c>
    </row>
    <row r="142" ht="31.5">
      <c r="A142" s="10" t="s">
        <v>315</v>
      </c>
    </row>
    <row r="143" ht="31.5">
      <c r="A143" s="10" t="s">
        <v>316</v>
      </c>
    </row>
    <row r="144" ht="15.75">
      <c r="A144" s="10" t="s">
        <v>323</v>
      </c>
    </row>
    <row r="145" ht="15.75">
      <c r="A145" s="10" t="s">
        <v>317</v>
      </c>
    </row>
    <row r="146" ht="31.5">
      <c r="A146" s="10" t="s">
        <v>318</v>
      </c>
    </row>
    <row r="147" ht="15.75">
      <c r="A147" s="8" t="s">
        <v>319</v>
      </c>
    </row>
    <row r="148" ht="31.5">
      <c r="A148" s="10" t="s">
        <v>324</v>
      </c>
    </row>
    <row r="149" ht="15.75">
      <c r="A149" s="8" t="s">
        <v>191</v>
      </c>
    </row>
    <row r="150" ht="15.75">
      <c r="A150" s="8" t="s">
        <v>320</v>
      </c>
    </row>
    <row r="151" ht="35.25" customHeight="1">
      <c r="A151" s="8" t="s">
        <v>321</v>
      </c>
    </row>
    <row r="152" ht="20.25" customHeight="1">
      <c r="A152" s="10" t="s">
        <v>190</v>
      </c>
    </row>
    <row r="153" ht="15.75">
      <c r="A153" s="8" t="s">
        <v>192</v>
      </c>
    </row>
    <row r="154" ht="31.5">
      <c r="A154" s="10" t="s">
        <v>188</v>
      </c>
    </row>
    <row r="155" ht="15.75">
      <c r="A155" s="8" t="s">
        <v>189</v>
      </c>
    </row>
    <row r="157" ht="15.75">
      <c r="A157" s="320" t="s">
        <v>325</v>
      </c>
    </row>
    <row r="158" ht="15.75">
      <c r="A158" s="8" t="s">
        <v>326</v>
      </c>
    </row>
    <row r="159" ht="15.75">
      <c r="A159" s="8" t="s">
        <v>327</v>
      </c>
    </row>
    <row r="160" ht="15.75">
      <c r="A160" s="8" t="s">
        <v>328</v>
      </c>
    </row>
    <row r="161" ht="15.75">
      <c r="A161" s="8" t="s">
        <v>329</v>
      </c>
    </row>
    <row r="163" ht="15.75">
      <c r="A163" s="320" t="s">
        <v>302</v>
      </c>
    </row>
    <row r="164" ht="15.75">
      <c r="A164" s="8" t="s">
        <v>303</v>
      </c>
    </row>
    <row r="166" ht="15.75">
      <c r="A166" s="320" t="s">
        <v>297</v>
      </c>
    </row>
    <row r="167" ht="31.5">
      <c r="A167" s="10" t="s">
        <v>298</v>
      </c>
    </row>
    <row r="168" ht="15.75">
      <c r="A168" s="8" t="s">
        <v>299</v>
      </c>
    </row>
    <row r="169" ht="15.75">
      <c r="A169" s="8" t="s">
        <v>301</v>
      </c>
    </row>
    <row r="170" ht="15.75">
      <c r="A170" s="8" t="s">
        <v>300</v>
      </c>
    </row>
    <row r="171" ht="18" customHeight="1"/>
    <row r="172" ht="48.75" customHeight="1">
      <c r="A172" s="8" t="s">
        <v>225</v>
      </c>
    </row>
    <row r="173" ht="47.25">
      <c r="A173" s="10" t="s">
        <v>255</v>
      </c>
    </row>
    <row r="174" ht="15.75">
      <c r="A174" s="8" t="s">
        <v>226</v>
      </c>
    </row>
    <row r="175" ht="15.75">
      <c r="A175" s="8" t="s">
        <v>227</v>
      </c>
    </row>
    <row r="176" ht="15.75">
      <c r="A176" s="8" t="s">
        <v>256</v>
      </c>
    </row>
    <row r="177" ht="15.75">
      <c r="A177" s="8" t="s">
        <v>228</v>
      </c>
    </row>
    <row r="178" ht="15.75">
      <c r="A178" s="8" t="s">
        <v>229</v>
      </c>
    </row>
    <row r="179" ht="15.75">
      <c r="A179" s="8" t="s">
        <v>265</v>
      </c>
    </row>
    <row r="180" ht="15.75">
      <c r="A180" s="8" t="s">
        <v>230</v>
      </c>
    </row>
    <row r="181" ht="15.75">
      <c r="A181" s="8" t="s">
        <v>231</v>
      </c>
    </row>
    <row r="182" ht="31.5">
      <c r="A182" s="10" t="s">
        <v>232</v>
      </c>
    </row>
    <row r="183" ht="31.5">
      <c r="A183" s="10" t="s">
        <v>331</v>
      </c>
    </row>
    <row r="184" ht="15.75">
      <c r="A184" s="8" t="s">
        <v>233</v>
      </c>
    </row>
    <row r="185" ht="15.75">
      <c r="A185" s="8" t="s">
        <v>234</v>
      </c>
    </row>
    <row r="186" ht="15.75">
      <c r="A186" s="8" t="s">
        <v>257</v>
      </c>
    </row>
    <row r="187" ht="15.75">
      <c r="A187" s="8" t="s">
        <v>235</v>
      </c>
    </row>
    <row r="188" ht="15.75">
      <c r="A188" s="8" t="s">
        <v>258</v>
      </c>
    </row>
    <row r="189" ht="31.5">
      <c r="A189" s="10" t="s">
        <v>259</v>
      </c>
    </row>
    <row r="190" ht="15.75">
      <c r="A190" s="8" t="s">
        <v>241</v>
      </c>
    </row>
    <row r="191" ht="15.75">
      <c r="A191" s="8" t="s">
        <v>242</v>
      </c>
    </row>
    <row r="192" ht="31.5">
      <c r="A192" s="10" t="s">
        <v>243</v>
      </c>
    </row>
    <row r="193" ht="15.75">
      <c r="A193" s="8" t="s">
        <v>283</v>
      </c>
    </row>
    <row r="194" ht="15.75">
      <c r="A194" s="8" t="s">
        <v>282</v>
      </c>
    </row>
    <row r="195" ht="15.75">
      <c r="A195" s="8" t="s">
        <v>284</v>
      </c>
    </row>
    <row r="196" ht="15.75">
      <c r="A196" s="8" t="s">
        <v>285</v>
      </c>
    </row>
    <row r="197" ht="15.75">
      <c r="A197" s="8" t="s">
        <v>286</v>
      </c>
    </row>
    <row r="198" ht="15.75">
      <c r="A198" s="8" t="s">
        <v>287</v>
      </c>
    </row>
    <row r="199" ht="15.75">
      <c r="A199" s="8" t="s">
        <v>288</v>
      </c>
    </row>
    <row r="200" ht="15.75">
      <c r="A200" s="8" t="s">
        <v>289</v>
      </c>
    </row>
    <row r="201" ht="15.75">
      <c r="A201" s="8" t="s">
        <v>290</v>
      </c>
    </row>
    <row r="202" ht="15.75">
      <c r="A202" s="8" t="s">
        <v>291</v>
      </c>
    </row>
    <row r="203" ht="15.75">
      <c r="A203" s="8" t="s">
        <v>292</v>
      </c>
    </row>
    <row r="204" ht="15.75">
      <c r="A204" s="8" t="s">
        <v>293</v>
      </c>
    </row>
    <row r="205" ht="15.75">
      <c r="A205" s="8" t="s">
        <v>294</v>
      </c>
    </row>
    <row r="206" ht="15.75">
      <c r="A206" s="8" t="s">
        <v>296</v>
      </c>
    </row>
    <row r="207" ht="15.75">
      <c r="A207" s="8" t="s">
        <v>295</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35">
      <selection activeCell="A63" sqref="A63"/>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5"/>
      <c r="B1" s="85"/>
      <c r="C1" s="85"/>
      <c r="D1" s="85"/>
      <c r="E1" s="85"/>
      <c r="F1" s="85"/>
      <c r="G1" s="85"/>
      <c r="H1" s="85">
        <f>inputPrYr!$C$5</f>
        <v>2014</v>
      </c>
    </row>
    <row r="2" spans="1:9" ht="15.75">
      <c r="A2" s="810" t="s">
        <v>89</v>
      </c>
      <c r="B2" s="810"/>
      <c r="C2" s="810"/>
      <c r="D2" s="810"/>
      <c r="E2" s="810"/>
      <c r="F2" s="810"/>
      <c r="G2" s="810"/>
      <c r="H2" s="810"/>
      <c r="I2" s="302"/>
    </row>
    <row r="3" spans="1:8" ht="15.75">
      <c r="A3" s="21"/>
      <c r="B3" s="21"/>
      <c r="C3" s="21"/>
      <c r="D3" s="21"/>
      <c r="E3" s="21"/>
      <c r="F3" s="21"/>
      <c r="G3" s="21"/>
      <c r="H3" s="21"/>
    </row>
    <row r="4" spans="1:8" ht="15.75">
      <c r="A4" s="812" t="s">
        <v>46</v>
      </c>
      <c r="B4" s="812"/>
      <c r="C4" s="812"/>
      <c r="D4" s="812"/>
      <c r="E4" s="812"/>
      <c r="F4" s="812"/>
      <c r="G4" s="812"/>
      <c r="H4" s="812"/>
    </row>
    <row r="5" spans="1:8" ht="15.75">
      <c r="A5" s="811" t="str">
        <f>inputPrYr!D2</f>
        <v>City of Merriam</v>
      </c>
      <c r="B5" s="811"/>
      <c r="C5" s="811"/>
      <c r="D5" s="811"/>
      <c r="E5" s="811"/>
      <c r="F5" s="811"/>
      <c r="G5" s="811"/>
      <c r="H5" s="811"/>
    </row>
    <row r="6" spans="1:8" ht="15.75">
      <c r="A6" s="800" t="str">
        <f>CONCATENATE("will meet on ",inputBudSum!B7," at ",inputBudSum!B9," at ",inputBudSum!B11," for the purpose of")</f>
        <v>will meet on July 22, 2013 at 7:00 PM at City Hall for the purpose of</v>
      </c>
      <c r="B6" s="800"/>
      <c r="C6" s="800"/>
      <c r="D6" s="800"/>
      <c r="E6" s="800"/>
      <c r="F6" s="800"/>
      <c r="G6" s="800"/>
      <c r="H6" s="800"/>
    </row>
    <row r="7" spans="1:8" ht="15.75">
      <c r="A7" s="812" t="s">
        <v>613</v>
      </c>
      <c r="B7" s="812"/>
      <c r="C7" s="812"/>
      <c r="D7" s="812"/>
      <c r="E7" s="812"/>
      <c r="F7" s="812"/>
      <c r="G7" s="812"/>
      <c r="H7" s="812"/>
    </row>
    <row r="8" spans="1:8" ht="15.75">
      <c r="A8" s="813" t="str">
        <f>CONCATENATE("Detailed budget information is available at ",inputBudSum!B14," and will be available at this hearing.")</f>
        <v>Detailed budget information is available at City Hall and will be available at this hearing.</v>
      </c>
      <c r="B8" s="813"/>
      <c r="C8" s="813"/>
      <c r="D8" s="813"/>
      <c r="E8" s="813"/>
      <c r="F8" s="813"/>
      <c r="G8" s="813"/>
      <c r="H8" s="813"/>
    </row>
    <row r="9" spans="1:8" ht="15.75">
      <c r="A9" s="31" t="s">
        <v>90</v>
      </c>
      <c r="B9" s="32"/>
      <c r="C9" s="32"/>
      <c r="D9" s="32"/>
      <c r="E9" s="32"/>
      <c r="F9" s="32"/>
      <c r="G9" s="32"/>
      <c r="H9" s="32"/>
    </row>
    <row r="10" spans="1:8" ht="15.75">
      <c r="A10" s="33" t="str">
        <f>CONCATENATE("Proposed Budget ",H1," Expenditures and Amount of  ",H1-1," Ad Valorem Tax establish the maximum limits of the ",H1," budget.")</f>
        <v>Proposed Budget 2014 Expenditures and Amount of  2013 Ad Valorem Tax establish the maximum limits of the 2014 budget.</v>
      </c>
      <c r="B10" s="32"/>
      <c r="C10" s="32"/>
      <c r="D10" s="32"/>
      <c r="E10" s="32"/>
      <c r="F10" s="32"/>
      <c r="G10" s="32"/>
      <c r="H10" s="32"/>
    </row>
    <row r="11" spans="1:8" ht="15.75">
      <c r="A11" s="33" t="s">
        <v>153</v>
      </c>
      <c r="B11" s="32"/>
      <c r="C11" s="32"/>
      <c r="D11" s="32"/>
      <c r="E11" s="32"/>
      <c r="F11" s="32"/>
      <c r="G11" s="32"/>
      <c r="H11" s="32"/>
    </row>
    <row r="12" spans="1:8" ht="15.75">
      <c r="A12" s="21"/>
      <c r="B12" s="257"/>
      <c r="C12" s="257"/>
      <c r="D12" s="257"/>
      <c r="E12" s="257"/>
      <c r="F12" s="257"/>
      <c r="G12" s="257"/>
      <c r="H12" s="257"/>
    </row>
    <row r="13" spans="1:8" ht="15.75">
      <c r="A13" s="21"/>
      <c r="B13" s="303" t="str">
        <f>CONCATENATE("Prior Year Actual for ",H1-2,"")</f>
        <v>Prior Year Actual for 2012</v>
      </c>
      <c r="C13" s="121"/>
      <c r="D13" s="303" t="str">
        <f>CONCATENATE("Current Year Estimate for ",H1-1,"")</f>
        <v>Current Year Estimate for 2013</v>
      </c>
      <c r="E13" s="121"/>
      <c r="F13" s="119" t="str">
        <f>CONCATENATE("Proposed Budget for ",H1,"")</f>
        <v>Proposed Budget for 2014</v>
      </c>
      <c r="G13" s="120"/>
      <c r="H13" s="121"/>
    </row>
    <row r="14" spans="1:8" ht="21" customHeight="1">
      <c r="A14" s="21"/>
      <c r="B14" s="246"/>
      <c r="C14" s="124" t="s">
        <v>47</v>
      </c>
      <c r="D14" s="124"/>
      <c r="E14" s="124" t="s">
        <v>47</v>
      </c>
      <c r="F14" s="390" t="s">
        <v>268</v>
      </c>
      <c r="G14" s="124" t="str">
        <f>CONCATENATE("Amount of ",H1-1,"")</f>
        <v>Amount of 2013</v>
      </c>
      <c r="H14" s="124" t="s">
        <v>216</v>
      </c>
    </row>
    <row r="15" spans="1:8" ht="15.75">
      <c r="A15" s="46" t="s">
        <v>48</v>
      </c>
      <c r="B15" s="128" t="s">
        <v>49</v>
      </c>
      <c r="C15" s="128" t="s">
        <v>50</v>
      </c>
      <c r="D15" s="128" t="s">
        <v>49</v>
      </c>
      <c r="E15" s="128" t="s">
        <v>50</v>
      </c>
      <c r="F15" s="391" t="s">
        <v>637</v>
      </c>
      <c r="G15" s="129" t="s">
        <v>25</v>
      </c>
      <c r="H15" s="128" t="s">
        <v>50</v>
      </c>
    </row>
    <row r="16" spans="1:8" ht="15.75">
      <c r="A16" s="67" t="str">
        <f>inputPrYr!B17</f>
        <v>General</v>
      </c>
      <c r="B16" s="192">
        <f>IF(general!$C$111&lt;&gt;0,general!$C$111,"  ")</f>
        <v>13748153</v>
      </c>
      <c r="C16" s="58">
        <f>IF(inputPrYr!D64&gt;0,inputPrYr!D64,"  ")</f>
        <v>25.045</v>
      </c>
      <c r="D16" s="192">
        <f>IF(general!$D$111&lt;&gt;0,general!$D$111,"  ")</f>
        <v>15285194</v>
      </c>
      <c r="E16" s="58">
        <f>IF(inputOth!D21&gt;0,inputOth!D21,"  ")</f>
        <v>25.146</v>
      </c>
      <c r="F16" s="192">
        <f>IF(general!$E$111&lt;&gt;0,general!$E$111,"  ")</f>
        <v>18600375</v>
      </c>
      <c r="G16" s="192">
        <f>IF(general!$E$118&lt;&gt;0,general!$E$118,"  ")</f>
        <v>3768434</v>
      </c>
      <c r="H16" s="58">
        <f>IF(general!E118&gt;0,ROUND(G16/$F$48*1000,3),"  ")</f>
        <v>25.146</v>
      </c>
    </row>
    <row r="17" spans="1:8" ht="15.75">
      <c r="A17" s="67" t="str">
        <f>IF(inputPrYr!$B18&gt;"  ",(inputPrYr!$B18),"  ")</f>
        <v>Debt Service</v>
      </c>
      <c r="B17" s="192">
        <f>IF('DebtSvs-Library'!C33&lt;&gt;0,'DebtSvs-Library'!C33,"  ")</f>
        <v>3170069</v>
      </c>
      <c r="C17" s="58">
        <f>IF(inputPrYr!D65&gt;0,inputPrYr!D65,"  ")</f>
        <v>2.367</v>
      </c>
      <c r="D17" s="192">
        <f>IF('DebtSvs-Library'!D33&lt;&gt;0,'DebtSvs-Library'!D33,"  ")</f>
        <v>3135298</v>
      </c>
      <c r="E17" s="58">
        <f>IF(inputOth!D22&gt;0,inputOth!D22,"  ")</f>
        <v>2.376</v>
      </c>
      <c r="F17" s="192">
        <f>IF('DebtSvs-Library'!E33&lt;&gt;0,'DebtSvs-Library'!E33,"  ")</f>
        <v>1872805</v>
      </c>
      <c r="G17" s="192">
        <f>IF('DebtSvs-Library'!E40&lt;&gt;0,'DebtSvs-Library'!E40," ")</f>
        <v>356073</v>
      </c>
      <c r="H17" s="58">
        <f>IF('DebtSvs-Library'!E40&gt;0,ROUND(G17/$F$48*1000,3)," ")</f>
        <v>2.376</v>
      </c>
    </row>
    <row r="18" spans="1:8" ht="15.75">
      <c r="A18" s="67" t="str">
        <f>IF(inputPrYr!$B19&gt;"  ",(inputPrYr!$B19),"  ")</f>
        <v>Library</v>
      </c>
      <c r="B18" s="192" t="str">
        <f>IF('DebtSvs-Library'!C73&lt;&gt;0,'DebtSvs-Library'!C73,"  ")</f>
        <v>  </v>
      </c>
      <c r="C18" s="58" t="str">
        <f>IF(inputPrYr!D66&gt;0,inputPrYr!D66,"  ")</f>
        <v>  </v>
      </c>
      <c r="D18" s="192" t="str">
        <f>IF('DebtSvs-Library'!D73&lt;&gt;0,'DebtSvs-Library'!D73,"  ")</f>
        <v>  </v>
      </c>
      <c r="E18" s="58" t="str">
        <f>IF(inputOth!D23&gt;0,inputOth!D23,"  ")</f>
        <v>  </v>
      </c>
      <c r="F18" s="192" t="str">
        <f>IF('DebtSvs-Library'!E73&lt;&gt;0,'DebtSvs-Library'!E73,"  ")</f>
        <v>  </v>
      </c>
      <c r="G18" s="192" t="str">
        <f>IF('DebtSvs-Library'!E80&lt;&gt;0,'DebtSvs-Library'!E80," ")</f>
        <v> </v>
      </c>
      <c r="H18" s="58" t="str">
        <f>IF('DebtSvs-Library'!E80&gt;0,ROUND(G18/$F$48*1000,3)," ")</f>
        <v> </v>
      </c>
    </row>
    <row r="19" spans="1:8" ht="15.75">
      <c r="A19" s="67" t="str">
        <f>IF(inputPrYr!$B21&gt;"  ",(inputPrYr!$B21),"  ")</f>
        <v>  </v>
      </c>
      <c r="B19" s="192" t="str">
        <f>IF('levy page9'!$C$33&gt;0,'levy page9'!$C$33,"  ")</f>
        <v>  </v>
      </c>
      <c r="C19" s="58" t="str">
        <f>IF(inputPrYr!D67&gt;0,inputPrYr!D67,"  ")</f>
        <v>  </v>
      </c>
      <c r="D19" s="192" t="str">
        <f>IF('levy page9'!$D$33&gt;0,'levy page9'!$D$33,"  ")</f>
        <v>  </v>
      </c>
      <c r="E19" s="58" t="str">
        <f>IF(inputOth!D24&gt;0,inputOth!D24,"  ")</f>
        <v>  </v>
      </c>
      <c r="F19" s="192" t="str">
        <f>IF('levy page9'!$E$33&gt;0,'levy page9'!$E$33,"  ")</f>
        <v>  </v>
      </c>
      <c r="G19" s="192" t="str">
        <f>IF('levy page9'!$E$40&lt;&gt;0,'levy page9'!$E$40,"  ")</f>
        <v>  </v>
      </c>
      <c r="H19" s="58" t="str">
        <f>IF('levy page9'!E40&lt;&gt;0,ROUND(G19/$F$48*1000,3),"  ")</f>
        <v>  </v>
      </c>
    </row>
    <row r="20" spans="1:8" ht="15.75">
      <c r="A20" s="67" t="str">
        <f>IF(inputPrYr!$B22&gt;"  ",(inputPrYr!$B22),"  ")</f>
        <v>  </v>
      </c>
      <c r="B20" s="192" t="str">
        <f>IF('levy page9'!$C$73&gt;0,'levy page9'!$C$73,"  ")</f>
        <v>  </v>
      </c>
      <c r="C20" s="58" t="str">
        <f>IF(inputPrYr!D68&gt;0,inputPrYr!D68,"  ")</f>
        <v>  </v>
      </c>
      <c r="D20" s="192" t="str">
        <f>IF('levy page9'!$D$73&gt;0,'levy page9'!$D$73,"  ")</f>
        <v>  </v>
      </c>
      <c r="E20" s="58" t="str">
        <f>IF(inputOth!D25&gt;0,inputOth!D25,"  ")</f>
        <v>  </v>
      </c>
      <c r="F20" s="192" t="str">
        <f>IF('levy page9'!$E$73&gt;0,'levy page9'!$E$73,"  ")</f>
        <v>  </v>
      </c>
      <c r="G20" s="192" t="str">
        <f>IF('levy page9'!$E$80&lt;&gt;0,'levy page9'!$E$80,"  ")</f>
        <v>  </v>
      </c>
      <c r="H20" s="58" t="str">
        <f>IF('levy page9'!E80&lt;&gt;0,ROUND(G20/$F$48*1000,3),"  ")</f>
        <v>  </v>
      </c>
    </row>
    <row r="21" spans="1:8" ht="15.75">
      <c r="A21" s="67" t="str">
        <f>IF(inputPrYr!$B23&gt;"  ",(inputPrYr!$B23),"  ")</f>
        <v>  </v>
      </c>
      <c r="B21" s="192" t="str">
        <f>IF('levy page10'!$C$33&gt;0,'levy page10'!$C$33,"  ")</f>
        <v>  </v>
      </c>
      <c r="C21" s="58" t="str">
        <f>IF(inputPrYr!D69&gt;0,inputPrYr!D69,"  ")</f>
        <v>  </v>
      </c>
      <c r="D21" s="192" t="str">
        <f>IF('levy page10'!$D$33&gt;0,'levy page10'!$D$33,"  ")</f>
        <v>  </v>
      </c>
      <c r="E21" s="58" t="str">
        <f>IF(inputOth!D26&gt;0,inputOth!D26,"  ")</f>
        <v>  </v>
      </c>
      <c r="F21" s="192" t="str">
        <f>IF('levy page10'!$E$33&gt;0,'levy page10'!$E$33,"  ")</f>
        <v>  </v>
      </c>
      <c r="G21" s="192" t="str">
        <f>IF('levy page10'!$E$40&lt;&gt;0,'levy page10'!$E$40,"  ")</f>
        <v>  </v>
      </c>
      <c r="H21" s="58" t="str">
        <f>IF('levy page10'!E40&lt;&gt;0,ROUND(G21/$F$48*1000,3),"  ")</f>
        <v>  </v>
      </c>
    </row>
    <row r="22" spans="1:8" ht="15.75">
      <c r="A22" s="67" t="str">
        <f>IF(inputPrYr!$B24&gt;"  ",(inputPrYr!$B24),"  ")</f>
        <v>  </v>
      </c>
      <c r="B22" s="192" t="str">
        <f>IF('levy page10'!$C$73&gt;0,'levy page10'!$C$73,"  ")</f>
        <v>  </v>
      </c>
      <c r="C22" s="58" t="str">
        <f>IF(inputPrYr!D70&gt;0,inputPrYr!D70,"  ")</f>
        <v>  </v>
      </c>
      <c r="D22" s="192" t="str">
        <f>IF('levy page10'!$D$73&gt;0,'levy page10'!$D$73,"  ")</f>
        <v>  </v>
      </c>
      <c r="E22" s="58" t="str">
        <f>IF(inputOth!D27&gt;0,inputOth!D27,"  ")</f>
        <v>  </v>
      </c>
      <c r="F22" s="192" t="str">
        <f>IF('levy page10'!$E$73&gt;0,'levy page10'!$E$73,"  ")</f>
        <v>  </v>
      </c>
      <c r="G22" s="192" t="str">
        <f>IF('levy page10'!$E$80&lt;&gt;0,'levy page10'!$E$80,"  ")</f>
        <v>  </v>
      </c>
      <c r="H22" s="58" t="str">
        <f>IF('levy page10'!E80&lt;&gt;0,ROUND(G22/$F$48*1000,3),"  ")</f>
        <v>  </v>
      </c>
    </row>
    <row r="23" spans="1:8" ht="15.75">
      <c r="A23" s="67" t="str">
        <f>IF(inputPrYr!$B25&gt;"  ",(inputPrYr!$B25),"  ")</f>
        <v>  </v>
      </c>
      <c r="B23" s="192" t="str">
        <f>IF('levy page11'!$C$33&gt;0,'levy page11'!$C$33,"  ")</f>
        <v>  </v>
      </c>
      <c r="C23" s="58" t="str">
        <f>IF(inputPrYr!D71&gt;0,inputPrYr!D71,"  ")</f>
        <v>  </v>
      </c>
      <c r="D23" s="192" t="str">
        <f>IF('levy page11'!$D$33&gt;0,'levy page11'!$D$33,"  ")</f>
        <v>  </v>
      </c>
      <c r="E23" s="58" t="str">
        <f>IF(inputOth!D28&gt;0,inputOth!D28,"  ")</f>
        <v>  </v>
      </c>
      <c r="F23" s="192" t="str">
        <f>IF('levy page11'!$E$33&gt;0,'levy page11'!$E$33,"  ")</f>
        <v>  </v>
      </c>
      <c r="G23" s="192" t="str">
        <f>IF('levy page11'!$E$40&lt;&gt;0,'levy page11'!$E$40,"  ")</f>
        <v>  </v>
      </c>
      <c r="H23" s="58" t="str">
        <f>IF('levy page11'!E40&lt;&gt;0,ROUND(G23/$F$48*1000,3),"  ")</f>
        <v>  </v>
      </c>
    </row>
    <row r="24" spans="1:8" ht="15.75">
      <c r="A24" s="67" t="str">
        <f>IF(inputPrYr!$B26&gt;"  ",(inputPrYr!$B26),"  ")</f>
        <v>  </v>
      </c>
      <c r="B24" s="192" t="str">
        <f>IF('levy page11'!$C$73&gt;0,'levy page11'!$C$73,"  ")</f>
        <v>  </v>
      </c>
      <c r="C24" s="58" t="str">
        <f>IF(inputPrYr!D72&gt;0,inputPrYr!D72,"  ")</f>
        <v>  </v>
      </c>
      <c r="D24" s="192" t="str">
        <f>IF('levy page11'!$D$73&gt;0,'levy page11'!$D$73,"  ")</f>
        <v>  </v>
      </c>
      <c r="E24" s="58" t="str">
        <f>IF(inputOth!D29&gt;0,inputOth!D29,"  ")</f>
        <v>  </v>
      </c>
      <c r="F24" s="192" t="str">
        <f>IF('levy page11'!$E$73&gt;0,'levy page11'!$E$73,"  ")</f>
        <v>  </v>
      </c>
      <c r="G24" s="192" t="str">
        <f>IF('levy page11'!$E$80&lt;&gt;0,'levy page11'!$E$80,"  ")</f>
        <v>  </v>
      </c>
      <c r="H24" s="58" t="str">
        <f>IF('levy page11'!E80&lt;&gt;0,ROUND(G24/$F$48*1000,3),"  ")</f>
        <v>  </v>
      </c>
    </row>
    <row r="25" spans="1:8" ht="15.75">
      <c r="A25" s="67" t="str">
        <f>IF(inputPrYr!$B27&gt;"  ",(inputPrYr!$B27),"  ")</f>
        <v>  </v>
      </c>
      <c r="B25" s="192" t="str">
        <f>IF('levy page12'!$C$33&gt;0,'levy page12'!$C$33,"  ")</f>
        <v>  </v>
      </c>
      <c r="C25" s="58" t="str">
        <f>IF(inputPrYr!D73&gt;0,inputPrYr!D73,"  ")</f>
        <v>  </v>
      </c>
      <c r="D25" s="192" t="str">
        <f>IF('levy page12'!$D$33&gt;0,'levy page12'!$D$33,"  ")</f>
        <v>  </v>
      </c>
      <c r="E25" s="58" t="str">
        <f>IF(inputOth!D30&gt;0,inputOth!D30,"  ")</f>
        <v>  </v>
      </c>
      <c r="F25" s="192" t="str">
        <f>IF('levy page12'!$E$33&gt;0,'levy page12'!$E$33,"  ")</f>
        <v>  </v>
      </c>
      <c r="G25" s="192" t="str">
        <f>IF('levy page12'!$E$40&lt;&gt;0,'levy page12'!$E$40,"  ")</f>
        <v>  </v>
      </c>
      <c r="H25" s="58" t="str">
        <f>IF('levy page12'!E40&lt;&gt;0,ROUND(G25/$F$48*1000,3),"  ")</f>
        <v>  </v>
      </c>
    </row>
    <row r="26" spans="1:8" ht="15.75">
      <c r="A26" s="67" t="str">
        <f>IF(inputPrYr!$B28&gt;"  ",(inputPrYr!$B28),"  ")</f>
        <v>  </v>
      </c>
      <c r="B26" s="192" t="str">
        <f>IF('levy page12'!$C$73&gt;0,'levy page12'!$C$73,"  ")</f>
        <v>  </v>
      </c>
      <c r="C26" s="58" t="str">
        <f>IF(inputPrYr!D74&gt;0,inputPrYr!D74,"  ")</f>
        <v>  </v>
      </c>
      <c r="D26" s="192" t="str">
        <f>IF('levy page12'!$D$73&gt;0,'levy page12'!$D$73,"  ")</f>
        <v>  </v>
      </c>
      <c r="E26" s="58" t="str">
        <f>IF(inputOth!D31&gt;0,inputOth!D31,"  ")</f>
        <v>  </v>
      </c>
      <c r="F26" s="192" t="str">
        <f>IF('levy page12'!$E$73&gt;0,'levy page12'!$E$73,"  ")</f>
        <v>  </v>
      </c>
      <c r="G26" s="192" t="str">
        <f>IF('levy page12'!$E$80&lt;&gt;0,'levy page12'!$E$80,"  ")</f>
        <v>  </v>
      </c>
      <c r="H26" s="58" t="str">
        <f>IF('levy page12'!E80&lt;&gt;0,ROUND(G26/$F$48*1000,3),"  ")</f>
        <v>  </v>
      </c>
    </row>
    <row r="27" spans="1:8" ht="15.75">
      <c r="A27" s="67" t="str">
        <f>IF(inputPrYr!$B29&gt;"  ",(inputPrYr!$B29),"  ")</f>
        <v>  </v>
      </c>
      <c r="B27" s="192" t="str">
        <f>IF('levy page13'!$C$33&gt;0,'levy page13'!$C$33,"  ")</f>
        <v>  </v>
      </c>
      <c r="C27" s="58" t="str">
        <f>IF(inputPrYr!D75&gt;0,inputPrYr!D75,"  ")</f>
        <v>  </v>
      </c>
      <c r="D27" s="192" t="str">
        <f>IF('levy page13'!$D$33&gt;0,'levy page13'!$D$33,"  ")</f>
        <v>  </v>
      </c>
      <c r="E27" s="58" t="str">
        <f>IF(inputOth!D32&gt;0,inputOth!D32,"  ")</f>
        <v>  </v>
      </c>
      <c r="F27" s="192" t="str">
        <f>IF('levy page13'!$E$33&gt;0,'levy page13'!$E$33,"  ")</f>
        <v>  </v>
      </c>
      <c r="G27" s="192" t="str">
        <f>IF('levy page13'!$E$40&lt;&gt;0,'levy page13'!$E$40,"  ")</f>
        <v>  </v>
      </c>
      <c r="H27" s="58" t="str">
        <f>IF('levy page13'!E40&lt;&gt;0,ROUND(G27/$F$48*1000,3),"  ")</f>
        <v>  </v>
      </c>
    </row>
    <row r="28" spans="1:8" ht="15.75">
      <c r="A28" s="67" t="str">
        <f>IF(inputPrYr!$B30&gt;"  ",(inputPrYr!$B30),"  ")</f>
        <v>  </v>
      </c>
      <c r="B28" s="192" t="str">
        <f>IF('levy page13'!$C$73&gt;0,'levy page13'!$C$73,"  ")</f>
        <v>  </v>
      </c>
      <c r="C28" s="58" t="str">
        <f>IF(inputPrYr!D76&gt;0,inputPrYr!D76,"  ")</f>
        <v>  </v>
      </c>
      <c r="D28" s="192" t="str">
        <f>IF('levy page13'!$D$73&gt;0,'levy page13'!$D$73,"  ")</f>
        <v>  </v>
      </c>
      <c r="E28" s="58" t="str">
        <f>IF(inputOth!D33&gt;0,inputOth!D33,"  ")</f>
        <v>  </v>
      </c>
      <c r="F28" s="192" t="str">
        <f>IF('levy page13'!$E$73&gt;0,'levy page13'!$E$73,"  ")</f>
        <v>  </v>
      </c>
      <c r="G28" s="192" t="str">
        <f>IF('levy page13'!$E$80&lt;&gt;0,'levy page13'!$E$80,"  ")</f>
        <v>  </v>
      </c>
      <c r="H28" s="58" t="str">
        <f>IF('levy page13'!E80&lt;&gt;0,ROUND(G28/$F$48*1000,3),"  ")</f>
        <v>  </v>
      </c>
    </row>
    <row r="29" spans="1:8" ht="15.75">
      <c r="A29" s="67" t="str">
        <f>IF(inputPrYr!$B34&gt;"  ",(inputPrYr!$B34),"  ")</f>
        <v>Special Highway</v>
      </c>
      <c r="B29" s="192">
        <f>IF('Sp Hiway'!$C$28&gt;0,'Sp Hiway'!$C$28,"  ")</f>
        <v>375508</v>
      </c>
      <c r="C29" s="47"/>
      <c r="D29" s="192">
        <f>IF('Sp Hiway'!$D$28&gt;0,'Sp Hiway'!$D$28,"  ")</f>
        <v>390878</v>
      </c>
      <c r="E29" s="47"/>
      <c r="F29" s="192">
        <f>IF('Sp Hiway'!$E$28&gt;0,'Sp Hiway'!$E$28,"  ")</f>
        <v>348886</v>
      </c>
      <c r="G29" s="192"/>
      <c r="H29" s="47"/>
    </row>
    <row r="30" spans="1:8" ht="15.75">
      <c r="A30" s="67" t="str">
        <f>IF(inputPrYr!$B35&gt;"  ",(inputPrYr!$B35),"  ")</f>
        <v>Special Alcohol</v>
      </c>
      <c r="B30" s="192">
        <f>IF('Sp Hiway'!$C$59&gt;0,'Sp Hiway'!$C$59,"  ")</f>
        <v>20972</v>
      </c>
      <c r="C30" s="47"/>
      <c r="D30" s="192">
        <f>IF('Sp Hiway'!$D$59&gt;0,'Sp Hiway'!$D$59,"  ")</f>
        <v>22844</v>
      </c>
      <c r="E30" s="47"/>
      <c r="F30" s="192">
        <f>IF('Sp Hiway'!$E$59&gt;0,'Sp Hiway'!$E$59,"  ")</f>
        <v>30275</v>
      </c>
      <c r="G30" s="192"/>
      <c r="H30" s="47"/>
    </row>
    <row r="31" spans="1:8" ht="15.75">
      <c r="A31" s="67" t="str">
        <f>IF(inputPrYr!$B36&gt;"  ",(inputPrYr!$B36),"  ")</f>
        <v>Special Parks &amp; Recreation</v>
      </c>
      <c r="B31" s="192">
        <f>IF(nolevypage15!$C$28&gt;0,nolevypage15!$C$28,"  ")</f>
        <v>24455</v>
      </c>
      <c r="C31" s="47"/>
      <c r="D31" s="192">
        <f>IF(nolevypage15!$D$28&gt;0,nolevypage15!$D$28,"  ")</f>
        <v>22844</v>
      </c>
      <c r="E31" s="47"/>
      <c r="F31" s="192">
        <f>IF(nolevypage15!$E$28&gt;0,nolevypage15!$E$28,"  ")</f>
        <v>30553</v>
      </c>
      <c r="G31" s="192"/>
      <c r="H31" s="47"/>
    </row>
    <row r="32" spans="1:13" ht="15.75">
      <c r="A32" s="67" t="str">
        <f>IF(inputPrYr!$B37&gt;"  ",(inputPrYr!$B37),"  ")</f>
        <v>Risk Management Reserve</v>
      </c>
      <c r="B32" s="192">
        <f>IF(nolevypage15!$C$59&gt;0,nolevypage15!$C$59,"  ")</f>
        <v>18368</v>
      </c>
      <c r="C32" s="47"/>
      <c r="D32" s="192">
        <f>IF(nolevypage15!$D$59&gt;0,nolevypage15!$D$59,"  ")</f>
        <v>15000</v>
      </c>
      <c r="E32" s="47"/>
      <c r="F32" s="192">
        <f>IF(nolevypage15!$E$59&gt;0,nolevypage15!$E$59,"  ")</f>
        <v>959661</v>
      </c>
      <c r="G32" s="192"/>
      <c r="H32" s="47"/>
      <c r="J32" s="801" t="str">
        <f>CONCATENATE("Estimated Value Of One Mill For ",H1,"")</f>
        <v>Estimated Value Of One Mill For 2014</v>
      </c>
      <c r="K32" s="802"/>
      <c r="L32" s="802"/>
      <c r="M32" s="803"/>
    </row>
    <row r="33" spans="1:13" ht="15.75">
      <c r="A33" s="67" t="str">
        <f>IF(inputPrYr!$B38&gt;"  ",(inputPrYr!$B38),"  ")</f>
        <v>Equipment Reserve</v>
      </c>
      <c r="B33" s="192">
        <f>IF(nolevypage16!$C$28&gt;0,nolevypage16!$C$28,"  ")</f>
        <v>537542</v>
      </c>
      <c r="C33" s="47"/>
      <c r="D33" s="192">
        <f>IF(nolevypage16!$D$28&gt;0,nolevypage16!$D$28,"  ")</f>
        <v>587545</v>
      </c>
      <c r="E33" s="47"/>
      <c r="F33" s="192">
        <f>IF(nolevypage16!$E$28&gt;0,nolevypage16!$E$28,"  ")</f>
        <v>1543938</v>
      </c>
      <c r="G33" s="192"/>
      <c r="H33" s="47"/>
      <c r="J33" s="495"/>
      <c r="K33" s="496"/>
      <c r="L33" s="496"/>
      <c r="M33" s="497"/>
    </row>
    <row r="34" spans="1:13" ht="15.75">
      <c r="A34" s="67" t="str">
        <f>IF(inputPrYr!$B39&gt;"  ",(inputPrYr!$B39),"  ")</f>
        <v>  </v>
      </c>
      <c r="B34" s="192" t="str">
        <f>IF(nolevypage16!$C$59&gt;0,nolevypage16!$C$59,"  ")</f>
        <v>  </v>
      </c>
      <c r="C34" s="47"/>
      <c r="D34" s="192" t="str">
        <f>IF(nolevypage16!$D$59&gt;0,nolevypage16!$D$59,"  ")</f>
        <v>  </v>
      </c>
      <c r="E34" s="47"/>
      <c r="F34" s="192" t="str">
        <f>IF(nolevypage16!$E$59&gt;0,nolevypage16!$E$59,"  ")</f>
        <v>  </v>
      </c>
      <c r="G34" s="192"/>
      <c r="H34" s="47"/>
      <c r="J34" s="498" t="s">
        <v>751</v>
      </c>
      <c r="K34" s="499"/>
      <c r="L34" s="499"/>
      <c r="M34" s="500">
        <f>ROUND(F48/1000,0)</f>
        <v>149862</v>
      </c>
    </row>
    <row r="35" spans="1:8" ht="15.75">
      <c r="A35" s="67" t="str">
        <f>IF(inputPrYr!$B40&gt;"  ",(inputPrYr!$B40),"  ")</f>
        <v>  </v>
      </c>
      <c r="B35" s="192" t="str">
        <f>IF(nolevypage17!$C$28&gt;0,nolevypage17!$C$28,"  ")</f>
        <v>  </v>
      </c>
      <c r="C35" s="47"/>
      <c r="D35" s="192" t="str">
        <f>IF(nolevypage17!$D$28&gt;0,nolevypage17!$D$28,"  ")</f>
        <v>  </v>
      </c>
      <c r="E35" s="47"/>
      <c r="F35" s="192" t="str">
        <f>IF(nolevypage17!$E$28&gt;0,nolevypage17!$E$28,"  ")</f>
        <v>  </v>
      </c>
      <c r="G35" s="192"/>
      <c r="H35" s="47"/>
    </row>
    <row r="36" spans="1:13" ht="15.75">
      <c r="A36" s="67" t="str">
        <f>IF(inputPrYr!$B41&gt;"  ",(inputPrYr!$B41),"  ")</f>
        <v>  </v>
      </c>
      <c r="B36" s="192" t="str">
        <f>IF(nolevypage17!$C$60&gt;0,nolevypage17!$C$60,"  ")</f>
        <v>  </v>
      </c>
      <c r="C36" s="47"/>
      <c r="D36" s="192" t="str">
        <f>IF(nolevypage17!$D$60&gt;0,nolevypage17!$D$60,"  ")</f>
        <v>  </v>
      </c>
      <c r="E36" s="47"/>
      <c r="F36" s="192" t="str">
        <f>IF(nolevypage17!$E$60&gt;0,nolevypage17!$E$60,"  ")</f>
        <v>  </v>
      </c>
      <c r="G36" s="192"/>
      <c r="H36" s="47"/>
      <c r="J36" s="801" t="str">
        <f>CONCATENATE("Want The Mill Rate The Same As For ",H1-1,"?")</f>
        <v>Want The Mill Rate The Same As For 2013?</v>
      </c>
      <c r="K36" s="802"/>
      <c r="L36" s="802"/>
      <c r="M36" s="803"/>
    </row>
    <row r="37" spans="1:13" ht="15.75">
      <c r="A37" s="67" t="str">
        <f>IF(inputPrYr!$B44&gt;"  ",(inputPrYr!$B44),"  ")</f>
        <v>Transient Guest Tax</v>
      </c>
      <c r="B37" s="192">
        <f>IF(SinNoLevy18!$C$47&gt;0,SinNoLevy18!$C$47,"  ")</f>
        <v>274574</v>
      </c>
      <c r="C37" s="47"/>
      <c r="D37" s="192">
        <f>IF(SinNoLevy18!$D$47&gt;0,SinNoLevy18!$D$47,"  ")</f>
        <v>484953</v>
      </c>
      <c r="E37" s="47"/>
      <c r="F37" s="192">
        <f>IF(SinNoLevy18!$E$47&gt;0,SinNoLevy18!$E$47,"  ")</f>
        <v>705366</v>
      </c>
      <c r="G37" s="192"/>
      <c r="H37" s="47"/>
      <c r="J37" s="502"/>
      <c r="K37" s="496"/>
      <c r="L37" s="496"/>
      <c r="M37" s="503"/>
    </row>
    <row r="38" spans="1:13" ht="15.75">
      <c r="A38" s="67" t="str">
        <f>IF(inputPrYr!$B45&gt;"  ",(inputPrYr!$B45),"  ")</f>
        <v>Capital Improvement</v>
      </c>
      <c r="B38" s="192">
        <f>IF(SinNoLevy19!$C$47&gt;0,SinNoLevy19!$C$47,"  ")</f>
        <v>4743759</v>
      </c>
      <c r="C38" s="47"/>
      <c r="D38" s="192">
        <f>IF(SinNoLevy19!$D$47&gt;0,SinNoLevy19!$D$47,"  ")</f>
        <v>9737066</v>
      </c>
      <c r="E38" s="47"/>
      <c r="F38" s="192">
        <f>IF(SinNoLevy19!$E$47&gt;0,SinNoLevy19!$E$47,"  ")</f>
        <v>20224066</v>
      </c>
      <c r="G38" s="192"/>
      <c r="H38" s="47"/>
      <c r="J38" s="502" t="str">
        <f>CONCATENATE("",H1-1," Mill Rate Was:")</f>
        <v>2013 Mill Rate Was:</v>
      </c>
      <c r="K38" s="496"/>
      <c r="L38" s="496"/>
      <c r="M38" s="504">
        <f>E43</f>
        <v>27.522000000000002</v>
      </c>
    </row>
    <row r="39" spans="1:13" ht="15.75">
      <c r="A39" s="67" t="str">
        <f>IF(inputPrYr!$B46&gt;"  ",(inputPrYr!$B46),"  ")</f>
        <v>  </v>
      </c>
      <c r="B39" s="192" t="str">
        <f>IF(SinNoLevy20!$C$47&gt;0,SinNoLevy20!$C$47,"  ")</f>
        <v>  </v>
      </c>
      <c r="C39" s="47"/>
      <c r="D39" s="192" t="str">
        <f>IF(SinNoLevy20!$D$47&gt;0,SinNoLevy20!$D$47,"  ")</f>
        <v>  </v>
      </c>
      <c r="E39" s="47"/>
      <c r="F39" s="192" t="str">
        <f>IF(SinNoLevy20!$E$47&gt;0,SinNoLevy20!$E$47,"  ")</f>
        <v>  </v>
      </c>
      <c r="G39" s="192"/>
      <c r="H39" s="47"/>
      <c r="J39" s="505" t="str">
        <f>CONCATENATE("",H1," Tax Levy Fund Expenditures Must Be")</f>
        <v>2014 Tax Levy Fund Expenditures Must Be</v>
      </c>
      <c r="K39" s="506"/>
      <c r="L39" s="506"/>
      <c r="M39" s="503"/>
    </row>
    <row r="40" spans="1:13" ht="15.75">
      <c r="A40" s="67" t="str">
        <f>IF(inputPrYr!$B47&gt;"  ",(inputPrYr!$B47),"  ")</f>
        <v>  </v>
      </c>
      <c r="B40" s="192" t="str">
        <f>IF(SinNoLevy21!$C$47&gt;0,SinNoLevy21!$C$47,"  ")</f>
        <v>  </v>
      </c>
      <c r="C40" s="47"/>
      <c r="D40" s="192" t="str">
        <f>IF(SinNoLevy21!$D$47&gt;0,SinNoLevy21!$D$47,"  ")</f>
        <v>  </v>
      </c>
      <c r="E40" s="47"/>
      <c r="F40" s="192" t="str">
        <f>IF(SinNoLevy21!$E$47&gt;0,SinNoLevy21!$E$47,"  ")</f>
        <v>  </v>
      </c>
      <c r="G40" s="192"/>
      <c r="H40" s="47"/>
      <c r="J40" s="505">
        <f>IF(M40&gt;0,"Increased By:","")</f>
      </c>
      <c r="K40" s="506"/>
      <c r="L40" s="506"/>
      <c r="M40" s="546">
        <f>IF(M47&lt;0,M47*-1,0)</f>
        <v>0</v>
      </c>
    </row>
    <row r="41" spans="1:13" ht="15.75">
      <c r="A41" s="67" t="str">
        <f>IF(inputPrYr!$B51&gt;" ",(NonBudA!$A3),"  ")</f>
        <v>Non-Budgeted Funds-A</v>
      </c>
      <c r="B41" s="192">
        <f>IF(NonBudA!$K$28&gt;0,NonBudA!$K$28,"  ")</f>
        <v>3118691</v>
      </c>
      <c r="C41" s="47"/>
      <c r="D41" s="192"/>
      <c r="E41" s="47"/>
      <c r="F41" s="192"/>
      <c r="G41" s="192"/>
      <c r="H41" s="47"/>
      <c r="J41" s="547" t="str">
        <f>IF(M41&lt;0,"Reduced By:","")</f>
        <v>Reduced By:</v>
      </c>
      <c r="K41" s="548"/>
      <c r="L41" s="548"/>
      <c r="M41" s="549">
        <f>IF(M47&gt;0,M47*-1,0)</f>
        <v>-1</v>
      </c>
    </row>
    <row r="42" spans="1:13" ht="15.75">
      <c r="A42" s="67" t="str">
        <f>IF(inputPrYr!$B57&gt;" ",(NonBudB!$A3),"  ")</f>
        <v>  </v>
      </c>
      <c r="B42" s="414" t="str">
        <f>IF(NonBudB!$K$28&gt;0,NonBudB!$K$28,"  ")</f>
        <v>  </v>
      </c>
      <c r="C42" s="132"/>
      <c r="D42" s="414"/>
      <c r="E42" s="132"/>
      <c r="F42" s="414"/>
      <c r="G42" s="414"/>
      <c r="H42" s="132"/>
      <c r="J42" s="509"/>
      <c r="K42" s="509"/>
      <c r="L42" s="509"/>
      <c r="M42" s="509"/>
    </row>
    <row r="43" spans="1:13" ht="15.75">
      <c r="A43" s="123" t="s">
        <v>759</v>
      </c>
      <c r="B43" s="380">
        <f>SUM(B16:B42)</f>
        <v>26032091</v>
      </c>
      <c r="C43" s="384">
        <f>SUM(C16:C28)</f>
        <v>27.412000000000003</v>
      </c>
      <c r="D43" s="380">
        <f>SUM(D16:D42)</f>
        <v>29681622</v>
      </c>
      <c r="E43" s="384">
        <f>SUM(E16:E28)</f>
        <v>27.522000000000002</v>
      </c>
      <c r="F43" s="380">
        <f>SUM(F16:F42)</f>
        <v>44315925</v>
      </c>
      <c r="G43" s="380">
        <f>SUM(G16:G42)</f>
        <v>4124507</v>
      </c>
      <c r="H43" s="407">
        <f>SUM(H16:H28)</f>
        <v>27.522000000000002</v>
      </c>
      <c r="J43" s="801" t="str">
        <f>CONCATENATE("Impact On Keeping The Same Mill Rate As For ",H1-1,"")</f>
        <v>Impact On Keeping The Same Mill Rate As For 2013</v>
      </c>
      <c r="K43" s="806"/>
      <c r="L43" s="806"/>
      <c r="M43" s="807"/>
    </row>
    <row r="44" spans="1:13" ht="15.75">
      <c r="A44" s="28" t="s">
        <v>51</v>
      </c>
      <c r="B44" s="413">
        <f>transfers!C28</f>
        <v>5591378</v>
      </c>
      <c r="C44" s="518"/>
      <c r="D44" s="413">
        <f>transfers!D28</f>
        <v>5924127</v>
      </c>
      <c r="E44" s="518"/>
      <c r="F44" s="413">
        <f>transfers!E28</f>
        <v>4878145</v>
      </c>
      <c r="G44" s="57"/>
      <c r="H44" s="51"/>
      <c r="I44" s="493"/>
      <c r="J44" s="502"/>
      <c r="K44" s="496"/>
      <c r="L44" s="496"/>
      <c r="M44" s="503"/>
    </row>
    <row r="45" spans="1:13" ht="16.5" thickBot="1">
      <c r="A45" s="28" t="s">
        <v>52</v>
      </c>
      <c r="B45" s="381">
        <f>B43-B44</f>
        <v>20440713</v>
      </c>
      <c r="C45" s="21"/>
      <c r="D45" s="381">
        <f>D43-D44</f>
        <v>23757495</v>
      </c>
      <c r="E45" s="21"/>
      <c r="F45" s="381">
        <f>F43-F44</f>
        <v>39437780</v>
      </c>
      <c r="G45" s="21"/>
      <c r="H45" s="21"/>
      <c r="J45" s="502" t="str">
        <f>CONCATENATE("",H1," Ad Valorem Tax Revenue:")</f>
        <v>2014 Ad Valorem Tax Revenue:</v>
      </c>
      <c r="K45" s="496"/>
      <c r="L45" s="496"/>
      <c r="M45" s="497">
        <f>G43</f>
        <v>4124507</v>
      </c>
    </row>
    <row r="46" spans="1:13" ht="16.5" thickTop="1">
      <c r="A46" s="28" t="s">
        <v>53</v>
      </c>
      <c r="B46" s="413">
        <f>inputPrYr!E79</f>
        <v>4012539</v>
      </c>
      <c r="C46" s="150"/>
      <c r="D46" s="413">
        <f>inputPrYr!E31</f>
        <v>3988384</v>
      </c>
      <c r="E46" s="150"/>
      <c r="F46" s="304" t="s">
        <v>13</v>
      </c>
      <c r="G46" s="21"/>
      <c r="H46" s="21"/>
      <c r="J46" s="502" t="str">
        <f>CONCATENATE("",H1-1," Ad Valorem Tax Revenue:")</f>
        <v>2013 Ad Valorem Tax Revenue:</v>
      </c>
      <c r="K46" s="496"/>
      <c r="L46" s="496"/>
      <c r="M46" s="510">
        <f>ROUND(F48*M38/1000,0)</f>
        <v>4124506</v>
      </c>
    </row>
    <row r="47" spans="1:13" ht="15.75">
      <c r="A47" s="28" t="s">
        <v>54</v>
      </c>
      <c r="B47" s="414"/>
      <c r="C47" s="21"/>
      <c r="D47" s="414"/>
      <c r="E47" s="168"/>
      <c r="F47" s="132"/>
      <c r="G47" s="21"/>
      <c r="H47" s="21"/>
      <c r="J47" s="507" t="s">
        <v>752</v>
      </c>
      <c r="K47" s="508"/>
      <c r="L47" s="508"/>
      <c r="M47" s="500">
        <f>SUM(M45-M46)</f>
        <v>1</v>
      </c>
    </row>
    <row r="48" spans="1:13" ht="15.75">
      <c r="A48" s="28" t="s">
        <v>55</v>
      </c>
      <c r="B48" s="413">
        <f>inputPrYr!E80</f>
        <v>146228815</v>
      </c>
      <c r="C48" s="59"/>
      <c r="D48" s="413">
        <f>inputOth!E36</f>
        <v>144859898</v>
      </c>
      <c r="E48" s="59"/>
      <c r="F48" s="413">
        <f>inputOth!E7</f>
        <v>149862149</v>
      </c>
      <c r="G48" s="21"/>
      <c r="H48" s="21"/>
      <c r="J48" s="501"/>
      <c r="K48" s="501"/>
      <c r="L48" s="501"/>
      <c r="M48" s="509"/>
    </row>
    <row r="49" spans="1:13" ht="15.75">
      <c r="A49" s="28" t="s">
        <v>56</v>
      </c>
      <c r="B49" s="21"/>
      <c r="C49" s="21"/>
      <c r="D49" s="21"/>
      <c r="E49" s="21"/>
      <c r="F49" s="21"/>
      <c r="G49" s="21"/>
      <c r="H49" s="21"/>
      <c r="J49" s="801" t="s">
        <v>753</v>
      </c>
      <c r="K49" s="804"/>
      <c r="L49" s="804"/>
      <c r="M49" s="805"/>
    </row>
    <row r="50" spans="1:13" ht="15.75">
      <c r="A50" s="28" t="s">
        <v>57</v>
      </c>
      <c r="B50" s="305">
        <f>$H$1-3</f>
        <v>2011</v>
      </c>
      <c r="C50" s="21"/>
      <c r="D50" s="305">
        <f>$H$1-2</f>
        <v>2012</v>
      </c>
      <c r="E50" s="21"/>
      <c r="F50" s="305">
        <f>$H$1-1</f>
        <v>2013</v>
      </c>
      <c r="G50" s="21"/>
      <c r="H50" s="21"/>
      <c r="J50" s="502"/>
      <c r="K50" s="496"/>
      <c r="L50" s="496"/>
      <c r="M50" s="503"/>
    </row>
    <row r="51" spans="1:13" ht="15.75">
      <c r="A51" s="28" t="s">
        <v>58</v>
      </c>
      <c r="B51" s="182">
        <f>inputPrYr!D83</f>
        <v>15830000</v>
      </c>
      <c r="C51" s="21"/>
      <c r="D51" s="182">
        <f>inputPrYr!E83</f>
        <v>13140000</v>
      </c>
      <c r="E51" s="21"/>
      <c r="F51" s="182">
        <f>debt!G20</f>
        <v>10525000</v>
      </c>
      <c r="G51" s="21"/>
      <c r="H51" s="21"/>
      <c r="J51" s="502" t="str">
        <f>CONCATENATE("Current ",H1," Estimated Mill Rate:")</f>
        <v>Current 2014 Estimated Mill Rate:</v>
      </c>
      <c r="K51" s="496"/>
      <c r="L51" s="496"/>
      <c r="M51" s="504">
        <f>H43</f>
        <v>27.522000000000002</v>
      </c>
    </row>
    <row r="52" spans="1:13" ht="15.75">
      <c r="A52" s="28" t="s">
        <v>59</v>
      </c>
      <c r="B52" s="182">
        <f>inputPrYr!D84</f>
        <v>7388972</v>
      </c>
      <c r="C52" s="21"/>
      <c r="D52" s="182">
        <f>inputPrYr!E84</f>
        <v>6088972</v>
      </c>
      <c r="E52" s="21"/>
      <c r="F52" s="182">
        <f>debt!G32</f>
        <v>2399395</v>
      </c>
      <c r="G52" s="21"/>
      <c r="H52" s="21"/>
      <c r="J52" s="502" t="str">
        <f>CONCATENATE("Desired ",H1," Mill Rate:")</f>
        <v>Desired 2014 Mill Rate:</v>
      </c>
      <c r="K52" s="496"/>
      <c r="L52" s="496"/>
      <c r="M52" s="494">
        <v>0</v>
      </c>
    </row>
    <row r="53" spans="1:13" ht="15.75">
      <c r="A53" s="21" t="s">
        <v>77</v>
      </c>
      <c r="B53" s="182">
        <f>inputPrYr!D85</f>
        <v>0</v>
      </c>
      <c r="C53" s="21"/>
      <c r="D53" s="182">
        <f>inputPrYr!E85</f>
        <v>0</v>
      </c>
      <c r="E53" s="21"/>
      <c r="F53" s="182">
        <f>debt!G42</f>
        <v>0</v>
      </c>
      <c r="G53" s="21"/>
      <c r="H53" s="21"/>
      <c r="J53" s="502" t="s">
        <v>754</v>
      </c>
      <c r="K53" s="496"/>
      <c r="L53" s="496"/>
      <c r="M53" s="510">
        <f>ROUND(F48*M52/1000,0)</f>
        <v>0</v>
      </c>
    </row>
    <row r="54" spans="1:13" ht="15.75">
      <c r="A54" s="28" t="s">
        <v>154</v>
      </c>
      <c r="B54" s="182">
        <f>inputPrYr!D86</f>
        <v>0</v>
      </c>
      <c r="C54" s="21"/>
      <c r="D54" s="182">
        <f>inputPrYr!E86</f>
        <v>0</v>
      </c>
      <c r="E54" s="21"/>
      <c r="F54" s="182">
        <f>lpform!G28</f>
        <v>0</v>
      </c>
      <c r="G54" s="21"/>
      <c r="H54" s="21"/>
      <c r="J54" s="507" t="str">
        <f>CONCATENATE("",H1," Tax Levy Fund Exp. Changed By:")</f>
        <v>2014 Tax Levy Fund Exp. Changed By:</v>
      </c>
      <c r="K54" s="508"/>
      <c r="L54" s="508"/>
      <c r="M54" s="500">
        <f>IF(M52=0,0,(M53-G43))</f>
        <v>0</v>
      </c>
    </row>
    <row r="55" spans="1:8" ht="16.5" thickBot="1">
      <c r="A55" s="28" t="s">
        <v>60</v>
      </c>
      <c r="B55" s="511">
        <f>SUM(B51:B54)</f>
        <v>23218972</v>
      </c>
      <c r="C55" s="21"/>
      <c r="D55" s="511">
        <f>SUM(D51:D54)</f>
        <v>19228972</v>
      </c>
      <c r="E55" s="21"/>
      <c r="F55" s="511">
        <f>SUM(F51:F54)</f>
        <v>12924395</v>
      </c>
      <c r="G55" s="21"/>
      <c r="H55" s="21"/>
    </row>
    <row r="56" spans="1:8" ht="16.5" thickTop="1">
      <c r="A56" s="28" t="s">
        <v>61</v>
      </c>
      <c r="B56" s="21"/>
      <c r="C56" s="21"/>
      <c r="D56" s="21"/>
      <c r="E56" s="21"/>
      <c r="F56" s="21"/>
      <c r="G56" s="21"/>
      <c r="H56" s="21"/>
    </row>
    <row r="57" spans="1:8" ht="15.75">
      <c r="A57" s="21"/>
      <c r="B57" s="21"/>
      <c r="C57" s="21"/>
      <c r="D57" s="21"/>
      <c r="E57" s="21"/>
      <c r="F57" s="21"/>
      <c r="G57" s="21"/>
      <c r="H57" s="21"/>
    </row>
    <row r="58" spans="1:8" ht="15.75">
      <c r="A58" s="808" t="str">
        <f>inputBudSum!B3</f>
        <v>Juliana Pinnick</v>
      </c>
      <c r="B58" s="809"/>
      <c r="C58" s="21"/>
      <c r="D58" s="21"/>
      <c r="E58" s="21"/>
      <c r="F58" s="21"/>
      <c r="G58" s="21"/>
      <c r="H58" s="21"/>
    </row>
    <row r="59" spans="1:8" ht="15.75">
      <c r="A59" s="146" t="s">
        <v>215</v>
      </c>
      <c r="B59" s="673" t="str">
        <f>inputBudSum!B5</f>
        <v>City Clerk</v>
      </c>
      <c r="C59" s="388"/>
      <c r="D59" s="21"/>
      <c r="E59" s="21"/>
      <c r="F59" s="21"/>
      <c r="G59" s="21"/>
      <c r="H59" s="21"/>
    </row>
    <row r="60" spans="1:8" ht="15.75">
      <c r="A60" s="21"/>
      <c r="B60" s="21"/>
      <c r="C60" s="21"/>
      <c r="D60" s="21"/>
      <c r="E60" s="21"/>
      <c r="F60" s="21"/>
      <c r="G60" s="21"/>
      <c r="H60" s="21"/>
    </row>
    <row r="61" spans="1:8" ht="15.75">
      <c r="A61" s="21"/>
      <c r="B61" s="21"/>
      <c r="C61" s="118" t="s">
        <v>35</v>
      </c>
      <c r="D61" s="249">
        <v>15</v>
      </c>
      <c r="E61" s="21"/>
      <c r="F61" s="21"/>
      <c r="G61" s="21"/>
      <c r="H61" s="21"/>
    </row>
  </sheetData>
  <sheetProtection sheet="1"/>
  <mergeCells count="11">
    <mergeCell ref="A2:H2"/>
    <mergeCell ref="A5:H5"/>
    <mergeCell ref="A7:H7"/>
    <mergeCell ref="A8:H8"/>
    <mergeCell ref="A4:H4"/>
    <mergeCell ref="A6:H6"/>
    <mergeCell ref="J32:M32"/>
    <mergeCell ref="J36:M36"/>
    <mergeCell ref="J49:M49"/>
    <mergeCell ref="J43:M43"/>
    <mergeCell ref="A58:B58"/>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6.xml><?xml version="1.0" encoding="utf-8"?>
<worksheet xmlns="http://schemas.openxmlformats.org/spreadsheetml/2006/main" xmlns:r="http://schemas.openxmlformats.org/officeDocument/2006/relationships">
  <sheetPr>
    <pageSetUpPr fitToPage="1"/>
  </sheetPr>
  <dimension ref="B1:G92"/>
  <sheetViews>
    <sheetView tabSelected="1" zoomScalePageLayoutView="0" workbookViewId="0" topLeftCell="A8">
      <selection activeCell="D61" sqref="D61"/>
    </sheetView>
  </sheetViews>
  <sheetFormatPr defaultColWidth="8.796875" defaultRowHeight="15"/>
  <cols>
    <col min="1" max="1" width="8.8984375" style="82" customWidth="1"/>
    <col min="2" max="2" width="24.3984375" style="22" customWidth="1"/>
    <col min="3" max="3" width="10.796875" style="22" customWidth="1"/>
    <col min="4" max="4" width="5.796875" style="22" customWidth="1"/>
    <col min="5" max="5" width="14" style="22" customWidth="1"/>
    <col min="6" max="7" width="13.796875" style="22" customWidth="1"/>
    <col min="8" max="16384" width="8.8984375" style="82" customWidth="1"/>
  </cols>
  <sheetData>
    <row r="1" spans="2:7" ht="15.75">
      <c r="B1" s="21"/>
      <c r="C1" s="21"/>
      <c r="D1" s="21"/>
      <c r="E1" s="21"/>
      <c r="F1" s="21"/>
      <c r="G1" s="21">
        <f>inputPrYr!C5</f>
        <v>2014</v>
      </c>
    </row>
    <row r="2" spans="2:7" ht="15.75">
      <c r="B2" s="21"/>
      <c r="C2" s="21"/>
      <c r="D2" s="23" t="s">
        <v>87</v>
      </c>
      <c r="E2" s="21"/>
      <c r="F2" s="21"/>
      <c r="G2" s="118"/>
    </row>
    <row r="3" spans="2:7" ht="15.75">
      <c r="B3" s="812" t="str">
        <f>CONCATENATE("To the Clerk of ",inputPrYr!D3,", State of Kansas")</f>
        <v>To the Clerk of Johnson County, State of Kansas</v>
      </c>
      <c r="C3" s="792"/>
      <c r="D3" s="792"/>
      <c r="E3" s="792"/>
      <c r="F3" s="792"/>
      <c r="G3" s="792"/>
    </row>
    <row r="4" spans="2:7" ht="15.75">
      <c r="B4" s="33" t="s">
        <v>629</v>
      </c>
      <c r="C4" s="32"/>
      <c r="D4" s="32"/>
      <c r="E4" s="32"/>
      <c r="F4" s="32"/>
      <c r="G4" s="32"/>
    </row>
    <row r="5" spans="2:7" ht="15.75">
      <c r="B5" s="811" t="str">
        <f>(inputPrYr!D2)</f>
        <v>City of Merriam</v>
      </c>
      <c r="C5" s="814"/>
      <c r="D5" s="814"/>
      <c r="E5" s="814"/>
      <c r="F5" s="814"/>
      <c r="G5" s="814"/>
    </row>
    <row r="6" spans="2:7" ht="15.75">
      <c r="B6" s="33" t="s">
        <v>339</v>
      </c>
      <c r="C6" s="32"/>
      <c r="D6" s="32"/>
      <c r="E6" s="32"/>
      <c r="F6" s="32"/>
      <c r="G6" s="32"/>
    </row>
    <row r="7" spans="2:7" ht="15.75">
      <c r="B7" s="33" t="s">
        <v>0</v>
      </c>
      <c r="C7" s="32"/>
      <c r="D7" s="32"/>
      <c r="E7" s="32"/>
      <c r="F7" s="32"/>
      <c r="G7" s="32"/>
    </row>
    <row r="8" spans="2:7" ht="15.75">
      <c r="B8" s="33" t="str">
        <f>CONCATENATE("maximum expenditures for the various funds for the year ",G1,"; and")</f>
        <v>maximum expenditures for the various funds for the year 2014; and</v>
      </c>
      <c r="C8" s="32"/>
      <c r="D8" s="32"/>
      <c r="E8" s="32"/>
      <c r="F8" s="32"/>
      <c r="G8" s="32"/>
    </row>
    <row r="9" spans="2:7" ht="15.75">
      <c r="B9" s="33" t="str">
        <f>CONCATENATE("(3) the Amount(s) of ",G1-1," Ad Valorem Tax are within statutory limitations.")</f>
        <v>(3) the Amount(s) of 2013 Ad Valorem Tax are within statutory limitations.</v>
      </c>
      <c r="C9" s="32"/>
      <c r="D9" s="32"/>
      <c r="E9" s="32"/>
      <c r="F9" s="32"/>
      <c r="G9" s="32"/>
    </row>
    <row r="10" spans="2:7" ht="15.75">
      <c r="B10" s="21"/>
      <c r="C10" s="21"/>
      <c r="D10" s="21"/>
      <c r="E10" s="119" t="str">
        <f>CONCATENATE("",G1," Adopted Budget")</f>
        <v>2014 Adopted Budget</v>
      </c>
      <c r="F10" s="120"/>
      <c r="G10" s="121"/>
    </row>
    <row r="11" spans="2:7" ht="21" customHeight="1">
      <c r="B11" s="21"/>
      <c r="C11" s="21"/>
      <c r="D11" s="122"/>
      <c r="E11" s="123" t="s">
        <v>1</v>
      </c>
      <c r="F11" s="124" t="s">
        <v>184</v>
      </c>
      <c r="G11" s="124" t="s">
        <v>2</v>
      </c>
    </row>
    <row r="12" spans="2:7" ht="15.75">
      <c r="B12" s="28"/>
      <c r="C12" s="21"/>
      <c r="D12" s="124" t="s">
        <v>3</v>
      </c>
      <c r="E12" s="125" t="s">
        <v>268</v>
      </c>
      <c r="F12" s="126" t="str">
        <f>CONCATENATE("",G1-1," Ad")</f>
        <v>2013 Ad</v>
      </c>
      <c r="G12" s="125" t="s">
        <v>4</v>
      </c>
    </row>
    <row r="13" spans="2:7" ht="15.75">
      <c r="B13" s="127" t="s">
        <v>5</v>
      </c>
      <c r="C13" s="54"/>
      <c r="D13" s="128" t="s">
        <v>6</v>
      </c>
      <c r="E13" s="128" t="s">
        <v>637</v>
      </c>
      <c r="F13" s="129" t="s">
        <v>185</v>
      </c>
      <c r="G13" s="128" t="s">
        <v>7</v>
      </c>
    </row>
    <row r="14" spans="2:7" ht="15.75">
      <c r="B14" s="130" t="str">
        <f>CONCATENATE("Computation to Determine Limit for ",G1,"")</f>
        <v>Computation to Determine Limit for 2014</v>
      </c>
      <c r="C14" s="76"/>
      <c r="D14" s="131">
        <v>2</v>
      </c>
      <c r="E14" s="132"/>
      <c r="F14" s="132"/>
      <c r="G14" s="132"/>
    </row>
    <row r="15" spans="2:7" ht="15.75">
      <c r="B15" s="130" t="s">
        <v>810</v>
      </c>
      <c r="C15" s="54"/>
      <c r="D15" s="128">
        <v>3</v>
      </c>
      <c r="E15" s="125"/>
      <c r="F15" s="125"/>
      <c r="G15" s="125"/>
    </row>
    <row r="16" spans="2:7" ht="15.75">
      <c r="B16" s="130" t="s">
        <v>151</v>
      </c>
      <c r="C16" s="54"/>
      <c r="D16" s="128">
        <v>4</v>
      </c>
      <c r="E16" s="125"/>
      <c r="F16" s="125"/>
      <c r="G16" s="125"/>
    </row>
    <row r="17" spans="2:7" ht="15.75">
      <c r="B17" s="130" t="s">
        <v>8</v>
      </c>
      <c r="C17" s="76"/>
      <c r="D17" s="131">
        <v>5</v>
      </c>
      <c r="E17" s="133"/>
      <c r="F17" s="133"/>
      <c r="G17" s="133"/>
    </row>
    <row r="18" spans="2:7" ht="15.75">
      <c r="B18" s="130" t="s">
        <v>9</v>
      </c>
      <c r="C18" s="76"/>
      <c r="D18" s="131">
        <v>6</v>
      </c>
      <c r="E18" s="133"/>
      <c r="F18" s="133"/>
      <c r="G18" s="133"/>
    </row>
    <row r="19" spans="2:7" ht="15.75">
      <c r="B19" s="141">
        <f>IF(inputPrYr!D19="","","Computation to Determine State Library Grant")</f>
      </c>
      <c r="C19" s="76"/>
      <c r="D19" s="139">
        <f>IF(inputPrYr!D19="","",'Library Grant '!F40)</f>
      </c>
      <c r="E19" s="133"/>
      <c r="F19" s="133"/>
      <c r="G19" s="133"/>
    </row>
    <row r="20" spans="2:7" ht="15.75">
      <c r="B20" s="134" t="s">
        <v>10</v>
      </c>
      <c r="C20" s="135" t="s">
        <v>11</v>
      </c>
      <c r="D20" s="136"/>
      <c r="E20" s="68"/>
      <c r="F20" s="68"/>
      <c r="G20" s="68"/>
    </row>
    <row r="21" spans="2:7" ht="15.75">
      <c r="B21" s="46" t="str">
        <f>inputPrYr!B17</f>
        <v>General</v>
      </c>
      <c r="C21" s="137" t="str">
        <f>IF(inputPrYr!C17&gt;0,(inputPrYr!C17),"  ")</f>
        <v>12-101a</v>
      </c>
      <c r="D21" s="131">
        <f>IF(general!D59&gt;0,general!D59,"")</f>
        <v>7</v>
      </c>
      <c r="E21" s="519">
        <f>IF(general!$E$111&lt;&gt;0,general!$E$111,"  ")</f>
        <v>18600375</v>
      </c>
      <c r="F21" s="560">
        <f>IF(general!$E$118&lt;&gt;0,general!$E$118,0)</f>
        <v>3768434</v>
      </c>
      <c r="G21" s="559">
        <f>IF($G$50=0,"",ROUND(F21/$G$50*1000,3))</f>
      </c>
    </row>
    <row r="22" spans="2:7" ht="15.75">
      <c r="B22" s="67" t="str">
        <f>IF(inputPrYr!$B18&gt;"  ",(inputPrYr!$B18),"  ")</f>
        <v>Debt Service</v>
      </c>
      <c r="C22" s="137" t="str">
        <f>IF(inputPrYr!C18&gt;0,(inputPrYr!C18),"  ")</f>
        <v>10-113</v>
      </c>
      <c r="D22" s="131">
        <f>IF('DebtSvs-Library'!C83=0,"",'DebtSvs-Library'!C83)</f>
        <v>8</v>
      </c>
      <c r="E22" s="519">
        <f>IF('DebtSvs-Library'!E33&lt;&gt;0,'DebtSvs-Library'!E33,"  ")</f>
        <v>1872805</v>
      </c>
      <c r="F22" s="560">
        <f>IF('DebtSvs-Library'!E40&lt;&gt;0,'DebtSvs-Library'!E40,0)</f>
        <v>356073</v>
      </c>
      <c r="G22" s="559">
        <f>IF($G$50=0,"",ROUND(F22/$G$50*1000,3))</f>
      </c>
    </row>
    <row r="23" spans="2:7" ht="15.75">
      <c r="B23" s="67" t="str">
        <f>IF(inputPrYr!$B19&gt;"  ",(inputPrYr!$B19),"  ")</f>
        <v>Library</v>
      </c>
      <c r="C23" s="137" t="str">
        <f>IF(inputPrYr!C19&gt;0,(inputPrYr!C19),"  ")</f>
        <v>12-1220</v>
      </c>
      <c r="D23" s="131">
        <f>IF('DebtSvs-Library'!C83=0,"",'DebtSvs-Library'!C83)</f>
        <v>8</v>
      </c>
      <c r="E23" s="519" t="str">
        <f>IF('DebtSvs-Library'!E73&lt;&gt;0,'DebtSvs-Library'!E73,"  ")</f>
        <v>  </v>
      </c>
      <c r="F23" s="560">
        <f>IF('DebtSvs-Library'!E80&lt;&gt;0,'DebtSvs-Library'!E80,0)</f>
        <v>0</v>
      </c>
      <c r="G23" s="559">
        <f>IF($G$50=0,"",ROUND(F23/$G$50*1000,3))</f>
      </c>
    </row>
    <row r="24" spans="2:7" ht="15.75">
      <c r="B24" s="67" t="str">
        <f>IF(inputPrYr!$B21&gt;"  ",(inputPrYr!$B21),"  ")</f>
        <v>  </v>
      </c>
      <c r="C24" s="137" t="str">
        <f>IF(inputPrYr!C21&gt;0,(inputPrYr!C21),"  ")</f>
        <v>  </v>
      </c>
      <c r="D24" s="131" t="str">
        <f>IF('levy page9'!C83&gt;0,'levy page9'!C83,"  ")</f>
        <v>  </v>
      </c>
      <c r="E24" s="519" t="str">
        <f>IF('levy page9'!$E$33&gt;0,'levy page9'!$E$33,"  ")</f>
        <v>  </v>
      </c>
      <c r="F24" s="560">
        <f>IF('levy page9'!$E$40&lt;&gt;0,'levy page9'!$E$40,0)</f>
        <v>0</v>
      </c>
      <c r="G24" s="559">
        <f aca="true" t="shared" si="0" ref="G24:G33">IF($G$50=0,"",ROUND(F24/$G$50*1000,3))</f>
      </c>
    </row>
    <row r="25" spans="2:7" ht="15.75">
      <c r="B25" s="67" t="str">
        <f>IF(inputPrYr!$B22&gt;"  ",(inputPrYr!$B22),"  ")</f>
        <v>  </v>
      </c>
      <c r="C25" s="137" t="str">
        <f>IF(inputPrYr!C22&gt;0,(inputPrYr!C22),"  ")</f>
        <v>  </v>
      </c>
      <c r="D25" s="131" t="str">
        <f>IF('levy page9'!C83&gt;0,'levy page9'!C83,"  ")</f>
        <v>  </v>
      </c>
      <c r="E25" s="519" t="str">
        <f>IF('levy page9'!$E$73&gt;0,'levy page9'!$E$73,"  ")</f>
        <v>  </v>
      </c>
      <c r="F25" s="560">
        <f>IF('levy page9'!$E$80&lt;&gt;0,'levy page9'!$E$80,0)</f>
        <v>0</v>
      </c>
      <c r="G25" s="559">
        <f t="shared" si="0"/>
      </c>
    </row>
    <row r="26" spans="2:7" ht="15.75">
      <c r="B26" s="67" t="str">
        <f>IF(inputPrYr!$B23&gt;"  ",(inputPrYr!$B23),"  ")</f>
        <v>  </v>
      </c>
      <c r="C26" s="137" t="str">
        <f>IF(inputPrYr!C23&gt;0,(inputPrYr!C23),"  ")</f>
        <v>  </v>
      </c>
      <c r="D26" s="131" t="str">
        <f>IF('levy page10'!C83&gt;0,'levy page10'!C83,"  ")</f>
        <v>  </v>
      </c>
      <c r="E26" s="519" t="str">
        <f>IF('levy page10'!$E$33&gt;0,'levy page10'!$E$33,"  ")</f>
        <v>  </v>
      </c>
      <c r="F26" s="560">
        <f>IF('levy page10'!$E$40&lt;&gt;0,'levy page10'!$E$40,0)</f>
        <v>0</v>
      </c>
      <c r="G26" s="559">
        <f t="shared" si="0"/>
      </c>
    </row>
    <row r="27" spans="2:7" ht="15.75">
      <c r="B27" s="67" t="str">
        <f>IF(inputPrYr!$B24&gt;"  ",(inputPrYr!$B24),"  ")</f>
        <v>  </v>
      </c>
      <c r="C27" s="137" t="str">
        <f>IF(inputPrYr!C24&gt;0,(inputPrYr!C24),"  ")</f>
        <v>  </v>
      </c>
      <c r="D27" s="131" t="str">
        <f>IF('levy page10'!C83&gt;0,'levy page10'!C83,"  ")</f>
        <v>  </v>
      </c>
      <c r="E27" s="519" t="str">
        <f>IF('levy page10'!$E$73&gt;0,'levy page10'!$E$73,"  ")</f>
        <v>  </v>
      </c>
      <c r="F27" s="560">
        <f>IF('levy page10'!$E$80&lt;&gt;0,'levy page10'!$E$80,0)</f>
        <v>0</v>
      </c>
      <c r="G27" s="559">
        <f t="shared" si="0"/>
      </c>
    </row>
    <row r="28" spans="2:7" ht="15.75">
      <c r="B28" s="67" t="str">
        <f>IF(inputPrYr!$B25&gt;"  ",(inputPrYr!$B25),"  ")</f>
        <v>  </v>
      </c>
      <c r="C28" s="137" t="str">
        <f>IF(inputPrYr!C25&gt;0,(inputPrYr!C25),"  ")</f>
        <v>  </v>
      </c>
      <c r="D28" s="131" t="str">
        <f>IF('levy page11'!C83&gt;0,'levy page11'!C83,"  ")</f>
        <v>  </v>
      </c>
      <c r="E28" s="519" t="str">
        <f>IF('levy page11'!$E$33&gt;0,'levy page11'!$E$33,"  ")</f>
        <v>  </v>
      </c>
      <c r="F28" s="560">
        <f>IF('levy page11'!$E$40&lt;&gt;0,'levy page11'!$E$40,0)</f>
        <v>0</v>
      </c>
      <c r="G28" s="559">
        <f t="shared" si="0"/>
      </c>
    </row>
    <row r="29" spans="2:7" ht="15.75">
      <c r="B29" s="67" t="str">
        <f>IF(inputPrYr!$B26&gt;"  ",(inputPrYr!$B26),"  ")</f>
        <v>  </v>
      </c>
      <c r="C29" s="137" t="str">
        <f>IF(inputPrYr!C26&gt;0,(inputPrYr!C26),"  ")</f>
        <v>  </v>
      </c>
      <c r="D29" s="131" t="str">
        <f>IF('levy page11'!C83&gt;0,'levy page11'!C83,"  ")</f>
        <v>  </v>
      </c>
      <c r="E29" s="519" t="str">
        <f>IF('levy page11'!$E$73&gt;0,'levy page11'!$E$73,"  ")</f>
        <v>  </v>
      </c>
      <c r="F29" s="560">
        <f>IF('levy page11'!$E$80&lt;&gt;0,'levy page11'!$E$80,0)</f>
        <v>0</v>
      </c>
      <c r="G29" s="559">
        <f t="shared" si="0"/>
      </c>
    </row>
    <row r="30" spans="2:7" ht="15.75">
      <c r="B30" s="67" t="str">
        <f>IF(inputPrYr!$B27&gt;"  ",(inputPrYr!$B27),"  ")</f>
        <v>  </v>
      </c>
      <c r="C30" s="137" t="str">
        <f>IF(inputPrYr!C27&gt;0,(inputPrYr!C27),"  ")</f>
        <v>  </v>
      </c>
      <c r="D30" s="131" t="str">
        <f>IF('levy page12'!C83&gt;0,'levy page12'!C83,"  ")</f>
        <v>  </v>
      </c>
      <c r="E30" s="519" t="str">
        <f>IF('levy page12'!$E$33&gt;0,'levy page12'!$E$33,"  ")</f>
        <v>  </v>
      </c>
      <c r="F30" s="560">
        <f>IF('levy page12'!$E$40&lt;&gt;0,'levy page12'!$E$40,0)</f>
        <v>0</v>
      </c>
      <c r="G30" s="559">
        <f t="shared" si="0"/>
      </c>
    </row>
    <row r="31" spans="2:7" ht="15.75">
      <c r="B31" s="67" t="str">
        <f>IF(inputPrYr!$B28&gt;"  ",(inputPrYr!$B28),"  ")</f>
        <v>  </v>
      </c>
      <c r="C31" s="137" t="str">
        <f>IF(inputPrYr!C28&gt;0,(inputPrYr!C28),"  ")</f>
        <v>  </v>
      </c>
      <c r="D31" s="131" t="str">
        <f>IF('levy page12'!C83&gt;0,'levy page12'!C83,"  ")</f>
        <v>  </v>
      </c>
      <c r="E31" s="519" t="str">
        <f>IF('levy page12'!$E$73&gt;0,'levy page12'!$E$73,"  ")</f>
        <v>  </v>
      </c>
      <c r="F31" s="560">
        <f>IF('levy page12'!$E$80&lt;&gt;0,'levy page12'!$E$80,0)</f>
        <v>0</v>
      </c>
      <c r="G31" s="559">
        <f t="shared" si="0"/>
      </c>
    </row>
    <row r="32" spans="2:7" ht="15.75">
      <c r="B32" s="67" t="str">
        <f>IF(inputPrYr!$B29&gt;"  ",(inputPrYr!$B29),"  ")</f>
        <v>  </v>
      </c>
      <c r="C32" s="137" t="str">
        <f>IF(inputPrYr!C29&gt;0,(inputPrYr!C29),"  ")</f>
        <v>  </v>
      </c>
      <c r="D32" s="131" t="str">
        <f>IF('levy page13'!C83&gt;0,'levy page13'!C83,"  ")</f>
        <v>  </v>
      </c>
      <c r="E32" s="519" t="str">
        <f>IF('levy page13'!$E$33&gt;0,'levy page13'!$E$33,"  ")</f>
        <v>  </v>
      </c>
      <c r="F32" s="560">
        <f>IF('levy page13'!$E$40&lt;&gt;0,'levy page13'!$E$40,0)</f>
        <v>0</v>
      </c>
      <c r="G32" s="559">
        <f t="shared" si="0"/>
      </c>
    </row>
    <row r="33" spans="2:7" ht="15.75">
      <c r="B33" s="67" t="str">
        <f>IF(inputPrYr!$B30&gt;"  ",(inputPrYr!$B30),"  ")</f>
        <v>  </v>
      </c>
      <c r="C33" s="137" t="str">
        <f>IF(inputPrYr!C30&gt;0,(inputPrYr!C30),"  ")</f>
        <v>  </v>
      </c>
      <c r="D33" s="131" t="str">
        <f>IF('levy page13'!C83&gt;0,'levy page13'!C83,"  ")</f>
        <v>  </v>
      </c>
      <c r="E33" s="519" t="str">
        <f>IF('levy page13'!$E$73&gt;0,'levy page13'!$E$73,"  ")</f>
        <v>  </v>
      </c>
      <c r="F33" s="560">
        <f>IF('levy page13'!$E$80&lt;&gt;0,'levy page13'!$E$80,0)</f>
        <v>0</v>
      </c>
      <c r="G33" s="559">
        <f t="shared" si="0"/>
      </c>
    </row>
    <row r="34" spans="2:7" ht="15.75">
      <c r="B34" s="138" t="str">
        <f>IF(inputPrYr!$B34&gt;"  ",(inputPrYr!$B34),"  ")</f>
        <v>Special Highway</v>
      </c>
      <c r="C34" s="76"/>
      <c r="D34" s="139">
        <f>IF('Sp Hiway'!C65&gt;0,'Sp Hiway'!C65,"  ")</f>
        <v>9</v>
      </c>
      <c r="E34" s="519">
        <f>IF('Sp Hiway'!$E$28&gt;0,'Sp Hiway'!$E$28,"  ")</f>
        <v>348886</v>
      </c>
      <c r="F34" s="519"/>
      <c r="G34" s="563"/>
    </row>
    <row r="35" spans="2:7" ht="15.75">
      <c r="B35" s="138" t="str">
        <f>IF(inputPrYr!$B35&gt;"  ",(inputPrYr!$B35),"  ")</f>
        <v>Special Alcohol</v>
      </c>
      <c r="C35" s="76"/>
      <c r="D35" s="139">
        <f>IF('Sp Hiway'!C65&gt;0,'Sp Hiway'!C65,"  ")</f>
        <v>9</v>
      </c>
      <c r="E35" s="519">
        <f>IF('Sp Hiway'!$E$59&gt;0,'Sp Hiway'!$E$59,"  ")</f>
        <v>30275</v>
      </c>
      <c r="F35" s="519"/>
      <c r="G35" s="563"/>
    </row>
    <row r="36" spans="2:7" ht="15.75">
      <c r="B36" s="138" t="str">
        <f>IF(inputPrYr!$B36&gt;"  ",(inputPrYr!$B36),"  ")</f>
        <v>Special Parks &amp; Recreation</v>
      </c>
      <c r="C36" s="76"/>
      <c r="D36" s="139">
        <f>IF(nolevypage15!C65&gt;0,nolevypage15!C65,"  ")</f>
        <v>10</v>
      </c>
      <c r="E36" s="519">
        <f>IF(nolevypage15!$E$28&gt;0,nolevypage15!$E$28,"  ")</f>
        <v>30553</v>
      </c>
      <c r="F36" s="519"/>
      <c r="G36" s="563"/>
    </row>
    <row r="37" spans="2:7" ht="15.75">
      <c r="B37" s="138" t="str">
        <f>IF(inputPrYr!$B37&gt;"  ",(inputPrYr!$B37),"  ")</f>
        <v>Risk Management Reserve</v>
      </c>
      <c r="C37" s="76"/>
      <c r="D37" s="139">
        <f>IF(nolevypage15!C65&gt;0,nolevypage15!C65,"  ")</f>
        <v>10</v>
      </c>
      <c r="E37" s="519">
        <f>IF(nolevypage15!$E$59&gt;0,nolevypage15!$E$59,"  ")</f>
        <v>959661</v>
      </c>
      <c r="F37" s="519"/>
      <c r="G37" s="563"/>
    </row>
    <row r="38" spans="2:7" ht="15.75">
      <c r="B38" s="138" t="str">
        <f>IF(inputPrYr!$B38&gt;"  ",(inputPrYr!$B38),"  ")</f>
        <v>Equipment Reserve</v>
      </c>
      <c r="C38" s="76"/>
      <c r="D38" s="139">
        <f>IF(nolevypage16!C65&gt;0,nolevypage16!C65,"  ")</f>
        <v>11</v>
      </c>
      <c r="E38" s="519">
        <f>IF(nolevypage16!$E$28&gt;0,nolevypage16!$E$28,"  ")</f>
        <v>1543938</v>
      </c>
      <c r="F38" s="519"/>
      <c r="G38" s="563"/>
    </row>
    <row r="39" spans="2:7" ht="15.75">
      <c r="B39" s="140" t="str">
        <f>IF(inputPrYr!$B39&gt;"  ",(inputPrYr!$B39),"  ")</f>
        <v>  </v>
      </c>
      <c r="C39" s="76"/>
      <c r="D39" s="139">
        <f>IF(nolevypage16!C65&gt;0,nolevypage16!C65,"  ")</f>
        <v>11</v>
      </c>
      <c r="E39" s="519" t="str">
        <f>IF(nolevypage16!$E$59&gt;0,nolevypage16!$E$59,"  ")</f>
        <v>  </v>
      </c>
      <c r="F39" s="519"/>
      <c r="G39" s="563"/>
    </row>
    <row r="40" spans="2:7" ht="15.75">
      <c r="B40" s="138" t="str">
        <f>IF(inputPrYr!$B40&gt;"  ",(inputPrYr!$B40),"  ")</f>
        <v>  </v>
      </c>
      <c r="C40" s="76"/>
      <c r="D40" s="139" t="str">
        <f>IF(nolevypage17!C66&gt;0,nolevypage17!C66,"  ")</f>
        <v>  </v>
      </c>
      <c r="E40" s="519" t="str">
        <f>IF(nolevypage17!$E$28&gt;0,nolevypage17!$E$28,"  ")</f>
        <v>  </v>
      </c>
      <c r="F40" s="519"/>
      <c r="G40" s="563"/>
    </row>
    <row r="41" spans="2:7" ht="15.75">
      <c r="B41" s="138" t="str">
        <f>IF(inputPrYr!$B41&gt;"  ",(inputPrYr!$B41),"  ")</f>
        <v>  </v>
      </c>
      <c r="C41" s="76"/>
      <c r="D41" s="139" t="str">
        <f>IF(nolevypage17!C66&gt;0,nolevypage17!C66,"  ")</f>
        <v>  </v>
      </c>
      <c r="E41" s="519" t="str">
        <f>IF(nolevypage17!$E$60&gt;0,nolevypage17!$E$60,"  ")</f>
        <v>  </v>
      </c>
      <c r="F41" s="519"/>
      <c r="G41" s="563"/>
    </row>
    <row r="42" spans="2:7" ht="15.75">
      <c r="B42" s="138" t="str">
        <f>IF(inputPrYr!$B44&gt;"  ",(inputPrYr!$B44),"  ")</f>
        <v>Transient Guest Tax</v>
      </c>
      <c r="C42" s="73"/>
      <c r="D42" s="139">
        <f>IF(SinNoLevy18!$C$53&gt;0,SinNoLevy18!$C$53,"  ")</f>
        <v>12</v>
      </c>
      <c r="E42" s="519">
        <f>IF(SinNoLevy18!$E$47&gt;0,SinNoLevy18!$E$47,"  ")</f>
        <v>705366</v>
      </c>
      <c r="F42" s="519"/>
      <c r="G42" s="563"/>
    </row>
    <row r="43" spans="2:7" ht="15.75">
      <c r="B43" s="138" t="str">
        <f>IF(inputPrYr!$B45&gt;"  ",(inputPrYr!$B45),"  ")</f>
        <v>Capital Improvement</v>
      </c>
      <c r="C43" s="73"/>
      <c r="D43" s="139">
        <f>IF(SinNoLevy19!$C$53&gt;0,SinNoLevy19!$C$53,"  ")</f>
        <v>13</v>
      </c>
      <c r="E43" s="519">
        <f>IF(SinNoLevy19!$E$47&gt;0,SinNoLevy19!$E$47,"  ")</f>
        <v>20224066</v>
      </c>
      <c r="F43" s="519"/>
      <c r="G43" s="563"/>
    </row>
    <row r="44" spans="2:7" ht="15.75">
      <c r="B44" s="138" t="str">
        <f>IF(inputPrYr!$B46&gt;"  ",(inputPrYr!$B46),"  ")</f>
        <v>  </v>
      </c>
      <c r="C44" s="73"/>
      <c r="D44" s="139" t="str">
        <f>IF(SinNoLevy20!$C$53&gt;0,SinNoLevy20!$C$53,"  ")</f>
        <v>  </v>
      </c>
      <c r="E44" s="519" t="str">
        <f>IF(SinNoLevy20!$E$47&gt;0,SinNoLevy20!$E$47,"  ")</f>
        <v>  </v>
      </c>
      <c r="F44" s="519"/>
      <c r="G44" s="563"/>
    </row>
    <row r="45" spans="2:7" ht="15.75">
      <c r="B45" s="138" t="str">
        <f>IF(inputPrYr!$B47&gt;"  ",(inputPrYr!$B47),"  ")</f>
        <v>  </v>
      </c>
      <c r="C45" s="73"/>
      <c r="D45" s="139" t="str">
        <f>IF(SinNoLevy21!$C$53&gt;0,SinNoLevy21!$C$53,"  ")</f>
        <v>  </v>
      </c>
      <c r="E45" s="519" t="str">
        <f>IF(SinNoLevy21!$E$47&gt;0,SinNoLevy21!$E$47,"  ")</f>
        <v>  </v>
      </c>
      <c r="F45" s="519"/>
      <c r="G45" s="563"/>
    </row>
    <row r="46" spans="2:7" ht="15.75">
      <c r="B46" s="138" t="str">
        <f>IF(inputPrYr!$B51&gt;"  ",(NonBudA!$A3),"  ")</f>
        <v>Non-Budgeted Funds-A</v>
      </c>
      <c r="C46" s="73"/>
      <c r="D46" s="139">
        <f>IF(NonBudA!F33&gt;0,NonBudA!F33,"  ")</f>
        <v>14</v>
      </c>
      <c r="E46" s="519"/>
      <c r="F46" s="519"/>
      <c r="G46" s="563"/>
    </row>
    <row r="47" spans="2:7" ht="16.5" thickBot="1">
      <c r="B47" s="138" t="str">
        <f>IF(inputPrYr!$B57&gt;"  ",(NonBudB!$A3),"  ")</f>
        <v>  </v>
      </c>
      <c r="C47" s="73"/>
      <c r="D47" s="139" t="str">
        <f>IF(NonBudB!F33&gt;0,NonBudB!F33,"  ")</f>
        <v>  </v>
      </c>
      <c r="E47" s="519"/>
      <c r="F47" s="519"/>
      <c r="G47" s="563"/>
    </row>
    <row r="48" spans="2:7" ht="16.5" thickBot="1">
      <c r="B48" s="373" t="s">
        <v>759</v>
      </c>
      <c r="C48" s="73"/>
      <c r="D48" s="228" t="s">
        <v>13</v>
      </c>
      <c r="E48" s="562">
        <f>SUM(E21:E47)</f>
        <v>44315925</v>
      </c>
      <c r="F48" s="562">
        <f>SUM(F21:F47)</f>
        <v>4124507</v>
      </c>
      <c r="G48" s="561">
        <f>IF(SUM(G21:G47)=0,"",SUM(G21:G47))</f>
      </c>
    </row>
    <row r="49" spans="2:7" ht="16.5" thickTop="1">
      <c r="B49" s="143" t="s">
        <v>248</v>
      </c>
      <c r="C49" s="144"/>
      <c r="D49" s="145"/>
      <c r="E49" s="516"/>
      <c r="F49" s="517" t="str">
        <f>IF(F48&gt;computation!J40,"Yes","No")</f>
        <v>No</v>
      </c>
      <c r="G49" s="550" t="s">
        <v>155</v>
      </c>
    </row>
    <row r="50" spans="2:7" ht="15.75">
      <c r="B50" s="130" t="s">
        <v>247</v>
      </c>
      <c r="C50" s="76"/>
      <c r="D50" s="131">
        <f>summ!D61</f>
        <v>15</v>
      </c>
      <c r="E50" s="142"/>
      <c r="F50" s="21"/>
      <c r="G50" s="382"/>
    </row>
    <row r="51" spans="2:7" ht="15.75">
      <c r="B51" s="130" t="s">
        <v>272</v>
      </c>
      <c r="C51" s="76"/>
      <c r="D51" s="131">
        <f>IF(nhood!C40&gt;0,nhood!C40,"")</f>
      </c>
      <c r="E51" s="142"/>
      <c r="F51" s="21"/>
      <c r="G51" s="817" t="str">
        <f>CONCATENATE("Nov 1, ",G1-1," Total Assessed Valuation")</f>
        <v>Nov 1, 2013 Total Assessed Valuation</v>
      </c>
    </row>
    <row r="52" spans="2:7" ht="15.75">
      <c r="B52" s="377"/>
      <c r="C52" s="378"/>
      <c r="D52" s="379"/>
      <c r="E52" s="375"/>
      <c r="F52" s="376"/>
      <c r="G52" s="818"/>
    </row>
    <row r="53" spans="2:7" ht="15.75">
      <c r="B53" s="60" t="s">
        <v>14</v>
      </c>
      <c r="C53" s="59"/>
      <c r="D53" s="21"/>
      <c r="E53" s="374"/>
      <c r="F53" s="59"/>
      <c r="G53" s="59"/>
    </row>
    <row r="54" spans="2:7" ht="15.75">
      <c r="B54" s="331"/>
      <c r="C54" s="59"/>
      <c r="D54" s="59" t="s">
        <v>808</v>
      </c>
      <c r="E54" s="557"/>
      <c r="F54" s="59"/>
      <c r="G54" s="59"/>
    </row>
    <row r="55" spans="2:7" ht="15.75">
      <c r="B55" s="330"/>
      <c r="C55" s="21"/>
      <c r="D55" s="60"/>
      <c r="E55" s="558"/>
      <c r="F55" s="59"/>
      <c r="G55" s="59"/>
    </row>
    <row r="56" spans="2:7" ht="15.75">
      <c r="B56" s="60" t="s">
        <v>167</v>
      </c>
      <c r="C56" s="59"/>
      <c r="D56" s="59" t="s">
        <v>808</v>
      </c>
      <c r="E56" s="556"/>
      <c r="F56" s="257"/>
      <c r="G56" s="257"/>
    </row>
    <row r="57" spans="2:7" ht="15.75">
      <c r="B57" s="331"/>
      <c r="C57" s="28"/>
      <c r="D57" s="59"/>
      <c r="E57" s="59"/>
      <c r="F57" s="21"/>
      <c r="G57" s="21"/>
    </row>
    <row r="58" spans="2:7" ht="15.75">
      <c r="B58" s="330"/>
      <c r="C58" s="146"/>
      <c r="D58" s="59" t="s">
        <v>808</v>
      </c>
      <c r="E58" s="59"/>
      <c r="F58" s="257"/>
      <c r="G58" s="257"/>
    </row>
    <row r="59" spans="2:7" ht="15.75">
      <c r="B59" s="60" t="s">
        <v>869</v>
      </c>
      <c r="C59" s="59"/>
      <c r="D59" s="21"/>
      <c r="E59" s="21"/>
      <c r="F59" s="21"/>
      <c r="G59" s="21"/>
    </row>
    <row r="60" spans="2:7" ht="15.75">
      <c r="B60" s="331"/>
      <c r="C60" s="147"/>
      <c r="D60" s="59" t="s">
        <v>808</v>
      </c>
      <c r="E60" s="59"/>
      <c r="F60" s="257"/>
      <c r="G60" s="257"/>
    </row>
    <row r="61" spans="2:7" ht="15.75">
      <c r="B61" s="29" t="s">
        <v>264</v>
      </c>
      <c r="C61" s="148">
        <f>G1-1</f>
        <v>2013</v>
      </c>
      <c r="D61" s="21"/>
      <c r="E61" s="21"/>
      <c r="F61" s="33"/>
      <c r="G61" s="21"/>
    </row>
    <row r="62" spans="2:7" ht="15.75">
      <c r="B62" s="522"/>
      <c r="C62" s="21"/>
      <c r="D62" s="59" t="s">
        <v>808</v>
      </c>
      <c r="E62" s="59"/>
      <c r="F62" s="59"/>
      <c r="G62" s="59"/>
    </row>
    <row r="63" spans="2:7" ht="15.75">
      <c r="B63" s="43" t="s">
        <v>16</v>
      </c>
      <c r="C63" s="21"/>
      <c r="D63" s="815" t="s">
        <v>15</v>
      </c>
      <c r="E63" s="816"/>
      <c r="F63" s="816"/>
      <c r="G63" s="816"/>
    </row>
    <row r="64" ht="15.75">
      <c r="B64" s="8"/>
    </row>
    <row r="74" spans="2:7" ht="15">
      <c r="B74" s="82"/>
      <c r="C74" s="82"/>
      <c r="D74" s="82"/>
      <c r="E74" s="82"/>
      <c r="F74" s="82"/>
      <c r="G74" s="82"/>
    </row>
    <row r="75" spans="2:7" ht="15">
      <c r="B75" s="82"/>
      <c r="C75" s="82"/>
      <c r="D75" s="82"/>
      <c r="E75" s="82"/>
      <c r="F75" s="82"/>
      <c r="G75" s="82"/>
    </row>
    <row r="76" spans="2:7" ht="15">
      <c r="B76" s="82"/>
      <c r="C76" s="82"/>
      <c r="D76" s="82"/>
      <c r="E76" s="82"/>
      <c r="F76" s="82"/>
      <c r="G76" s="82"/>
    </row>
    <row r="77" spans="2:7" ht="15">
      <c r="B77" s="82"/>
      <c r="C77" s="82"/>
      <c r="D77" s="82"/>
      <c r="E77" s="82"/>
      <c r="F77" s="82"/>
      <c r="G77" s="82"/>
    </row>
    <row r="78" spans="2:7" ht="15">
      <c r="B78" s="82"/>
      <c r="C78" s="82"/>
      <c r="D78" s="82"/>
      <c r="E78" s="82"/>
      <c r="F78" s="82"/>
      <c r="G78" s="82"/>
    </row>
    <row r="79" spans="2:7" ht="15">
      <c r="B79" s="82"/>
      <c r="C79" s="82"/>
      <c r="D79" s="82"/>
      <c r="E79" s="82"/>
      <c r="F79" s="82"/>
      <c r="G79" s="82"/>
    </row>
    <row r="80" spans="2:7" ht="15">
      <c r="B80" s="82"/>
      <c r="C80" s="82"/>
      <c r="D80" s="82"/>
      <c r="E80" s="82"/>
      <c r="F80" s="82"/>
      <c r="G80" s="82"/>
    </row>
    <row r="81" spans="2:7" ht="15">
      <c r="B81" s="82"/>
      <c r="C81" s="82"/>
      <c r="D81" s="82"/>
      <c r="E81" s="82"/>
      <c r="F81" s="82"/>
      <c r="G81" s="82"/>
    </row>
    <row r="82" spans="2:7" ht="15">
      <c r="B82" s="82"/>
      <c r="C82" s="82"/>
      <c r="D82" s="82"/>
      <c r="E82" s="82"/>
      <c r="F82" s="82"/>
      <c r="G82" s="82"/>
    </row>
    <row r="83" spans="2:7" ht="15">
      <c r="B83" s="82"/>
      <c r="C83" s="82"/>
      <c r="D83" s="82"/>
      <c r="E83" s="82"/>
      <c r="F83" s="82"/>
      <c r="G83" s="82"/>
    </row>
    <row r="84" spans="2:7" ht="15">
      <c r="B84" s="82"/>
      <c r="C84" s="82"/>
      <c r="D84" s="82"/>
      <c r="E84" s="82"/>
      <c r="F84" s="82"/>
      <c r="G84" s="82"/>
    </row>
    <row r="85" spans="2:7" ht="15">
      <c r="B85" s="82"/>
      <c r="C85" s="82"/>
      <c r="D85" s="82"/>
      <c r="E85" s="82"/>
      <c r="F85" s="82"/>
      <c r="G85" s="82"/>
    </row>
    <row r="86" spans="2:7" ht="15">
      <c r="B86" s="82"/>
      <c r="C86" s="82"/>
      <c r="D86" s="82"/>
      <c r="E86" s="82"/>
      <c r="F86" s="82"/>
      <c r="G86" s="82"/>
    </row>
    <row r="87" spans="2:7" ht="15">
      <c r="B87" s="82"/>
      <c r="C87" s="82"/>
      <c r="D87" s="82"/>
      <c r="E87" s="82"/>
      <c r="F87" s="82"/>
      <c r="G87" s="82"/>
    </row>
    <row r="88" spans="2:7" ht="15">
      <c r="B88" s="82"/>
      <c r="C88" s="82"/>
      <c r="D88" s="82"/>
      <c r="E88" s="82"/>
      <c r="F88" s="82"/>
      <c r="G88" s="82"/>
    </row>
    <row r="89" spans="2:7" ht="15">
      <c r="B89" s="82"/>
      <c r="C89" s="82"/>
      <c r="D89" s="82"/>
      <c r="E89" s="82"/>
      <c r="F89" s="82"/>
      <c r="G89" s="82"/>
    </row>
    <row r="92" spans="2:7" ht="15.75">
      <c r="B92" s="8"/>
      <c r="C92" s="8"/>
      <c r="D92" s="8"/>
      <c r="E92" s="8"/>
      <c r="F92" s="8"/>
      <c r="G92" s="8"/>
    </row>
  </sheetData>
  <sheetProtection sheet="1"/>
  <mergeCells count="4">
    <mergeCell ref="B5:G5"/>
    <mergeCell ref="B3:G3"/>
    <mergeCell ref="D63:G63"/>
    <mergeCell ref="G51:G52"/>
  </mergeCells>
  <printOptions/>
  <pageMargins left="0.29" right="0.26" top="0.75" bottom="0.5" header="0.5" footer="0.25"/>
  <pageSetup blackAndWhite="1" fitToHeight="1" fitToWidth="1" horizontalDpi="120" verticalDpi="120" orientation="portrait" scale="80"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9">
      <selection activeCell="A43" sqref="A43:J43"/>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1"/>
      <c r="B1" s="21"/>
      <c r="C1" s="150" t="str">
        <f>inputPrYr!D2</f>
        <v>City of Merriam</v>
      </c>
      <c r="D1" s="21"/>
      <c r="E1" s="21"/>
      <c r="F1" s="21"/>
      <c r="G1" s="21"/>
      <c r="H1" s="21"/>
      <c r="I1" s="21"/>
      <c r="J1" s="21">
        <f>inputPrYr!$C$5</f>
        <v>2014</v>
      </c>
    </row>
    <row r="2" spans="1:10" ht="15.75" customHeight="1">
      <c r="A2" s="21"/>
      <c r="B2" s="21"/>
      <c r="C2" s="21"/>
      <c r="D2" s="21"/>
      <c r="E2" s="21"/>
      <c r="F2" s="21"/>
      <c r="G2" s="21"/>
      <c r="H2" s="21"/>
      <c r="I2" s="21"/>
      <c r="J2" s="21"/>
    </row>
    <row r="3" spans="1:10" ht="15.75">
      <c r="A3" s="810" t="str">
        <f>CONCATENATE("Computation to Determine Limit for ",J1,"")</f>
        <v>Computation to Determine Limit for 2014</v>
      </c>
      <c r="B3" s="822"/>
      <c r="C3" s="822"/>
      <c r="D3" s="822"/>
      <c r="E3" s="822"/>
      <c r="F3" s="822"/>
      <c r="G3" s="822"/>
      <c r="H3" s="822"/>
      <c r="I3" s="822"/>
      <c r="J3" s="822"/>
    </row>
    <row r="4" spans="1:10" ht="15.75">
      <c r="A4" s="21"/>
      <c r="B4" s="21"/>
      <c r="C4" s="21"/>
      <c r="D4" s="21"/>
      <c r="E4" s="822"/>
      <c r="F4" s="822"/>
      <c r="G4" s="822"/>
      <c r="H4" s="151"/>
      <c r="I4" s="21"/>
      <c r="J4" s="152" t="s">
        <v>100</v>
      </c>
    </row>
    <row r="5" spans="1:10" ht="15.75">
      <c r="A5" s="153" t="s">
        <v>101</v>
      </c>
      <c r="B5" s="21" t="str">
        <f>CONCATENATE("Total Tax Levy Amount in ",J1-1," Budget")</f>
        <v>Total Tax Levy Amount in 2013 Budget</v>
      </c>
      <c r="C5" s="21"/>
      <c r="D5" s="21"/>
      <c r="E5" s="50"/>
      <c r="F5" s="50"/>
      <c r="G5" s="50"/>
      <c r="H5" s="154" t="s">
        <v>102</v>
      </c>
      <c r="I5" s="50" t="s">
        <v>103</v>
      </c>
      <c r="J5" s="155">
        <f>inputPrYr!E31</f>
        <v>3988384</v>
      </c>
    </row>
    <row r="6" spans="1:10" ht="15.75">
      <c r="A6" s="153" t="s">
        <v>104</v>
      </c>
      <c r="B6" s="21" t="str">
        <f>CONCATENATE("Debt Service Levy in ",J1-1," Budget")</f>
        <v>Debt Service Levy in 2013 Budget</v>
      </c>
      <c r="C6" s="21"/>
      <c r="D6" s="21"/>
      <c r="E6" s="50"/>
      <c r="F6" s="50"/>
      <c r="G6" s="50"/>
      <c r="H6" s="154" t="s">
        <v>105</v>
      </c>
      <c r="I6" s="50" t="s">
        <v>103</v>
      </c>
      <c r="J6" s="55">
        <f>inputPrYr!E18</f>
        <v>344356</v>
      </c>
    </row>
    <row r="7" spans="1:10" ht="15.75">
      <c r="A7" s="153" t="s">
        <v>132</v>
      </c>
      <c r="B7" s="40" t="s">
        <v>129</v>
      </c>
      <c r="C7" s="21"/>
      <c r="D7" s="21"/>
      <c r="E7" s="50"/>
      <c r="F7" s="50"/>
      <c r="G7" s="50"/>
      <c r="H7" s="50"/>
      <c r="I7" s="50" t="s">
        <v>103</v>
      </c>
      <c r="J7" s="55">
        <f>J5-J6</f>
        <v>3644028</v>
      </c>
    </row>
    <row r="8" spans="1:10" ht="15.75">
      <c r="A8" s="21"/>
      <c r="B8" s="21"/>
      <c r="C8" s="21"/>
      <c r="D8" s="21"/>
      <c r="E8" s="50"/>
      <c r="F8" s="50"/>
      <c r="G8" s="50"/>
      <c r="H8" s="50"/>
      <c r="I8" s="50"/>
      <c r="J8" s="50"/>
    </row>
    <row r="9" spans="1:10" ht="15.75">
      <c r="A9" s="21"/>
      <c r="B9" s="40" t="str">
        <f>CONCATENATE("",J1-1," Valuation Information for Valuation Adjustments:")</f>
        <v>2013 Valuation Information for Valuation Adjustments:</v>
      </c>
      <c r="C9" s="21"/>
      <c r="D9" s="21"/>
      <c r="E9" s="50"/>
      <c r="F9" s="50"/>
      <c r="G9" s="50"/>
      <c r="H9" s="50"/>
      <c r="I9" s="50"/>
      <c r="J9" s="50"/>
    </row>
    <row r="10" spans="1:10" ht="15.75">
      <c r="A10" s="21"/>
      <c r="B10" s="21"/>
      <c r="C10" s="40"/>
      <c r="D10" s="21"/>
      <c r="E10" s="50"/>
      <c r="F10" s="50"/>
      <c r="G10" s="50"/>
      <c r="H10" s="50"/>
      <c r="I10" s="50"/>
      <c r="J10" s="50"/>
    </row>
    <row r="11" spans="1:10" ht="15.75">
      <c r="A11" s="153" t="s">
        <v>106</v>
      </c>
      <c r="B11" s="40" t="str">
        <f>CONCATENATE("New Improvements for ",J1-1,":")</f>
        <v>New Improvements for 2013:</v>
      </c>
      <c r="C11" s="21"/>
      <c r="D11" s="21"/>
      <c r="E11" s="154"/>
      <c r="F11" s="154" t="s">
        <v>102</v>
      </c>
      <c r="G11" s="155">
        <f>inputOth!E8</f>
        <v>4490689</v>
      </c>
      <c r="H11" s="57"/>
      <c r="I11" s="50"/>
      <c r="J11" s="50"/>
    </row>
    <row r="12" spans="1:10" ht="15.75">
      <c r="A12" s="153"/>
      <c r="B12" s="156"/>
      <c r="C12" s="21"/>
      <c r="D12" s="21"/>
      <c r="E12" s="154"/>
      <c r="F12" s="154"/>
      <c r="G12" s="57"/>
      <c r="H12" s="57"/>
      <c r="I12" s="50"/>
      <c r="J12" s="50"/>
    </row>
    <row r="13" spans="1:10" ht="15.75">
      <c r="A13" s="153" t="s">
        <v>107</v>
      </c>
      <c r="B13" s="40" t="str">
        <f>CONCATENATE("Increase in Personal Property for ",J1-1,":")</f>
        <v>Increase in Personal Property for 2013:</v>
      </c>
      <c r="C13" s="21"/>
      <c r="D13" s="21"/>
      <c r="E13" s="154"/>
      <c r="F13" s="154"/>
      <c r="G13" s="57"/>
      <c r="H13" s="57"/>
      <c r="I13" s="50"/>
      <c r="J13" s="50"/>
    </row>
    <row r="14" spans="1:10" ht="15.75">
      <c r="A14" s="118"/>
      <c r="B14" s="21" t="s">
        <v>108</v>
      </c>
      <c r="C14" s="21" t="str">
        <f>CONCATENATE("Personal Property ",J1-1,"")</f>
        <v>Personal Property 2013</v>
      </c>
      <c r="D14" s="156" t="s">
        <v>102</v>
      </c>
      <c r="E14" s="155">
        <f>inputOth!E9</f>
        <v>4208322</v>
      </c>
      <c r="F14" s="154"/>
      <c r="G14" s="50"/>
      <c r="H14" s="50"/>
      <c r="I14" s="57"/>
      <c r="J14" s="50"/>
    </row>
    <row r="15" spans="1:10" ht="15.75">
      <c r="A15" s="156"/>
      <c r="B15" s="21" t="s">
        <v>109</v>
      </c>
      <c r="C15" s="21" t="str">
        <f>CONCATENATE("Personal Property ",J1-2,"")</f>
        <v>Personal Property 2012</v>
      </c>
      <c r="D15" s="156" t="s">
        <v>105</v>
      </c>
      <c r="E15" s="55">
        <f>inputOth!E15</f>
        <v>0</v>
      </c>
      <c r="F15" s="154"/>
      <c r="G15" s="57"/>
      <c r="H15" s="57"/>
      <c r="I15" s="50"/>
      <c r="J15" s="50"/>
    </row>
    <row r="16" spans="1:10" ht="15.75">
      <c r="A16" s="156"/>
      <c r="B16" s="21" t="s">
        <v>110</v>
      </c>
      <c r="C16" s="21" t="s">
        <v>131</v>
      </c>
      <c r="D16" s="21"/>
      <c r="E16" s="50"/>
      <c r="F16" s="50" t="s">
        <v>102</v>
      </c>
      <c r="G16" s="155">
        <f>IF(E14&gt;E15,E14-E15,0)</f>
        <v>4208322</v>
      </c>
      <c r="H16" s="57"/>
      <c r="I16" s="50"/>
      <c r="J16" s="50"/>
    </row>
    <row r="17" spans="1:10" ht="15.75">
      <c r="A17" s="156"/>
      <c r="B17" s="156"/>
      <c r="C17" s="21"/>
      <c r="D17" s="21"/>
      <c r="E17" s="50"/>
      <c r="F17" s="50"/>
      <c r="G17" s="57" t="s">
        <v>123</v>
      </c>
      <c r="H17" s="57"/>
      <c r="I17" s="50"/>
      <c r="J17" s="50"/>
    </row>
    <row r="18" spans="1:10" ht="15.75">
      <c r="A18" s="156" t="s">
        <v>111</v>
      </c>
      <c r="B18" s="40" t="str">
        <f>CONCATENATE("Valuation of annexed territory for ",J1-1,":")</f>
        <v>Valuation of annexed territory for 2013:</v>
      </c>
      <c r="C18" s="21"/>
      <c r="D18" s="21"/>
      <c r="E18" s="57"/>
      <c r="F18" s="50"/>
      <c r="G18" s="50"/>
      <c r="H18" s="50"/>
      <c r="I18" s="50"/>
      <c r="J18" s="50"/>
    </row>
    <row r="19" spans="1:10" ht="15.75">
      <c r="A19" s="156"/>
      <c r="B19" s="21" t="s">
        <v>112</v>
      </c>
      <c r="C19" s="21" t="s">
        <v>133</v>
      </c>
      <c r="D19" s="156" t="s">
        <v>102</v>
      </c>
      <c r="E19" s="155">
        <f>inputOth!E11</f>
        <v>0</v>
      </c>
      <c r="F19" s="50"/>
      <c r="G19" s="50"/>
      <c r="H19" s="50"/>
      <c r="I19" s="50"/>
      <c r="J19" s="50"/>
    </row>
    <row r="20" spans="1:10" ht="15.75">
      <c r="A20" s="156"/>
      <c r="B20" s="21" t="s">
        <v>113</v>
      </c>
      <c r="C20" s="21" t="s">
        <v>134</v>
      </c>
      <c r="D20" s="156" t="s">
        <v>102</v>
      </c>
      <c r="E20" s="155">
        <f>inputOth!E12</f>
        <v>0</v>
      </c>
      <c r="F20" s="50"/>
      <c r="G20" s="57"/>
      <c r="H20" s="57"/>
      <c r="I20" s="50"/>
      <c r="J20" s="50"/>
    </row>
    <row r="21" spans="1:10" ht="15.75">
      <c r="A21" s="156"/>
      <c r="B21" s="21" t="s">
        <v>114</v>
      </c>
      <c r="C21" s="21" t="s">
        <v>130</v>
      </c>
      <c r="D21" s="156" t="s">
        <v>105</v>
      </c>
      <c r="E21" s="155">
        <f>inputOth!E13</f>
        <v>0</v>
      </c>
      <c r="F21" s="50"/>
      <c r="G21" s="57"/>
      <c r="H21" s="57"/>
      <c r="I21" s="50"/>
      <c r="J21" s="50"/>
    </row>
    <row r="22" spans="1:10" ht="15.75">
      <c r="A22" s="156"/>
      <c r="B22" s="21" t="s">
        <v>115</v>
      </c>
      <c r="C22" s="21" t="s">
        <v>135</v>
      </c>
      <c r="D22" s="156"/>
      <c r="E22" s="57"/>
      <c r="F22" s="50" t="s">
        <v>102</v>
      </c>
      <c r="G22" s="155">
        <f>E19+E20-E21</f>
        <v>0</v>
      </c>
      <c r="H22" s="57"/>
      <c r="I22" s="50"/>
      <c r="J22" s="50"/>
    </row>
    <row r="23" spans="1:10" ht="15.75">
      <c r="A23" s="156"/>
      <c r="B23" s="156"/>
      <c r="C23" s="21"/>
      <c r="D23" s="156"/>
      <c r="E23" s="57"/>
      <c r="F23" s="50"/>
      <c r="G23" s="57"/>
      <c r="H23" s="57"/>
      <c r="I23" s="50"/>
      <c r="J23" s="50"/>
    </row>
    <row r="24" spans="1:10" ht="15.75">
      <c r="A24" s="156" t="s">
        <v>116</v>
      </c>
      <c r="B24" s="40" t="str">
        <f>CONCATENATE("Valuation of Property that has Changed in Use during ",J1-1,":")</f>
        <v>Valuation of Property that has Changed in Use during 2013:</v>
      </c>
      <c r="C24" s="21"/>
      <c r="D24" s="21"/>
      <c r="E24" s="50"/>
      <c r="F24" s="50"/>
      <c r="G24" s="50">
        <f>inputOth!E14</f>
        <v>0</v>
      </c>
      <c r="H24" s="50"/>
      <c r="I24" s="50"/>
      <c r="J24" s="50"/>
    </row>
    <row r="25" spans="1:10" ht="15.75">
      <c r="A25" s="21" t="s">
        <v>1</v>
      </c>
      <c r="B25" s="21"/>
      <c r="C25" s="21"/>
      <c r="D25" s="156"/>
      <c r="E25" s="57"/>
      <c r="F25" s="50"/>
      <c r="G25" s="157"/>
      <c r="H25" s="57"/>
      <c r="I25" s="50"/>
      <c r="J25" s="50"/>
    </row>
    <row r="26" spans="1:10" ht="15.75">
      <c r="A26" s="156" t="s">
        <v>117</v>
      </c>
      <c r="B26" s="40" t="s">
        <v>136</v>
      </c>
      <c r="C26" s="21"/>
      <c r="D26" s="21"/>
      <c r="E26" s="50"/>
      <c r="F26" s="50"/>
      <c r="G26" s="155">
        <f>G11+G16+G22+G24</f>
        <v>8699011</v>
      </c>
      <c r="H26" s="57"/>
      <c r="I26" s="50"/>
      <c r="J26" s="50"/>
    </row>
    <row r="27" spans="1:10" ht="15.75">
      <c r="A27" s="156"/>
      <c r="B27" s="156"/>
      <c r="C27" s="40"/>
      <c r="D27" s="21"/>
      <c r="E27" s="50"/>
      <c r="F27" s="50"/>
      <c r="G27" s="57"/>
      <c r="H27" s="57"/>
      <c r="I27" s="50"/>
      <c r="J27" s="50"/>
    </row>
    <row r="28" spans="1:10" ht="15.75">
      <c r="A28" s="156" t="s">
        <v>118</v>
      </c>
      <c r="B28" s="21" t="str">
        <f>CONCATENATE("Total Estimated Valuation July 1, ",J1-1,"")</f>
        <v>Total Estimated Valuation July 1, 2013</v>
      </c>
      <c r="C28" s="21"/>
      <c r="D28" s="21"/>
      <c r="E28" s="155">
        <f>inputOth!E7</f>
        <v>149862149</v>
      </c>
      <c r="F28" s="50"/>
      <c r="G28" s="50"/>
      <c r="H28" s="50"/>
      <c r="I28" s="154"/>
      <c r="J28" s="50"/>
    </row>
    <row r="29" spans="1:10" ht="15.75">
      <c r="A29" s="156"/>
      <c r="B29" s="156"/>
      <c r="C29" s="21"/>
      <c r="D29" s="21"/>
      <c r="E29" s="57"/>
      <c r="F29" s="50"/>
      <c r="G29" s="50"/>
      <c r="H29" s="50"/>
      <c r="I29" s="154"/>
      <c r="J29" s="50"/>
    </row>
    <row r="30" spans="1:10" ht="15.75">
      <c r="A30" s="156" t="s">
        <v>119</v>
      </c>
      <c r="B30" s="40" t="s">
        <v>137</v>
      </c>
      <c r="C30" s="21"/>
      <c r="D30" s="21"/>
      <c r="E30" s="50"/>
      <c r="F30" s="50"/>
      <c r="G30" s="155">
        <f>E28-G26</f>
        <v>141163138</v>
      </c>
      <c r="H30" s="57"/>
      <c r="I30" s="154"/>
      <c r="J30" s="50"/>
    </row>
    <row r="31" spans="1:10" ht="15.75">
      <c r="A31" s="156"/>
      <c r="B31" s="156"/>
      <c r="C31" s="40"/>
      <c r="D31" s="21"/>
      <c r="E31" s="21"/>
      <c r="F31" s="21"/>
      <c r="G31" s="93"/>
      <c r="H31" s="59"/>
      <c r="I31" s="156"/>
      <c r="J31" s="21"/>
    </row>
    <row r="32" spans="1:10" ht="15.75">
      <c r="A32" s="156" t="s">
        <v>120</v>
      </c>
      <c r="B32" s="21" t="s">
        <v>138</v>
      </c>
      <c r="C32" s="21"/>
      <c r="D32" s="21"/>
      <c r="E32" s="21"/>
      <c r="F32" s="21"/>
      <c r="G32" s="158">
        <f>IF(G30&gt;0,G26/G30,0)</f>
        <v>0.06162381428500123</v>
      </c>
      <c r="H32" s="59"/>
      <c r="I32" s="21"/>
      <c r="J32" s="21"/>
    </row>
    <row r="33" spans="1:10" ht="15.75">
      <c r="A33" s="156"/>
      <c r="B33" s="156"/>
      <c r="C33" s="21"/>
      <c r="D33" s="21"/>
      <c r="E33" s="21"/>
      <c r="F33" s="21"/>
      <c r="G33" s="59"/>
      <c r="H33" s="59"/>
      <c r="I33" s="21"/>
      <c r="J33" s="21"/>
    </row>
    <row r="34" spans="1:10" ht="15.75">
      <c r="A34" s="156" t="s">
        <v>121</v>
      </c>
      <c r="B34" s="21" t="s">
        <v>139</v>
      </c>
      <c r="C34" s="21"/>
      <c r="D34" s="21"/>
      <c r="E34" s="21"/>
      <c r="F34" s="21"/>
      <c r="G34" s="59"/>
      <c r="H34" s="159" t="s">
        <v>102</v>
      </c>
      <c r="I34" s="21" t="s">
        <v>103</v>
      </c>
      <c r="J34" s="155">
        <f>ROUND(G32*J7,0)</f>
        <v>224559</v>
      </c>
    </row>
    <row r="35" spans="1:10" ht="15.75">
      <c r="A35" s="156"/>
      <c r="B35" s="156"/>
      <c r="C35" s="21"/>
      <c r="D35" s="21"/>
      <c r="E35" s="21"/>
      <c r="F35" s="21"/>
      <c r="G35" s="59"/>
      <c r="H35" s="159"/>
      <c r="I35" s="21"/>
      <c r="J35" s="57"/>
    </row>
    <row r="36" spans="1:10" ht="16.5" thickBot="1">
      <c r="A36" s="156" t="s">
        <v>122</v>
      </c>
      <c r="B36" s="40" t="s">
        <v>145</v>
      </c>
      <c r="C36" s="21"/>
      <c r="D36" s="21"/>
      <c r="E36" s="21"/>
      <c r="F36" s="21"/>
      <c r="G36" s="21"/>
      <c r="H36" s="21"/>
      <c r="I36" s="21" t="s">
        <v>103</v>
      </c>
      <c r="J36" s="160">
        <f>J7+J34</f>
        <v>3868587</v>
      </c>
    </row>
    <row r="37" spans="1:10" ht="16.5" thickTop="1">
      <c r="A37" s="21"/>
      <c r="B37" s="21"/>
      <c r="C37" s="21"/>
      <c r="D37" s="21"/>
      <c r="E37" s="21"/>
      <c r="F37" s="21"/>
      <c r="G37" s="21"/>
      <c r="H37" s="21"/>
      <c r="I37" s="21"/>
      <c r="J37" s="21"/>
    </row>
    <row r="38" spans="1:10" ht="15.75">
      <c r="A38" s="156" t="s">
        <v>143</v>
      </c>
      <c r="B38" s="40" t="str">
        <f>CONCATENATE("Debt Service Levy in this ",J1," Budget")</f>
        <v>Debt Service Levy in this 2014 Budget</v>
      </c>
      <c r="C38" s="21"/>
      <c r="D38" s="21"/>
      <c r="E38" s="21"/>
      <c r="F38" s="21"/>
      <c r="G38" s="21"/>
      <c r="H38" s="21"/>
      <c r="I38" s="21"/>
      <c r="J38" s="161">
        <f>'DebtSvs-Library'!E40</f>
        <v>356073</v>
      </c>
    </row>
    <row r="39" spans="1:10" ht="15.75">
      <c r="A39" s="156"/>
      <c r="B39" s="40"/>
      <c r="C39" s="21"/>
      <c r="D39" s="21"/>
      <c r="E39" s="21"/>
      <c r="F39" s="21"/>
      <c r="G39" s="21"/>
      <c r="H39" s="21"/>
      <c r="I39" s="21"/>
      <c r="J39" s="59"/>
    </row>
    <row r="40" spans="1:10" ht="16.5" thickBot="1">
      <c r="A40" s="156" t="s">
        <v>144</v>
      </c>
      <c r="B40" s="40" t="s">
        <v>146</v>
      </c>
      <c r="C40" s="21"/>
      <c r="D40" s="21"/>
      <c r="E40" s="21"/>
      <c r="F40" s="21"/>
      <c r="G40" s="21"/>
      <c r="H40" s="21"/>
      <c r="I40" s="21"/>
      <c r="J40" s="160">
        <f>J36+J38</f>
        <v>4224660</v>
      </c>
    </row>
    <row r="41" spans="1:10" ht="16.5" thickTop="1">
      <c r="A41" s="21"/>
      <c r="B41" s="21"/>
      <c r="C41" s="21"/>
      <c r="D41" s="21"/>
      <c r="E41" s="21"/>
      <c r="F41" s="21"/>
      <c r="G41" s="21"/>
      <c r="H41" s="21"/>
      <c r="I41" s="21"/>
      <c r="J41" s="21"/>
    </row>
    <row r="42" spans="1:10" s="162" customFormat="1" ht="18.75">
      <c r="A42" s="820" t="str">
        <f>CONCATENATE("If the ",J1," budget includes tax levies exceeding the total on line 15, you must")</f>
        <v>If the 2014 budget includes tax levies exceeding the total on line 15, you must</v>
      </c>
      <c r="B42" s="820"/>
      <c r="C42" s="820"/>
      <c r="D42" s="820"/>
      <c r="E42" s="820"/>
      <c r="F42" s="820"/>
      <c r="G42" s="820"/>
      <c r="H42" s="820"/>
      <c r="I42" s="820"/>
      <c r="J42" s="820"/>
    </row>
    <row r="43" spans="1:10" s="162" customFormat="1" ht="18.75">
      <c r="A43" s="821" t="s">
        <v>212</v>
      </c>
      <c r="B43" s="821"/>
      <c r="C43" s="821"/>
      <c r="D43" s="821"/>
      <c r="E43" s="821"/>
      <c r="F43" s="821"/>
      <c r="G43" s="821"/>
      <c r="H43" s="821"/>
      <c r="I43" s="821"/>
      <c r="J43" s="821"/>
    </row>
    <row r="44" spans="1:10" ht="15.75" customHeight="1">
      <c r="A44" s="815" t="s">
        <v>213</v>
      </c>
      <c r="B44" s="815"/>
      <c r="C44" s="815"/>
      <c r="D44" s="815"/>
      <c r="E44" s="819"/>
      <c r="F44" s="815"/>
      <c r="G44" s="815"/>
      <c r="H44" s="815"/>
      <c r="I44" s="815"/>
      <c r="J44" s="815"/>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28">
      <selection activeCell="E7" sqref="E7"/>
    </sheetView>
  </sheetViews>
  <sheetFormatPr defaultColWidth="8.796875" defaultRowHeight="15"/>
  <cols>
    <col min="1" max="1" width="8.8984375" style="22" customWidth="1"/>
    <col min="2" max="2" width="17.8984375" style="22" customWidth="1"/>
    <col min="3" max="3" width="15.296875" style="22" customWidth="1"/>
    <col min="4" max="7" width="10.796875" style="22" customWidth="1"/>
    <col min="8" max="16384" width="8.8984375" style="22" customWidth="1"/>
  </cols>
  <sheetData>
    <row r="1" spans="1:7" ht="15.75">
      <c r="A1" s="552"/>
      <c r="B1" s="150" t="str">
        <f>inputPrYr!D2</f>
        <v>City of Merriam</v>
      </c>
      <c r="C1" s="150"/>
      <c r="D1" s="21"/>
      <c r="E1" s="21"/>
      <c r="F1" s="21"/>
      <c r="G1" s="21"/>
    </row>
    <row r="2" spans="1:7" ht="15.75">
      <c r="A2" s="552"/>
      <c r="B2" s="21"/>
      <c r="C2" s="21"/>
      <c r="D2" s="21"/>
      <c r="E2" s="21"/>
      <c r="F2" s="21"/>
      <c r="G2" s="21">
        <f>inputPrYr!$C$5</f>
        <v>2014</v>
      </c>
    </row>
    <row r="3" spans="1:7" ht="15.75">
      <c r="A3" s="552"/>
      <c r="B3" s="810" t="s">
        <v>961</v>
      </c>
      <c r="C3" s="810"/>
      <c r="D3" s="810"/>
      <c r="E3" s="810"/>
      <c r="F3" s="810"/>
      <c r="G3" s="21"/>
    </row>
    <row r="4" spans="1:7" ht="15.75">
      <c r="A4" s="552"/>
      <c r="B4" s="21"/>
      <c r="C4" s="163"/>
      <c r="D4" s="164"/>
      <c r="E4" s="164"/>
      <c r="F4" s="21"/>
      <c r="G4" s="21"/>
    </row>
    <row r="5" spans="1:7" ht="21" customHeight="1">
      <c r="A5" s="552"/>
      <c r="B5" s="165" t="s">
        <v>211</v>
      </c>
      <c r="C5" s="166" t="s">
        <v>809</v>
      </c>
      <c r="D5" s="823" t="str">
        <f>CONCATENATE("Allocation for Year ",G2,"")</f>
        <v>Allocation for Year 2014</v>
      </c>
      <c r="E5" s="824"/>
      <c r="F5" s="825"/>
      <c r="G5" s="553"/>
    </row>
    <row r="6" spans="1:7" ht="15.75">
      <c r="A6" s="552"/>
      <c r="B6" s="167" t="str">
        <f>CONCATENATE("for ",G2-1,"")</f>
        <v>for 2013</v>
      </c>
      <c r="C6" s="167" t="str">
        <f>CONCATENATE("Amount for ",G2-2,"")</f>
        <v>Amount for 2012</v>
      </c>
      <c r="D6" s="128" t="s">
        <v>96</v>
      </c>
      <c r="E6" s="128" t="s">
        <v>97</v>
      </c>
      <c r="F6" s="128" t="s">
        <v>95</v>
      </c>
      <c r="G6" s="555"/>
    </row>
    <row r="7" spans="1:7" ht="15.75">
      <c r="A7" s="552"/>
      <c r="B7" s="67" t="str">
        <f>(inputPrYr!B17)</f>
        <v>General</v>
      </c>
      <c r="C7" s="131">
        <f>(inputPrYr!E17)</f>
        <v>3644028</v>
      </c>
      <c r="D7" s="131">
        <f>IF(inputOth!E39=0,0,D22-SUM(D8:D19))</f>
        <v>366753</v>
      </c>
      <c r="E7" s="131">
        <f>IF(inputOth!E40=0,0,E23-SUM(E8:E19))</f>
        <v>1285</v>
      </c>
      <c r="F7" s="131">
        <f>IF(inputOth!E41=0,0,F24-SUM(F8:F19))</f>
        <v>3755</v>
      </c>
      <c r="G7" s="553"/>
    </row>
    <row r="8" spans="1:7" ht="15.75">
      <c r="A8" s="552"/>
      <c r="B8" s="67" t="str">
        <f>IF(inputPrYr!$B18&gt;"  ",(inputPrYr!$B18),"  ")</f>
        <v>Debt Service</v>
      </c>
      <c r="C8" s="131">
        <f>IF(inputPrYr!$E18&gt;0,(inputPrYr!$E18),"  ")</f>
        <v>344356</v>
      </c>
      <c r="D8" s="131">
        <f>IF(inputPrYr!E18&gt;0,ROUND(C8*$D$27,0),"  ")</f>
        <v>34658</v>
      </c>
      <c r="E8" s="131">
        <f>IF(inputPrYr!E18&gt;0,ROUND(+C8*E$28,0)," ")</f>
        <v>121</v>
      </c>
      <c r="F8" s="131">
        <f>IF(inputPrYr!E18&gt;0,ROUND(+C8*F$29,0)," ")</f>
        <v>355</v>
      </c>
      <c r="G8" s="553"/>
    </row>
    <row r="9" spans="1:7" ht="15.75">
      <c r="A9" s="552"/>
      <c r="B9" s="67" t="str">
        <f>IF(inputPrYr!$B19&gt;"  ",(inputPrYr!$B19),"  ")</f>
        <v>Library</v>
      </c>
      <c r="C9" s="131" t="str">
        <f>IF(inputPrYr!$E19&gt;0,(inputPrYr!$E19),"  ")</f>
        <v>  </v>
      </c>
      <c r="D9" s="131" t="str">
        <f>IF(inputPrYr!E19&gt;0,ROUND(C9*$D$27,0),"  ")</f>
        <v>  </v>
      </c>
      <c r="E9" s="131" t="str">
        <f>IF(inputPrYr!E19&gt;0,ROUND(+C9*E$28,0)," ")</f>
        <v> </v>
      </c>
      <c r="F9" s="131" t="str">
        <f>IF(inputPrYr!E19&gt;0,ROUND(+C9*F$29,0)," ")</f>
        <v> </v>
      </c>
      <c r="G9" s="553"/>
    </row>
    <row r="10" spans="1:7" ht="15.75">
      <c r="A10" s="552"/>
      <c r="B10" s="67" t="str">
        <f>IF(inputPrYr!$B21&gt;"  ",(inputPrYr!$B21),"  ")</f>
        <v>  </v>
      </c>
      <c r="C10" s="131" t="str">
        <f>IF(inputPrYr!$E21&gt;0,(inputPrYr!$E21),"  ")</f>
        <v>  </v>
      </c>
      <c r="D10" s="131" t="str">
        <f>IF(inputPrYr!E21&gt;0,ROUND(C10*$D$27,0),"  ")</f>
        <v>  </v>
      </c>
      <c r="E10" s="131" t="str">
        <f>IF(inputPrYr!E21&gt;0,ROUND(+C10*E$28,0)," ")</f>
        <v> </v>
      </c>
      <c r="F10" s="131" t="str">
        <f>IF(inputPrYr!E21&gt;0,ROUND(+C10*F$29,0)," ")</f>
        <v> </v>
      </c>
      <c r="G10" s="553"/>
    </row>
    <row r="11" spans="1:7" ht="15.75">
      <c r="A11" s="552"/>
      <c r="B11" s="67" t="str">
        <f>IF(inputPrYr!$B22&gt;"  ",(inputPrYr!$B22),"  ")</f>
        <v>  </v>
      </c>
      <c r="C11" s="131" t="str">
        <f>IF(inputPrYr!$E22&gt;0,(inputPrYr!$E22),"  ")</f>
        <v>  </v>
      </c>
      <c r="D11" s="131" t="str">
        <f>IF(inputPrYr!E22&gt;0,ROUND(C11*$D$27,0),"  ")</f>
        <v>  </v>
      </c>
      <c r="E11" s="131" t="str">
        <f>IF(inputPrYr!E22&gt;0,ROUND(+C11*E$28,0)," ")</f>
        <v> </v>
      </c>
      <c r="F11" s="131" t="str">
        <f>IF(inputPrYr!E22&gt;0,ROUND(+C11*F$29,0)," ")</f>
        <v> </v>
      </c>
      <c r="G11" s="553"/>
    </row>
    <row r="12" spans="1:7" ht="15.75">
      <c r="A12" s="552"/>
      <c r="B12" s="67" t="str">
        <f>IF(inputPrYr!$B23&gt;"  ",(inputPrYr!$B23),"  ")</f>
        <v>  </v>
      </c>
      <c r="C12" s="131" t="str">
        <f>IF(inputPrYr!$E23&gt;0,(inputPrYr!$E23),"  ")</f>
        <v>  </v>
      </c>
      <c r="D12" s="131" t="str">
        <f>IF(inputPrYr!E23&gt;0,ROUND(C12*$D$27,0),"  ")</f>
        <v>  </v>
      </c>
      <c r="E12" s="131" t="str">
        <f>IF(inputPrYr!E23&gt;0,ROUND(+C12*E$28,0)," ")</f>
        <v> </v>
      </c>
      <c r="F12" s="131" t="str">
        <f>IF(inputPrYr!E23&gt;0,ROUND(+C12*F$29,0)," ")</f>
        <v> </v>
      </c>
      <c r="G12" s="553"/>
    </row>
    <row r="13" spans="1:7" ht="15.75">
      <c r="A13" s="552"/>
      <c r="B13" s="67" t="str">
        <f>IF(inputPrYr!$B24&gt;"  ",(inputPrYr!$B24),"  ")</f>
        <v>  </v>
      </c>
      <c r="C13" s="131" t="str">
        <f>IF(inputPrYr!$E24&gt;0,(inputPrYr!$E24),"  ")</f>
        <v>  </v>
      </c>
      <c r="D13" s="131" t="str">
        <f>IF(inputPrYr!E24&gt;0,ROUND(C13*$D$27,0),"  ")</f>
        <v>  </v>
      </c>
      <c r="E13" s="131" t="str">
        <f>IF(inputPrYr!E24&gt;0,ROUND(+C13*E$28,0)," ")</f>
        <v> </v>
      </c>
      <c r="F13" s="131" t="str">
        <f>IF(inputPrYr!E24&gt;0,ROUND(+C13*F$29,0)," ")</f>
        <v> </v>
      </c>
      <c r="G13" s="553"/>
    </row>
    <row r="14" spans="1:7" ht="15.75">
      <c r="A14" s="552"/>
      <c r="B14" s="67" t="str">
        <f>IF(inputPrYr!$B25&gt;"  ",(inputPrYr!$B25),"  ")</f>
        <v>  </v>
      </c>
      <c r="C14" s="131" t="str">
        <f>IF(inputPrYr!$E25&gt;0,(inputPrYr!$E25),"  ")</f>
        <v>  </v>
      </c>
      <c r="D14" s="131" t="str">
        <f>IF(inputPrYr!E25&gt;0,ROUND(C14*$D$27,0),"  ")</f>
        <v>  </v>
      </c>
      <c r="E14" s="131" t="str">
        <f>IF(inputPrYr!E25&gt;0,ROUND(+C14*E$28,0)," ")</f>
        <v> </v>
      </c>
      <c r="F14" s="131" t="str">
        <f>IF(inputPrYr!E25&gt;0,ROUND(+C14*F$29,0)," ")</f>
        <v> </v>
      </c>
      <c r="G14" s="553"/>
    </row>
    <row r="15" spans="1:7" ht="15.75">
      <c r="A15" s="552"/>
      <c r="B15" s="67" t="str">
        <f>IF(inputPrYr!$B26&gt;"  ",(inputPrYr!$B26),"  ")</f>
        <v>  </v>
      </c>
      <c r="C15" s="131" t="str">
        <f>IF(inputPrYr!$E26&gt;0,(inputPrYr!$E26),"  ")</f>
        <v>  </v>
      </c>
      <c r="D15" s="131" t="str">
        <f>IF(inputPrYr!E26&gt;0,ROUND(C15*$D$27,0),"  ")</f>
        <v>  </v>
      </c>
      <c r="E15" s="131" t="str">
        <f>IF(inputPrYr!E26&gt;0,ROUND(+C15*E$28,0)," ")</f>
        <v> </v>
      </c>
      <c r="F15" s="131" t="str">
        <f>IF(inputPrYr!E26&gt;0,ROUND(+C15*F$29,0)," ")</f>
        <v> </v>
      </c>
      <c r="G15" s="553"/>
    </row>
    <row r="16" spans="1:7" ht="15.75">
      <c r="A16" s="552"/>
      <c r="B16" s="67" t="str">
        <f>IF(inputPrYr!$B27&gt;"  ",(inputPrYr!$B27),"  ")</f>
        <v>  </v>
      </c>
      <c r="C16" s="131" t="str">
        <f>IF(inputPrYr!$E27&gt;0,(inputPrYr!$E27),"  ")</f>
        <v>  </v>
      </c>
      <c r="D16" s="131" t="str">
        <f>IF(inputPrYr!E27&gt;0,ROUND(C16*$D$27,0),"  ")</f>
        <v>  </v>
      </c>
      <c r="E16" s="131" t="str">
        <f>IF(inputPrYr!E27&gt;0,ROUND(+C16*E$28,0)," ")</f>
        <v> </v>
      </c>
      <c r="F16" s="131" t="str">
        <f>IF(inputPrYr!E27&gt;0,ROUND(+C16*F$29,0)," ")</f>
        <v> </v>
      </c>
      <c r="G16" s="553"/>
    </row>
    <row r="17" spans="1:7" ht="15.75">
      <c r="A17" s="552"/>
      <c r="B17" s="67" t="str">
        <f>IF(inputPrYr!$B28&gt;"  ",(inputPrYr!$B28),"  ")</f>
        <v>  </v>
      </c>
      <c r="C17" s="131" t="str">
        <f>IF(inputPrYr!$E28&gt;0,(inputPrYr!$E28),"  ")</f>
        <v>  </v>
      </c>
      <c r="D17" s="131" t="str">
        <f>IF(inputPrYr!E28&gt;0,ROUND(C17*$D$27,0),"  ")</f>
        <v>  </v>
      </c>
      <c r="E17" s="131" t="str">
        <f>IF(inputPrYr!E28&gt;0,ROUND(+C17*E$28,0)," ")</f>
        <v> </v>
      </c>
      <c r="F17" s="131" t="str">
        <f>IF(inputPrYr!E28&gt;0,ROUND(+C17*F$29,0)," ")</f>
        <v> </v>
      </c>
      <c r="G17" s="553"/>
    </row>
    <row r="18" spans="1:7" ht="15.75">
      <c r="A18" s="552"/>
      <c r="B18" s="67" t="str">
        <f>IF(inputPrYr!$B29&gt;"  ",(inputPrYr!$B29),"  ")</f>
        <v>  </v>
      </c>
      <c r="C18" s="131" t="str">
        <f>IF(inputPrYr!$E29&gt;0,(inputPrYr!$E29),"  ")</f>
        <v>  </v>
      </c>
      <c r="D18" s="131" t="str">
        <f>IF(inputPrYr!E29&gt;0,ROUND(C18*$D$27,0),"  ")</f>
        <v>  </v>
      </c>
      <c r="E18" s="131" t="str">
        <f>IF(inputPrYr!E29&gt;0,ROUND(+C18*E$28,0)," ")</f>
        <v> </v>
      </c>
      <c r="F18" s="131" t="str">
        <f>IF(inputPrYr!E29&gt;0,ROUND(+C18*F$29,0)," ")</f>
        <v> </v>
      </c>
      <c r="G18" s="553"/>
    </row>
    <row r="19" spans="1:7" ht="15.75">
      <c r="A19" s="552"/>
      <c r="B19" s="67" t="str">
        <f>IF(inputPrYr!$B30&gt;"  ",(inputPrYr!$B30),"  ")</f>
        <v>  </v>
      </c>
      <c r="C19" s="131" t="str">
        <f>IF(inputPrYr!$E30&gt;0,(inputPrYr!$E30),"  ")</f>
        <v>  </v>
      </c>
      <c r="D19" s="131" t="str">
        <f>IF(inputPrYr!E30&gt;0,ROUND(C19*$D$27,0),"  ")</f>
        <v>  </v>
      </c>
      <c r="E19" s="131" t="str">
        <f>IF(inputPrYr!E30&gt;0,ROUND(+C19*E$28,0)," ")</f>
        <v> </v>
      </c>
      <c r="F19" s="131" t="str">
        <f>IF(inputPrYr!E30&gt;0,ROUND(+C19*F$29,0)," ")</f>
        <v> </v>
      </c>
      <c r="G19" s="553"/>
    </row>
    <row r="20" spans="1:7" ht="15.75">
      <c r="A20" s="552"/>
      <c r="B20" s="554" t="s">
        <v>19</v>
      </c>
      <c r="C20" s="137">
        <f>SUM(C7:C19)</f>
        <v>3988384</v>
      </c>
      <c r="D20" s="137">
        <f>SUM(D7:D19)</f>
        <v>401411</v>
      </c>
      <c r="E20" s="137">
        <f>SUM(E7:E19)</f>
        <v>1406</v>
      </c>
      <c r="F20" s="137">
        <f>SUM(F7:F19)</f>
        <v>4110</v>
      </c>
      <c r="G20" s="553"/>
    </row>
    <row r="21" spans="1:7" ht="15.75">
      <c r="A21" s="552"/>
      <c r="B21" s="21"/>
      <c r="C21" s="21"/>
      <c r="D21" s="21"/>
      <c r="E21" s="21"/>
      <c r="F21" s="21"/>
      <c r="G21" s="21"/>
    </row>
    <row r="22" spans="1:7" ht="15.75">
      <c r="A22" s="552"/>
      <c r="B22" s="28" t="s">
        <v>20</v>
      </c>
      <c r="C22" s="168"/>
      <c r="D22" s="169">
        <f>(inputOth!E39)</f>
        <v>401411</v>
      </c>
      <c r="E22" s="168"/>
      <c r="F22" s="21"/>
      <c r="G22" s="21"/>
    </row>
    <row r="23" spans="1:7" ht="15.75">
      <c r="A23" s="552"/>
      <c r="B23" s="28" t="s">
        <v>21</v>
      </c>
      <c r="C23" s="21"/>
      <c r="D23" s="21"/>
      <c r="E23" s="169">
        <f>(inputOth!E40)</f>
        <v>1406</v>
      </c>
      <c r="F23" s="21"/>
      <c r="G23" s="21"/>
    </row>
    <row r="24" spans="1:7" ht="15.75">
      <c r="A24" s="552"/>
      <c r="B24" s="28" t="s">
        <v>98</v>
      </c>
      <c r="C24" s="21"/>
      <c r="D24" s="21"/>
      <c r="E24" s="21"/>
      <c r="F24" s="169">
        <f>inputOth!E41</f>
        <v>4110</v>
      </c>
      <c r="G24" s="21"/>
    </row>
    <row r="25" spans="1:7" ht="15.75">
      <c r="A25" s="552"/>
      <c r="B25" s="60"/>
      <c r="C25" s="59"/>
      <c r="D25" s="59"/>
      <c r="E25" s="59"/>
      <c r="F25" s="170"/>
      <c r="G25" s="57"/>
    </row>
    <row r="26" spans="1:7" ht="15.75">
      <c r="A26" s="552"/>
      <c r="B26" s="28"/>
      <c r="C26" s="21"/>
      <c r="D26" s="21"/>
      <c r="E26" s="21"/>
      <c r="F26" s="170"/>
      <c r="G26" s="21"/>
    </row>
    <row r="27" spans="1:7" ht="15.75">
      <c r="A27" s="552"/>
      <c r="B27" s="28" t="s">
        <v>22</v>
      </c>
      <c r="C27" s="21"/>
      <c r="D27" s="171">
        <f>IF(C20=0,0,D22/C20)</f>
        <v>0.10064502314721953</v>
      </c>
      <c r="E27" s="21"/>
      <c r="F27" s="21"/>
      <c r="G27" s="21"/>
    </row>
    <row r="28" spans="1:7" ht="15.75">
      <c r="A28" s="552"/>
      <c r="B28" s="21"/>
      <c r="C28" s="28" t="s">
        <v>23</v>
      </c>
      <c r="D28" s="21"/>
      <c r="E28" s="171">
        <f>IF(C20=0,0,E23/C20)</f>
        <v>0.000352523728908751</v>
      </c>
      <c r="F28" s="21"/>
      <c r="G28" s="21"/>
    </row>
    <row r="29" spans="1:7" ht="15.75">
      <c r="A29" s="552"/>
      <c r="B29" s="21"/>
      <c r="C29" s="21"/>
      <c r="D29" s="28" t="s">
        <v>99</v>
      </c>
      <c r="E29" s="21"/>
      <c r="F29" s="171">
        <f>IF(F24=0,0,F24/C20)</f>
        <v>0.0010304925503662637</v>
      </c>
      <c r="G29" s="21"/>
    </row>
    <row r="30" spans="1:7" ht="15.75">
      <c r="A30" s="552"/>
      <c r="B30" s="21"/>
      <c r="C30" s="21"/>
      <c r="D30" s="21"/>
      <c r="E30" s="21"/>
      <c r="F30" s="21"/>
      <c r="G30" s="21"/>
    </row>
    <row r="31" spans="1:7" ht="15" customHeight="1">
      <c r="A31" s="552"/>
      <c r="B31" s="84"/>
      <c r="C31" s="84"/>
      <c r="D31" s="84"/>
      <c r="E31" s="84"/>
      <c r="F31" s="84"/>
      <c r="G31" s="84"/>
    </row>
    <row r="32" ht="15" customHeight="1"/>
    <row r="33" s="172"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26" sqref="C26"/>
    </sheetView>
  </sheetViews>
  <sheetFormatPr defaultColWidth="8.796875" defaultRowHeight="15"/>
  <cols>
    <col min="1" max="2" width="17.796875" style="8" customWidth="1"/>
    <col min="3" max="6" width="12.796875" style="8" customWidth="1"/>
    <col min="7" max="16384" width="8.8984375" style="8" customWidth="1"/>
  </cols>
  <sheetData>
    <row r="1" spans="1:6" ht="15.75">
      <c r="A1" s="83" t="str">
        <f>inputPrYr!D2</f>
        <v>City of Merriam</v>
      </c>
      <c r="B1" s="83"/>
      <c r="C1" s="85"/>
      <c r="D1" s="85"/>
      <c r="E1" s="85"/>
      <c r="F1" s="85">
        <f>inputPrYr!$C$5</f>
        <v>2014</v>
      </c>
    </row>
    <row r="2" spans="1:6" ht="15.75">
      <c r="A2" s="85"/>
      <c r="B2" s="85"/>
      <c r="C2" s="85"/>
      <c r="D2" s="85"/>
      <c r="E2" s="85"/>
      <c r="F2" s="85"/>
    </row>
    <row r="3" spans="1:6" ht="15.75">
      <c r="A3" s="822" t="s">
        <v>151</v>
      </c>
      <c r="B3" s="822"/>
      <c r="C3" s="822"/>
      <c r="D3" s="822"/>
      <c r="E3" s="822"/>
      <c r="F3" s="822"/>
    </row>
    <row r="4" spans="1:6" ht="15.75">
      <c r="A4" s="173"/>
      <c r="B4" s="173"/>
      <c r="C4" s="173"/>
      <c r="D4" s="173"/>
      <c r="E4" s="173"/>
      <c r="F4" s="173"/>
    </row>
    <row r="5" spans="1:6" ht="15.75">
      <c r="A5" s="174" t="s">
        <v>619</v>
      </c>
      <c r="B5" s="174" t="s">
        <v>621</v>
      </c>
      <c r="C5" s="174" t="s">
        <v>47</v>
      </c>
      <c r="D5" s="174" t="s">
        <v>165</v>
      </c>
      <c r="E5" s="174" t="s">
        <v>166</v>
      </c>
      <c r="F5" s="174" t="s">
        <v>204</v>
      </c>
    </row>
    <row r="6" spans="1:6" ht="15.75">
      <c r="A6" s="175" t="s">
        <v>620</v>
      </c>
      <c r="B6" s="175" t="s">
        <v>622</v>
      </c>
      <c r="C6" s="175" t="s">
        <v>205</v>
      </c>
      <c r="D6" s="175" t="s">
        <v>205</v>
      </c>
      <c r="E6" s="175" t="s">
        <v>205</v>
      </c>
      <c r="F6" s="175" t="s">
        <v>206</v>
      </c>
    </row>
    <row r="7" spans="1:6" ht="15" customHeight="1">
      <c r="A7" s="176" t="s">
        <v>207</v>
      </c>
      <c r="B7" s="176" t="s">
        <v>208</v>
      </c>
      <c r="C7" s="177">
        <f>F1-2</f>
        <v>2012</v>
      </c>
      <c r="D7" s="177">
        <f>F1-1</f>
        <v>2013</v>
      </c>
      <c r="E7" s="177">
        <f>F1</f>
        <v>2014</v>
      </c>
      <c r="F7" s="176" t="s">
        <v>209</v>
      </c>
    </row>
    <row r="8" spans="1:6" ht="14.25" customHeight="1">
      <c r="A8" s="178" t="s">
        <v>993</v>
      </c>
      <c r="B8" s="178" t="s">
        <v>335</v>
      </c>
      <c r="C8" s="520">
        <v>90000</v>
      </c>
      <c r="D8" s="520">
        <v>90000</v>
      </c>
      <c r="E8" s="520">
        <v>90000</v>
      </c>
      <c r="F8" s="178" t="s">
        <v>1088</v>
      </c>
    </row>
    <row r="9" spans="1:6" ht="15" customHeight="1">
      <c r="A9" s="179" t="s">
        <v>335</v>
      </c>
      <c r="B9" s="179" t="s">
        <v>993</v>
      </c>
      <c r="C9" s="521">
        <v>2569958</v>
      </c>
      <c r="D9" s="521">
        <v>2844922</v>
      </c>
      <c r="E9" s="521">
        <v>3097936</v>
      </c>
      <c r="F9" s="178" t="s">
        <v>1088</v>
      </c>
    </row>
    <row r="10" spans="1:6" ht="15" customHeight="1">
      <c r="A10" s="179" t="s">
        <v>335</v>
      </c>
      <c r="B10" s="179" t="s">
        <v>992</v>
      </c>
      <c r="C10" s="521">
        <v>450000</v>
      </c>
      <c r="D10" s="521">
        <v>550000</v>
      </c>
      <c r="E10" s="521">
        <v>550000</v>
      </c>
      <c r="F10" s="178" t="s">
        <v>1089</v>
      </c>
    </row>
    <row r="11" spans="1:6" ht="15" customHeight="1">
      <c r="A11" s="179" t="s">
        <v>1086</v>
      </c>
      <c r="B11" s="179" t="s">
        <v>993</v>
      </c>
      <c r="C11" s="521">
        <v>17344</v>
      </c>
      <c r="D11" s="521">
        <v>100000</v>
      </c>
      <c r="E11" s="521">
        <v>75000</v>
      </c>
      <c r="F11" s="179" t="s">
        <v>1090</v>
      </c>
    </row>
    <row r="12" spans="1:6" ht="15" customHeight="1">
      <c r="A12" s="179" t="s">
        <v>993</v>
      </c>
      <c r="B12" s="179" t="s">
        <v>1087</v>
      </c>
      <c r="C12" s="521">
        <v>2464076</v>
      </c>
      <c r="D12" s="521">
        <v>2339205</v>
      </c>
      <c r="E12" s="521">
        <v>1065209</v>
      </c>
      <c r="F12" s="179" t="s">
        <v>175</v>
      </c>
    </row>
    <row r="13" spans="1:6" ht="15" customHeight="1">
      <c r="A13" s="179"/>
      <c r="B13" s="179"/>
      <c r="C13" s="521"/>
      <c r="D13" s="521"/>
      <c r="E13" s="521"/>
      <c r="F13" s="179"/>
    </row>
    <row r="14" spans="1:6" ht="15" customHeight="1">
      <c r="A14" s="179"/>
      <c r="B14" s="179"/>
      <c r="C14" s="521"/>
      <c r="D14" s="521"/>
      <c r="E14" s="521"/>
      <c r="F14" s="179"/>
    </row>
    <row r="15" spans="1:6" ht="15" customHeight="1">
      <c r="A15" s="179"/>
      <c r="B15" s="179"/>
      <c r="C15" s="521"/>
      <c r="D15" s="521"/>
      <c r="E15" s="521"/>
      <c r="F15" s="179"/>
    </row>
    <row r="16" spans="1:6" ht="15" customHeight="1">
      <c r="A16" s="179"/>
      <c r="B16" s="179"/>
      <c r="C16" s="521"/>
      <c r="D16" s="521"/>
      <c r="E16" s="521"/>
      <c r="F16" s="179"/>
    </row>
    <row r="17" spans="1:6" ht="15" customHeight="1">
      <c r="A17" s="179"/>
      <c r="B17" s="179"/>
      <c r="C17" s="521"/>
      <c r="D17" s="521"/>
      <c r="E17" s="521"/>
      <c r="F17" s="179"/>
    </row>
    <row r="18" spans="1:6" ht="15" customHeight="1">
      <c r="A18" s="179"/>
      <c r="B18" s="179"/>
      <c r="C18" s="521"/>
      <c r="D18" s="521"/>
      <c r="E18" s="521"/>
      <c r="F18" s="179"/>
    </row>
    <row r="19" spans="1:6" ht="15" customHeight="1">
      <c r="A19" s="179"/>
      <c r="B19" s="179"/>
      <c r="C19" s="521"/>
      <c r="D19" s="521"/>
      <c r="E19" s="521"/>
      <c r="F19" s="179"/>
    </row>
    <row r="20" spans="1:6" ht="15" customHeight="1">
      <c r="A20" s="179"/>
      <c r="B20" s="179"/>
      <c r="C20" s="521"/>
      <c r="D20" s="521"/>
      <c r="E20" s="521"/>
      <c r="F20" s="179"/>
    </row>
    <row r="21" spans="1:6" ht="15" customHeight="1">
      <c r="A21" s="179"/>
      <c r="B21" s="179"/>
      <c r="C21" s="521"/>
      <c r="D21" s="521"/>
      <c r="E21" s="521"/>
      <c r="F21" s="179"/>
    </row>
    <row r="22" spans="1:6" ht="15" customHeight="1">
      <c r="A22" s="179"/>
      <c r="B22" s="179"/>
      <c r="C22" s="521"/>
      <c r="D22" s="521"/>
      <c r="E22" s="521"/>
      <c r="F22" s="179"/>
    </row>
    <row r="23" spans="1:6" ht="15" customHeight="1">
      <c r="A23" s="179"/>
      <c r="B23" s="179"/>
      <c r="C23" s="521"/>
      <c r="D23" s="521"/>
      <c r="E23" s="521"/>
      <c r="F23" s="179"/>
    </row>
    <row r="24" spans="1:6" ht="15" customHeight="1">
      <c r="A24" s="179"/>
      <c r="B24" s="179"/>
      <c r="C24" s="521"/>
      <c r="D24" s="521"/>
      <c r="E24" s="521"/>
      <c r="F24" s="179"/>
    </row>
    <row r="25" spans="1:6" ht="15" customHeight="1">
      <c r="A25" s="179"/>
      <c r="B25" s="179"/>
      <c r="C25" s="521"/>
      <c r="D25" s="521"/>
      <c r="E25" s="521"/>
      <c r="F25" s="179"/>
    </row>
    <row r="26" spans="1:6" ht="15" customHeight="1">
      <c r="A26" s="180"/>
      <c r="B26" s="181" t="s">
        <v>12</v>
      </c>
      <c r="C26" s="519">
        <f>SUM(C8:C25)</f>
        <v>5591378</v>
      </c>
      <c r="D26" s="519">
        <f>SUM(D8:D25)</f>
        <v>5924127</v>
      </c>
      <c r="E26" s="519">
        <f>SUM(E8:E25)</f>
        <v>4878145</v>
      </c>
      <c r="F26" s="180"/>
    </row>
    <row r="27" spans="1:6" ht="15" customHeight="1">
      <c r="A27" s="180"/>
      <c r="B27" s="183" t="s">
        <v>623</v>
      </c>
      <c r="C27" s="136"/>
      <c r="D27" s="179"/>
      <c r="E27" s="179"/>
      <c r="F27" s="180"/>
    </row>
    <row r="28" spans="1:6" ht="15" customHeight="1">
      <c r="A28" s="180"/>
      <c r="B28" s="181" t="s">
        <v>210</v>
      </c>
      <c r="C28" s="519">
        <f>C26</f>
        <v>5591378</v>
      </c>
      <c r="D28" s="519">
        <f>SUM(D26-D27)</f>
        <v>5924127</v>
      </c>
      <c r="E28" s="519">
        <f>SUM(E26-E27)</f>
        <v>4878145</v>
      </c>
      <c r="F28" s="180"/>
    </row>
    <row r="29" spans="1:6" ht="15" customHeight="1">
      <c r="A29" s="77"/>
      <c r="B29" s="77"/>
      <c r="C29" s="77"/>
      <c r="D29" s="77"/>
      <c r="E29" s="77"/>
      <c r="F29" s="77"/>
    </row>
    <row r="30" spans="1:6" ht="15" customHeight="1">
      <c r="A30" s="77"/>
      <c r="B30" s="77"/>
      <c r="C30" s="77"/>
      <c r="D30" s="77"/>
      <c r="E30" s="77"/>
      <c r="F30" s="77"/>
    </row>
    <row r="31" spans="1:6" ht="21.75" customHeight="1">
      <c r="A31" s="346" t="s">
        <v>618</v>
      </c>
      <c r="B31" s="347" t="str">
        <f>CONCATENATE("Adjustments are required only if the transfer is being made in ",D7," and/or ",E7," from a non-budgeted fund.")</f>
        <v>Adjustments are required only if the transfer is being made in 2013 and/or 2014 from a non-budgeted fund.</v>
      </c>
      <c r="C31" s="77"/>
      <c r="D31" s="77"/>
      <c r="E31" s="77"/>
      <c r="F31" s="77"/>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McLean</cp:lastModifiedBy>
  <cp:lastPrinted>2013-07-29T15:35:15Z</cp:lastPrinted>
  <dcterms:created xsi:type="dcterms:W3CDTF">1999-08-03T13:11:47Z</dcterms:created>
  <dcterms:modified xsi:type="dcterms:W3CDTF">2013-08-16T13:56:01Z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